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defaultThemeVersion="124226"/>
  <mc:AlternateContent xmlns:mc="http://schemas.openxmlformats.org/markup-compatibility/2006">
    <mc:Choice Requires="x15">
      <x15ac:absPath xmlns:x15ac="http://schemas.microsoft.com/office/spreadsheetml/2010/11/ac" url="C:\Users\nicolas.corredor\OneDrive - Hospital Militar Central\HOMIL -NCR\ADMINISTRACIÓN DE RIESGOS\2024\RIESGOS 2024\2024\Mapa_de_Riesgos_por_Proceso_2024\"/>
    </mc:Choice>
  </mc:AlternateContent>
  <workbookProtection workbookAlgorithmName="SHA-512" workbookHashValue="gxFaIEafmsEFnB+YPJzKDwlPSmxEm9xyYhi2t3r5QAqo/RuqPopHwkLd52Uc6dH6ptqIVoE0h3C7FdzjjqequQ==" workbookSaltValue="4QLhG8DFe1rwqlsWRC/X6g==" workbookSpinCount="100000" lockStructure="1"/>
  <bookViews>
    <workbookView xWindow="0" yWindow="0" windowWidth="28800" windowHeight="12315" tabRatio="882" firstSheet="1" activeTab="1"/>
  </bookViews>
  <sheets>
    <sheet name="Intructivo" sheetId="20" state="hidden" r:id="rId1"/>
    <sheet name="Mapa final" sheetId="1" r:id="rId2"/>
    <sheet name="Monitoreo No. 1" sheetId="22" state="hidden" r:id="rId3"/>
    <sheet name="Monitoreo No. 2" sheetId="23" state="hidden" r:id="rId4"/>
    <sheet name="Monitoreo No . 3" sheetId="24" state="hidden" r:id="rId5"/>
    <sheet name="Matriz Calor Inherente" sheetId="18" state="hidden" r:id="rId6"/>
    <sheet name="Matriz Calor Residual" sheetId="19" state="hidden" r:id="rId7"/>
    <sheet name="Tabla probabilidad" sheetId="12" state="hidden" r:id="rId8"/>
    <sheet name="Monitoreo No. 4" sheetId="25" state="hidden" r:id="rId9"/>
    <sheet name="Monitoreo Riesgos de Corrupción" sheetId="26" state="hidden" r:id="rId10"/>
    <sheet name="Tabla Impacto" sheetId="13" state="hidden" r:id="rId11"/>
    <sheet name="Tabla Valoración controles" sheetId="15" state="hidden" r:id="rId12"/>
    <sheet name="Opciones Tratamiento" sheetId="16" state="hidden" r:id="rId13"/>
    <sheet name="Hoja1" sheetId="11" state="hidden" r:id="rId14"/>
    <sheet name="Informe de compatibilidad" sheetId="21" state="hidden"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s>
  <definedNames>
    <definedName name="_xlnm.Print_Area" localSheetId="1">'Mapa final'!$A$1:$AR$569</definedName>
    <definedName name="_xlnm.Print_Area" localSheetId="4">'Monitoreo No . 3'!$A$1:$M$71</definedName>
    <definedName name="_xlnm.Print_Area" localSheetId="2">'Monitoreo No. 1'!$A$1:$M$71</definedName>
    <definedName name="_xlnm.Print_Area" localSheetId="3">'Monitoreo No. 2'!$A$1:$M$73</definedName>
    <definedName name="_xlnm.Print_Area" localSheetId="8">'Monitoreo No. 4'!$A$2:$M$71</definedName>
    <definedName name="_xlnm.Print_Area" localSheetId="9">'Monitoreo Riesgos de Corrupción'!$A$1:$M$47</definedName>
  </definedNames>
  <calcPr calcId="152511"/>
  <pivotCaches>
    <pivotCache cacheId="0" r:id="rId31"/>
  </pivotCaches>
</workbook>
</file>

<file path=xl/calcChain.xml><?xml version="1.0" encoding="utf-8"?>
<calcChain xmlns="http://schemas.openxmlformats.org/spreadsheetml/2006/main">
  <c r="AB564" i="1" l="1"/>
  <c r="AB563" i="1"/>
  <c r="AB557" i="1"/>
  <c r="AB552" i="1"/>
  <c r="AB551" i="1"/>
  <c r="AJ565" i="1"/>
  <c r="AI565" i="1" s="1"/>
  <c r="AJ566" i="1"/>
  <c r="AI566" i="1" s="1"/>
  <c r="AJ561" i="1"/>
  <c r="AI561" i="1" s="1"/>
  <c r="AJ562" i="1"/>
  <c r="AI562" i="1" s="1"/>
  <c r="AB565" i="1"/>
  <c r="AB566" i="1"/>
  <c r="AB567" i="1"/>
  <c r="AB568" i="1"/>
  <c r="AB558" i="1"/>
  <c r="AB559" i="1"/>
  <c r="AB560" i="1"/>
  <c r="AB561" i="1"/>
  <c r="AB562" i="1"/>
  <c r="Y563" i="1"/>
  <c r="Y564" i="1"/>
  <c r="Y565" i="1"/>
  <c r="AF565" i="1" s="1"/>
  <c r="AG565" i="1" s="1"/>
  <c r="Y566" i="1"/>
  <c r="AJ567" i="1" s="1"/>
  <c r="AI567" i="1" s="1"/>
  <c r="Y567" i="1"/>
  <c r="AJ568" i="1" s="1"/>
  <c r="AI568" i="1" s="1"/>
  <c r="Y568" i="1"/>
  <c r="Y557" i="1"/>
  <c r="Y558" i="1"/>
  <c r="AJ559" i="1" s="1"/>
  <c r="AI559" i="1" s="1"/>
  <c r="Y559" i="1"/>
  <c r="AJ560" i="1" s="1"/>
  <c r="AI560" i="1" s="1"/>
  <c r="Y560" i="1"/>
  <c r="Y561" i="1"/>
  <c r="AF561" i="1" s="1"/>
  <c r="AH561" i="1" s="1"/>
  <c r="Y562" i="1"/>
  <c r="P563" i="1"/>
  <c r="Q563" i="1" s="1"/>
  <c r="P557" i="1"/>
  <c r="Q557" i="1" s="1"/>
  <c r="AB545" i="1"/>
  <c r="S568" i="1"/>
  <c r="S564" i="1"/>
  <c r="S566" i="1"/>
  <c r="S567" i="1"/>
  <c r="S565" i="1"/>
  <c r="S559" i="1"/>
  <c r="S560" i="1"/>
  <c r="S561" i="1"/>
  <c r="S562" i="1"/>
  <c r="S558" i="1"/>
  <c r="AF568" i="1" l="1"/>
  <c r="AG568" i="1" s="1"/>
  <c r="AK568" i="1" s="1"/>
  <c r="AF567" i="1"/>
  <c r="AG567" i="1" s="1"/>
  <c r="AK567" i="1" s="1"/>
  <c r="AF566" i="1"/>
  <c r="AG566" i="1" s="1"/>
  <c r="AK566" i="1" s="1"/>
  <c r="AJ558" i="1"/>
  <c r="AI558" i="1" s="1"/>
  <c r="AF562" i="1"/>
  <c r="AH562" i="1" s="1"/>
  <c r="AF560" i="1"/>
  <c r="AG560" i="1" s="1"/>
  <c r="AK560" i="1" s="1"/>
  <c r="AF559" i="1"/>
  <c r="AH559" i="1" s="1"/>
  <c r="AK565" i="1"/>
  <c r="AF563" i="1"/>
  <c r="AG563" i="1" s="1"/>
  <c r="AF558" i="1"/>
  <c r="AH558" i="1" s="1"/>
  <c r="AF557" i="1"/>
  <c r="AG557" i="1" s="1"/>
  <c r="AH565" i="1"/>
  <c r="AG561" i="1"/>
  <c r="AK561" i="1" s="1"/>
  <c r="AH560" i="1"/>
  <c r="AH568" i="1" l="1"/>
  <c r="AH566" i="1"/>
  <c r="AH567" i="1"/>
  <c r="AG562" i="1"/>
  <c r="AK562" i="1" s="1"/>
  <c r="AG559" i="1"/>
  <c r="AK559" i="1" s="1"/>
  <c r="AH563" i="1"/>
  <c r="AF564" i="1" s="1"/>
  <c r="AH557" i="1"/>
  <c r="AG558" i="1"/>
  <c r="AK558" i="1" s="1"/>
  <c r="AG564" i="1" l="1"/>
  <c r="AH564" i="1"/>
  <c r="AB539" i="1" l="1"/>
  <c r="AB534" i="1"/>
  <c r="AB533" i="1"/>
  <c r="AB528" i="1"/>
  <c r="AB527" i="1"/>
  <c r="AB522" i="1"/>
  <c r="AB521" i="1"/>
  <c r="AB516" i="1" l="1"/>
  <c r="AB515" i="1"/>
  <c r="AB483" i="1"/>
  <c r="AB482" i="1"/>
  <c r="AB470" i="1"/>
  <c r="AB469" i="1"/>
  <c r="AB468" i="1"/>
  <c r="AB467" i="1"/>
  <c r="AB463" i="1"/>
  <c r="AB462" i="1"/>
  <c r="AB461" i="1"/>
  <c r="AB428" i="1" l="1"/>
  <c r="Y426" i="1"/>
  <c r="Y427" i="1"/>
  <c r="Y428" i="1"/>
  <c r="AB456" i="1" l="1"/>
  <c r="AB455" i="1"/>
  <c r="AB452" i="1"/>
  <c r="AB451" i="1"/>
  <c r="AB450" i="1"/>
  <c r="AB449" i="1"/>
  <c r="AB446" i="1"/>
  <c r="AB445" i="1"/>
  <c r="AB444" i="1"/>
  <c r="AB443" i="1"/>
  <c r="AB439" i="1"/>
  <c r="AB438" i="1"/>
  <c r="AB437" i="1"/>
  <c r="AB436" i="1"/>
  <c r="AB435" i="1"/>
  <c r="AB434" i="1"/>
  <c r="AB433" i="1"/>
  <c r="AB432" i="1"/>
  <c r="AB431" i="1"/>
  <c r="AB427" i="1"/>
  <c r="AB426" i="1"/>
  <c r="AB425" i="1"/>
  <c r="AB420" i="1" l="1"/>
  <c r="AB419" i="1"/>
  <c r="AB416" i="1"/>
  <c r="AB415" i="1"/>
  <c r="AB414" i="1"/>
  <c r="AB413" i="1"/>
  <c r="AB411" i="1"/>
  <c r="AB410" i="1"/>
  <c r="AB409" i="1"/>
  <c r="AB408" i="1"/>
  <c r="AB407" i="1"/>
  <c r="AB401" i="1"/>
  <c r="AB397" i="1"/>
  <c r="AB396" i="1"/>
  <c r="AB395" i="1"/>
  <c r="AB391" i="1"/>
  <c r="AB390" i="1"/>
  <c r="AB389" i="1"/>
  <c r="AB384" i="1"/>
  <c r="AB383" i="1"/>
  <c r="Y383" i="1"/>
  <c r="Y384" i="1"/>
  <c r="AB378" i="1"/>
  <c r="AB377" i="1"/>
  <c r="AB372" i="1"/>
  <c r="AB371" i="1"/>
  <c r="AB367" i="1"/>
  <c r="AB366" i="1"/>
  <c r="AB365" i="1"/>
  <c r="AB360" i="1"/>
  <c r="AB359" i="1"/>
  <c r="AB354" i="1"/>
  <c r="AB353" i="1"/>
  <c r="AB348" i="1"/>
  <c r="AB347" i="1"/>
  <c r="AB342" i="1"/>
  <c r="AB341" i="1"/>
  <c r="AB335" i="1"/>
  <c r="AB330" i="1"/>
  <c r="AB329" i="1"/>
  <c r="AB324" i="1"/>
  <c r="AB323" i="1"/>
  <c r="AB317" i="1" l="1"/>
  <c r="AB312" i="1"/>
  <c r="AB311" i="1"/>
  <c r="AB307" i="1" l="1"/>
  <c r="AB306" i="1"/>
  <c r="AB305" i="1"/>
  <c r="AB302" i="1"/>
  <c r="AB301" i="1"/>
  <c r="AB300" i="1"/>
  <c r="AB299" i="1"/>
  <c r="AB296" i="1"/>
  <c r="AB295" i="1"/>
  <c r="AB294" i="1"/>
  <c r="AB293" i="1"/>
  <c r="AB289" i="1"/>
  <c r="AB288" i="1"/>
  <c r="AB287" i="1"/>
  <c r="AB281" i="1"/>
  <c r="AB275" i="1"/>
  <c r="AB269" i="1"/>
  <c r="AB266" i="1"/>
  <c r="AB265" i="1"/>
  <c r="AB264" i="1"/>
  <c r="AB263" i="1"/>
  <c r="AB258" i="1" l="1"/>
  <c r="AB257" i="1"/>
  <c r="AB252" i="1"/>
  <c r="AB251" i="1"/>
  <c r="AB246" i="1"/>
  <c r="AB245" i="1"/>
  <c r="AB240" i="1"/>
  <c r="AB239" i="1"/>
  <c r="AB233" i="1"/>
  <c r="AB197" i="1" l="1"/>
  <c r="AB191" i="1"/>
  <c r="AB185" i="1"/>
  <c r="AB179" i="1"/>
  <c r="AB174" i="1"/>
  <c r="AB173" i="1"/>
  <c r="Y174" i="1"/>
  <c r="AB168" i="1"/>
  <c r="AB167" i="1"/>
  <c r="AB163" i="1" l="1"/>
  <c r="AB162" i="1"/>
  <c r="AB161" i="1"/>
  <c r="AB156" i="1"/>
  <c r="AB155" i="1"/>
  <c r="AB149" i="1"/>
  <c r="AB145" i="1"/>
  <c r="AB144" i="1"/>
  <c r="AB143" i="1"/>
  <c r="AB138" i="1"/>
  <c r="AB137" i="1"/>
  <c r="AB132" i="1"/>
  <c r="AB131" i="1"/>
  <c r="AB129" i="1"/>
  <c r="AB128" i="1"/>
  <c r="AB127" i="1"/>
  <c r="AB126" i="1"/>
  <c r="AB125" i="1"/>
  <c r="AB120" i="1"/>
  <c r="AB119" i="1"/>
  <c r="AB115" i="1"/>
  <c r="AB114" i="1"/>
  <c r="AB113" i="1"/>
  <c r="AB109" i="1"/>
  <c r="AB108" i="1"/>
  <c r="AB107" i="1"/>
  <c r="Y103" i="1"/>
  <c r="AF103" i="1" s="1"/>
  <c r="AH103" i="1" s="1"/>
  <c r="Y104" i="1"/>
  <c r="Y105" i="1"/>
  <c r="Y106" i="1"/>
  <c r="AB106" i="1"/>
  <c r="AB105" i="1"/>
  <c r="AB104" i="1"/>
  <c r="AB103" i="1"/>
  <c r="AB102" i="1"/>
  <c r="AB101" i="1"/>
  <c r="AB100" i="1"/>
  <c r="AB99" i="1"/>
  <c r="AB98" i="1"/>
  <c r="AB97" i="1"/>
  <c r="AJ103" i="1" l="1"/>
  <c r="AI103" i="1" s="1"/>
  <c r="AF104" i="1"/>
  <c r="AH104" i="1" s="1"/>
  <c r="AF105" i="1" s="1"/>
  <c r="AG103" i="1"/>
  <c r="AG104" i="1"/>
  <c r="AH105" i="1" l="1"/>
  <c r="AF106" i="1" s="1"/>
  <c r="AG105" i="1"/>
  <c r="AK103" i="1"/>
  <c r="AJ104" i="1"/>
  <c r="AH106" i="1" l="1"/>
  <c r="AG106" i="1"/>
  <c r="AI104" i="1"/>
  <c r="AK104" i="1" s="1"/>
  <c r="AJ105" i="1"/>
  <c r="AI105" i="1" l="1"/>
  <c r="AK105" i="1" s="1"/>
  <c r="AJ106" i="1"/>
  <c r="AI106" i="1" s="1"/>
  <c r="AK106" i="1" s="1"/>
  <c r="AB14" i="1" l="1"/>
  <c r="AB13" i="1"/>
  <c r="P13" i="1"/>
  <c r="Q13" i="1" s="1"/>
  <c r="Y13" i="1"/>
  <c r="S14" i="1"/>
  <c r="AF13" i="1" l="1"/>
  <c r="Y14" i="1"/>
  <c r="S15" i="1"/>
  <c r="AF14" i="1" l="1"/>
  <c r="AG13" i="1"/>
  <c r="AH13" i="1"/>
  <c r="Y15" i="1"/>
  <c r="AF15" i="1" s="1"/>
  <c r="AB15" i="1"/>
  <c r="S16" i="1"/>
  <c r="AG15" i="1" l="1"/>
  <c r="AH15" i="1"/>
  <c r="AG14" i="1"/>
  <c r="AH14" i="1"/>
  <c r="AJ15" i="1"/>
  <c r="AI15" i="1" s="1"/>
  <c r="Y16" i="1"/>
  <c r="AF16" i="1" s="1"/>
  <c r="AG16" i="1" s="1"/>
  <c r="AB16" i="1"/>
  <c r="AJ16" i="1"/>
  <c r="AI16" i="1" s="1"/>
  <c r="S17" i="1"/>
  <c r="AK15" i="1" l="1"/>
  <c r="AK16" i="1"/>
  <c r="AH16" i="1"/>
  <c r="Y17" i="1"/>
  <c r="AF17" i="1" s="1"/>
  <c r="AB17" i="1"/>
  <c r="S18" i="1"/>
  <c r="AG17" i="1" l="1"/>
  <c r="AH17" i="1"/>
  <c r="AJ17" i="1"/>
  <c r="AI17" i="1" s="1"/>
  <c r="Y18" i="1"/>
  <c r="AF18" i="1" s="1"/>
  <c r="AB18" i="1"/>
  <c r="AG18" i="1" l="1"/>
  <c r="AH18" i="1"/>
  <c r="AK17" i="1"/>
  <c r="AJ18" i="1"/>
  <c r="AI18" i="1" s="1"/>
  <c r="AK18" i="1" l="1"/>
  <c r="M12" i="22" l="1"/>
  <c r="L12" i="24"/>
  <c r="I12" i="22" l="1"/>
  <c r="F12" i="22" l="1"/>
  <c r="G12" i="22"/>
  <c r="H12" i="22"/>
  <c r="M45" i="26"/>
  <c r="L45" i="26"/>
  <c r="K45" i="26"/>
  <c r="J45" i="26"/>
  <c r="I45" i="26"/>
  <c r="H45" i="26"/>
  <c r="G45" i="26"/>
  <c r="F45" i="26"/>
  <c r="M42" i="26"/>
  <c r="L42" i="26"/>
  <c r="K42" i="26"/>
  <c r="J42" i="26"/>
  <c r="I42" i="26"/>
  <c r="H42" i="26"/>
  <c r="G42" i="26"/>
  <c r="F42" i="26"/>
  <c r="M39" i="26"/>
  <c r="L39" i="26"/>
  <c r="K39" i="26"/>
  <c r="J39" i="26"/>
  <c r="I39" i="26"/>
  <c r="H39" i="26"/>
  <c r="G39" i="26"/>
  <c r="F39" i="26"/>
  <c r="M36" i="26"/>
  <c r="L36" i="26"/>
  <c r="K36" i="26"/>
  <c r="J36" i="26"/>
  <c r="I36" i="26"/>
  <c r="H36" i="26"/>
  <c r="G36" i="26"/>
  <c r="F36" i="26"/>
  <c r="M33" i="26"/>
  <c r="L33" i="26"/>
  <c r="K33" i="26"/>
  <c r="J33" i="26"/>
  <c r="I33" i="26"/>
  <c r="H33" i="26"/>
  <c r="G33" i="26"/>
  <c r="F33" i="26"/>
  <c r="M30" i="26"/>
  <c r="L30" i="26"/>
  <c r="K30" i="26"/>
  <c r="J30" i="26"/>
  <c r="I30" i="26"/>
  <c r="H30" i="26"/>
  <c r="G30" i="26"/>
  <c r="F30" i="26"/>
  <c r="M27" i="26"/>
  <c r="L27" i="26"/>
  <c r="K27" i="26"/>
  <c r="J27" i="26"/>
  <c r="I27" i="26"/>
  <c r="H27" i="26"/>
  <c r="G27" i="26"/>
  <c r="F27" i="26"/>
  <c r="M24" i="26"/>
  <c r="L24" i="26"/>
  <c r="K24" i="26"/>
  <c r="J24" i="26"/>
  <c r="I24" i="26"/>
  <c r="H24" i="26"/>
  <c r="G24" i="26"/>
  <c r="F24" i="26"/>
  <c r="M21" i="26"/>
  <c r="L21" i="26"/>
  <c r="K21" i="26"/>
  <c r="J21" i="26"/>
  <c r="I21" i="26"/>
  <c r="H21" i="26"/>
  <c r="G21" i="26"/>
  <c r="F21" i="26"/>
  <c r="M18" i="26"/>
  <c r="L18" i="26"/>
  <c r="K18" i="26"/>
  <c r="J18" i="26"/>
  <c r="I18" i="26"/>
  <c r="H18" i="26"/>
  <c r="G18" i="26"/>
  <c r="F18" i="26"/>
  <c r="M15" i="26"/>
  <c r="L15" i="26"/>
  <c r="K15" i="26"/>
  <c r="J15" i="26"/>
  <c r="I15" i="26"/>
  <c r="H15" i="26"/>
  <c r="G15" i="26"/>
  <c r="F15" i="26"/>
  <c r="M12" i="26"/>
  <c r="L12" i="26"/>
  <c r="K12" i="26"/>
  <c r="J12" i="26"/>
  <c r="I12" i="26"/>
  <c r="H12" i="26"/>
  <c r="G12" i="26"/>
  <c r="F12" i="26"/>
  <c r="A12" i="25"/>
  <c r="A12" i="24"/>
  <c r="A12" i="22"/>
  <c r="F42" i="24"/>
  <c r="G42" i="24"/>
  <c r="H42" i="24"/>
  <c r="I42" i="24"/>
  <c r="J42" i="24"/>
  <c r="K42" i="24"/>
  <c r="L42" i="24"/>
  <c r="M42" i="24"/>
  <c r="F45" i="24"/>
  <c r="G45" i="24"/>
  <c r="H45" i="24"/>
  <c r="I45" i="24"/>
  <c r="J45" i="24"/>
  <c r="K45" i="24"/>
  <c r="L45" i="24"/>
  <c r="M45" i="24"/>
  <c r="F48" i="24"/>
  <c r="G48" i="24"/>
  <c r="H48" i="24"/>
  <c r="I48" i="24"/>
  <c r="J48" i="24"/>
  <c r="K48" i="24"/>
  <c r="L48" i="24"/>
  <c r="M48" i="24"/>
  <c r="F51" i="24"/>
  <c r="G51" i="24"/>
  <c r="H51" i="24"/>
  <c r="I51" i="24"/>
  <c r="J51" i="24"/>
  <c r="K51" i="24"/>
  <c r="L51" i="24"/>
  <c r="M51" i="24"/>
  <c r="F54" i="24"/>
  <c r="G54" i="24"/>
  <c r="H54" i="24"/>
  <c r="I54" i="24"/>
  <c r="J54" i="24"/>
  <c r="K54" i="24"/>
  <c r="L54" i="24"/>
  <c r="M54" i="24"/>
  <c r="F57" i="24"/>
  <c r="G57" i="24"/>
  <c r="H57" i="24"/>
  <c r="I57" i="24"/>
  <c r="J57" i="24"/>
  <c r="K57" i="24"/>
  <c r="L57" i="24"/>
  <c r="M57" i="24"/>
  <c r="F60" i="24"/>
  <c r="G60" i="24"/>
  <c r="H60" i="24"/>
  <c r="I60" i="24"/>
  <c r="J60" i="24"/>
  <c r="K60" i="24"/>
  <c r="L60" i="24"/>
  <c r="M60" i="24"/>
  <c r="F63" i="24"/>
  <c r="G63" i="24"/>
  <c r="H63" i="24"/>
  <c r="I63" i="24"/>
  <c r="J63" i="24"/>
  <c r="K63" i="24"/>
  <c r="L63" i="24"/>
  <c r="M63" i="24"/>
  <c r="F66" i="24"/>
  <c r="G66" i="24"/>
  <c r="H66" i="24"/>
  <c r="I66" i="24"/>
  <c r="J66" i="24"/>
  <c r="K66" i="24"/>
  <c r="L66" i="24"/>
  <c r="M66" i="24"/>
  <c r="F69" i="24"/>
  <c r="G69" i="24"/>
  <c r="H69" i="24"/>
  <c r="I69" i="24"/>
  <c r="J69" i="24"/>
  <c r="K69" i="24"/>
  <c r="L69" i="24"/>
  <c r="M69" i="24"/>
  <c r="M69" i="25" l="1"/>
  <c r="L69" i="25"/>
  <c r="K69" i="25"/>
  <c r="J69" i="25"/>
  <c r="I69" i="25"/>
  <c r="H69" i="25"/>
  <c r="G69" i="25"/>
  <c r="F69" i="25"/>
  <c r="M66" i="25"/>
  <c r="L66" i="25"/>
  <c r="K66" i="25"/>
  <c r="J66" i="25"/>
  <c r="I66" i="25"/>
  <c r="H66" i="25"/>
  <c r="G66" i="25"/>
  <c r="F66" i="25"/>
  <c r="M63" i="25"/>
  <c r="L63" i="25"/>
  <c r="K63" i="25"/>
  <c r="J63" i="25"/>
  <c r="I63" i="25"/>
  <c r="H63" i="25"/>
  <c r="G63" i="25"/>
  <c r="F63" i="25"/>
  <c r="M60" i="25"/>
  <c r="L60" i="25"/>
  <c r="K60" i="25"/>
  <c r="J60" i="25"/>
  <c r="I60" i="25"/>
  <c r="H60" i="25"/>
  <c r="G60" i="25"/>
  <c r="F60" i="25"/>
  <c r="M57" i="25"/>
  <c r="L57" i="25"/>
  <c r="K57" i="25"/>
  <c r="J57" i="25"/>
  <c r="I57" i="25"/>
  <c r="H57" i="25"/>
  <c r="G57" i="25"/>
  <c r="F57" i="25"/>
  <c r="M54" i="25"/>
  <c r="L54" i="25"/>
  <c r="K54" i="25"/>
  <c r="J54" i="25"/>
  <c r="I54" i="25"/>
  <c r="H54" i="25"/>
  <c r="G54" i="25"/>
  <c r="F54" i="25"/>
  <c r="M51" i="25"/>
  <c r="L51" i="25"/>
  <c r="K51" i="25"/>
  <c r="J51" i="25"/>
  <c r="I51" i="25"/>
  <c r="H51" i="25"/>
  <c r="G51" i="25"/>
  <c r="F51" i="25"/>
  <c r="M48" i="25"/>
  <c r="L48" i="25"/>
  <c r="K48" i="25"/>
  <c r="J48" i="25"/>
  <c r="I48" i="25"/>
  <c r="H48" i="25"/>
  <c r="G48" i="25"/>
  <c r="F48" i="25"/>
  <c r="M45" i="25"/>
  <c r="L45" i="25"/>
  <c r="K45" i="25"/>
  <c r="J45" i="25"/>
  <c r="I45" i="25"/>
  <c r="H45" i="25"/>
  <c r="G45" i="25"/>
  <c r="F45" i="25"/>
  <c r="M42" i="25"/>
  <c r="L42" i="25"/>
  <c r="K42" i="25"/>
  <c r="J42" i="25"/>
  <c r="I42" i="25"/>
  <c r="H42" i="25"/>
  <c r="G42" i="25"/>
  <c r="F42" i="25"/>
  <c r="M39" i="25"/>
  <c r="L39" i="25"/>
  <c r="K39" i="25"/>
  <c r="J39" i="25"/>
  <c r="I39" i="25"/>
  <c r="H39" i="25"/>
  <c r="G39" i="25"/>
  <c r="F39" i="25"/>
  <c r="M36" i="25"/>
  <c r="L36" i="25"/>
  <c r="K36" i="25"/>
  <c r="J36" i="25"/>
  <c r="I36" i="25"/>
  <c r="H36" i="25"/>
  <c r="G36" i="25"/>
  <c r="F36" i="25"/>
  <c r="M33" i="25"/>
  <c r="L33" i="25"/>
  <c r="K33" i="25"/>
  <c r="J33" i="25"/>
  <c r="I33" i="25"/>
  <c r="H33" i="25"/>
  <c r="G33" i="25"/>
  <c r="F33" i="25"/>
  <c r="M30" i="25"/>
  <c r="L30" i="25"/>
  <c r="K30" i="25"/>
  <c r="J30" i="25"/>
  <c r="I30" i="25"/>
  <c r="H30" i="25"/>
  <c r="G30" i="25"/>
  <c r="F30" i="25"/>
  <c r="M27" i="25"/>
  <c r="L27" i="25"/>
  <c r="K27" i="25"/>
  <c r="J27" i="25"/>
  <c r="I27" i="25"/>
  <c r="H27" i="25"/>
  <c r="G27" i="25"/>
  <c r="F27" i="25"/>
  <c r="M24" i="25"/>
  <c r="L24" i="25"/>
  <c r="K24" i="25"/>
  <c r="J24" i="25"/>
  <c r="I24" i="25"/>
  <c r="H24" i="25"/>
  <c r="G24" i="25"/>
  <c r="F24" i="25"/>
  <c r="M21" i="25"/>
  <c r="L21" i="25"/>
  <c r="K21" i="25"/>
  <c r="J21" i="25"/>
  <c r="I21" i="25"/>
  <c r="H21" i="25"/>
  <c r="G21" i="25"/>
  <c r="F21" i="25"/>
  <c r="M18" i="25"/>
  <c r="L18" i="25"/>
  <c r="K18" i="25"/>
  <c r="J18" i="25"/>
  <c r="I18" i="25"/>
  <c r="H18" i="25"/>
  <c r="G18" i="25"/>
  <c r="F18" i="25"/>
  <c r="M15" i="25"/>
  <c r="L15" i="25"/>
  <c r="K15" i="25"/>
  <c r="J15" i="25"/>
  <c r="I15" i="25"/>
  <c r="H15" i="25"/>
  <c r="G15" i="25"/>
  <c r="F15" i="25"/>
  <c r="M12" i="25"/>
  <c r="L12" i="25"/>
  <c r="K12" i="25"/>
  <c r="J12" i="25"/>
  <c r="I12" i="25"/>
  <c r="H12" i="25"/>
  <c r="G12" i="25"/>
  <c r="F12" i="25"/>
  <c r="F42" i="23"/>
  <c r="G42" i="23"/>
  <c r="H42" i="23"/>
  <c r="I42" i="23"/>
  <c r="J42" i="23"/>
  <c r="K42" i="23"/>
  <c r="L42" i="23"/>
  <c r="M42" i="23"/>
  <c r="F45" i="23"/>
  <c r="G45" i="23"/>
  <c r="H45" i="23"/>
  <c r="I45" i="23"/>
  <c r="J45" i="23"/>
  <c r="K45" i="23"/>
  <c r="L45" i="23"/>
  <c r="M45" i="23"/>
  <c r="F48" i="23"/>
  <c r="G48" i="23"/>
  <c r="H48" i="23"/>
  <c r="I48" i="23"/>
  <c r="J48" i="23"/>
  <c r="K48" i="23"/>
  <c r="L48" i="23"/>
  <c r="M48" i="23"/>
  <c r="F51" i="23"/>
  <c r="G51" i="23"/>
  <c r="H51" i="23"/>
  <c r="I51" i="23"/>
  <c r="J51" i="23"/>
  <c r="K51" i="23"/>
  <c r="L51" i="23"/>
  <c r="M51" i="23"/>
  <c r="F54" i="23"/>
  <c r="G54" i="23"/>
  <c r="H54" i="23"/>
  <c r="I54" i="23"/>
  <c r="J54" i="23"/>
  <c r="K54" i="23"/>
  <c r="L54" i="23"/>
  <c r="M54" i="23"/>
  <c r="F57" i="23"/>
  <c r="G57" i="23"/>
  <c r="H57" i="23"/>
  <c r="I57" i="23"/>
  <c r="J57" i="23"/>
  <c r="K57" i="23"/>
  <c r="L57" i="23"/>
  <c r="M57" i="23"/>
  <c r="F60" i="23"/>
  <c r="G60" i="23"/>
  <c r="H60" i="23"/>
  <c r="I60" i="23"/>
  <c r="J60" i="23"/>
  <c r="K60" i="23"/>
  <c r="L60" i="23"/>
  <c r="M60" i="23"/>
  <c r="F63" i="23"/>
  <c r="G63" i="23"/>
  <c r="H63" i="23"/>
  <c r="I63" i="23"/>
  <c r="J63" i="23"/>
  <c r="K63" i="23"/>
  <c r="L63" i="23"/>
  <c r="M63" i="23"/>
  <c r="F66" i="23"/>
  <c r="G66" i="23"/>
  <c r="H66" i="23"/>
  <c r="I66" i="23"/>
  <c r="J66" i="23"/>
  <c r="K66" i="23"/>
  <c r="L66" i="23"/>
  <c r="M66" i="23"/>
  <c r="F69" i="23"/>
  <c r="G69" i="23"/>
  <c r="H69" i="23"/>
  <c r="I69" i="23"/>
  <c r="J69" i="23"/>
  <c r="K69" i="23"/>
  <c r="L69" i="23"/>
  <c r="M69" i="23"/>
  <c r="M42" i="22" l="1"/>
  <c r="M45" i="22"/>
  <c r="M48" i="22"/>
  <c r="M51" i="22"/>
  <c r="M54" i="22"/>
  <c r="M57" i="22"/>
  <c r="M60" i="22"/>
  <c r="M63" i="22"/>
  <c r="M66" i="22"/>
  <c r="M69" i="22"/>
  <c r="L42" i="22"/>
  <c r="L45" i="22"/>
  <c r="L48" i="22"/>
  <c r="L51" i="22"/>
  <c r="L54" i="22"/>
  <c r="L57" i="22"/>
  <c r="L60" i="22"/>
  <c r="L63" i="22"/>
  <c r="L66" i="22"/>
  <c r="L69" i="22"/>
  <c r="K42" i="22"/>
  <c r="K45" i="22"/>
  <c r="K48" i="22"/>
  <c r="K51" i="22"/>
  <c r="K54" i="22"/>
  <c r="K57" i="22"/>
  <c r="K60" i="22"/>
  <c r="K63" i="22"/>
  <c r="K66" i="22"/>
  <c r="K69" i="22"/>
  <c r="J42" i="22"/>
  <c r="J45" i="22"/>
  <c r="J48" i="22"/>
  <c r="J51" i="22"/>
  <c r="J54" i="22"/>
  <c r="J57" i="22"/>
  <c r="J60" i="22"/>
  <c r="J63" i="22"/>
  <c r="J66" i="22"/>
  <c r="J69" i="22"/>
  <c r="I42" i="22"/>
  <c r="I45" i="22"/>
  <c r="I48" i="22"/>
  <c r="I51" i="22"/>
  <c r="I54" i="22"/>
  <c r="I57" i="22"/>
  <c r="I60" i="22"/>
  <c r="I63" i="22"/>
  <c r="I66" i="22"/>
  <c r="I69" i="22"/>
  <c r="H42" i="22"/>
  <c r="H45" i="22"/>
  <c r="H48" i="22"/>
  <c r="H51" i="22"/>
  <c r="H54" i="22"/>
  <c r="H57" i="22"/>
  <c r="H60" i="22"/>
  <c r="H63" i="22"/>
  <c r="H66" i="22"/>
  <c r="H69" i="22"/>
  <c r="G42" i="22"/>
  <c r="G45" i="22"/>
  <c r="G48" i="22"/>
  <c r="G51" i="22"/>
  <c r="G54" i="22"/>
  <c r="G57" i="22"/>
  <c r="G60" i="22"/>
  <c r="G63" i="22"/>
  <c r="G66" i="22"/>
  <c r="G69" i="22"/>
  <c r="F60" i="22"/>
  <c r="F63" i="22"/>
  <c r="F66" i="22"/>
  <c r="F69" i="22"/>
  <c r="F42" i="22"/>
  <c r="F45" i="22"/>
  <c r="F48" i="22"/>
  <c r="F51" i="22"/>
  <c r="F54" i="22"/>
  <c r="F57" i="22"/>
  <c r="P293" i="1" l="1"/>
  <c r="Q293" i="1" s="1"/>
  <c r="Y293" i="1"/>
  <c r="Y294" i="1"/>
  <c r="Y295" i="1"/>
  <c r="Y296" i="1"/>
  <c r="Y297" i="1"/>
  <c r="AB297" i="1"/>
  <c r="Y298" i="1"/>
  <c r="AB298" i="1"/>
  <c r="P299" i="1"/>
  <c r="Y299" i="1"/>
  <c r="Y300" i="1"/>
  <c r="Y301" i="1"/>
  <c r="Y302" i="1"/>
  <c r="Y303" i="1"/>
  <c r="AB303" i="1"/>
  <c r="Y304" i="1"/>
  <c r="AB304" i="1"/>
  <c r="P305" i="1"/>
  <c r="Q305" i="1" s="1"/>
  <c r="Y305" i="1"/>
  <c r="Y306" i="1"/>
  <c r="Y307" i="1"/>
  <c r="Y308" i="1"/>
  <c r="AB308" i="1"/>
  <c r="Y309" i="1"/>
  <c r="AB309" i="1"/>
  <c r="Y310" i="1"/>
  <c r="AB310" i="1"/>
  <c r="P311" i="1"/>
  <c r="Q311" i="1" s="1"/>
  <c r="Y311" i="1"/>
  <c r="Y312" i="1"/>
  <c r="Y313" i="1"/>
  <c r="AB313" i="1"/>
  <c r="Y314" i="1"/>
  <c r="AB314" i="1"/>
  <c r="Y315" i="1"/>
  <c r="AB315" i="1"/>
  <c r="Y316" i="1"/>
  <c r="AB316" i="1"/>
  <c r="P317" i="1"/>
  <c r="Q317" i="1" s="1"/>
  <c r="Y317" i="1"/>
  <c r="Y318" i="1"/>
  <c r="AB318" i="1"/>
  <c r="Y319" i="1"/>
  <c r="AB319" i="1"/>
  <c r="Y320" i="1"/>
  <c r="AB320" i="1"/>
  <c r="Y321" i="1"/>
  <c r="AB321" i="1"/>
  <c r="Y322" i="1"/>
  <c r="AB322" i="1"/>
  <c r="P323" i="1"/>
  <c r="Q323" i="1" s="1"/>
  <c r="Y323" i="1"/>
  <c r="Y324" i="1"/>
  <c r="Y325" i="1"/>
  <c r="AB325" i="1"/>
  <c r="Y326" i="1"/>
  <c r="AB326" i="1"/>
  <c r="Y327" i="1"/>
  <c r="AB327" i="1"/>
  <c r="Y328" i="1"/>
  <c r="AB328" i="1"/>
  <c r="P329" i="1"/>
  <c r="Q329" i="1" s="1"/>
  <c r="Y329" i="1"/>
  <c r="Y330" i="1"/>
  <c r="Y331" i="1"/>
  <c r="AB331" i="1"/>
  <c r="Y332" i="1"/>
  <c r="AB332" i="1"/>
  <c r="Y333" i="1"/>
  <c r="AB333" i="1"/>
  <c r="Y334" i="1"/>
  <c r="AB334" i="1"/>
  <c r="P335" i="1"/>
  <c r="Y335" i="1"/>
  <c r="Y336" i="1"/>
  <c r="AB336" i="1"/>
  <c r="Y337" i="1"/>
  <c r="AB337" i="1"/>
  <c r="Y338" i="1"/>
  <c r="AB338" i="1"/>
  <c r="Y339" i="1"/>
  <c r="AB339" i="1"/>
  <c r="Y340" i="1"/>
  <c r="AB340" i="1"/>
  <c r="P341" i="1"/>
  <c r="Q341" i="1" s="1"/>
  <c r="Y341" i="1"/>
  <c r="Y342" i="1"/>
  <c r="Y343" i="1"/>
  <c r="AB343" i="1"/>
  <c r="Y344" i="1"/>
  <c r="AB344" i="1"/>
  <c r="Y345" i="1"/>
  <c r="AB345" i="1"/>
  <c r="Y346" i="1"/>
  <c r="AB346" i="1"/>
  <c r="P347" i="1"/>
  <c r="Q347" i="1" s="1"/>
  <c r="Y347" i="1"/>
  <c r="Y348" i="1"/>
  <c r="Y349" i="1"/>
  <c r="AB349" i="1"/>
  <c r="Y350" i="1"/>
  <c r="AB350" i="1"/>
  <c r="Y351" i="1"/>
  <c r="AB351" i="1"/>
  <c r="Y352" i="1"/>
  <c r="AB352" i="1"/>
  <c r="P353" i="1"/>
  <c r="Q353" i="1" s="1"/>
  <c r="Y353" i="1"/>
  <c r="Y354" i="1"/>
  <c r="Y355" i="1"/>
  <c r="AB355" i="1"/>
  <c r="Y356" i="1"/>
  <c r="AB356" i="1"/>
  <c r="Y357" i="1"/>
  <c r="AB357" i="1"/>
  <c r="Y358" i="1"/>
  <c r="AB358" i="1"/>
  <c r="P359" i="1"/>
  <c r="Q359" i="1" s="1"/>
  <c r="Y359" i="1"/>
  <c r="Y360" i="1"/>
  <c r="Y361" i="1"/>
  <c r="AB361" i="1"/>
  <c r="Y362" i="1"/>
  <c r="AB362" i="1"/>
  <c r="Y363" i="1"/>
  <c r="AB363" i="1"/>
  <c r="Y364" i="1"/>
  <c r="AB364" i="1"/>
  <c r="P365" i="1"/>
  <c r="Q365" i="1" s="1"/>
  <c r="Y365" i="1"/>
  <c r="Y366" i="1"/>
  <c r="Y367" i="1"/>
  <c r="Y368" i="1"/>
  <c r="AB368" i="1"/>
  <c r="Y369" i="1"/>
  <c r="AB369" i="1"/>
  <c r="Y370" i="1"/>
  <c r="AB370" i="1"/>
  <c r="P371" i="1"/>
  <c r="Y371" i="1"/>
  <c r="Y372" i="1"/>
  <c r="Y373" i="1"/>
  <c r="AB373" i="1"/>
  <c r="Y374" i="1"/>
  <c r="AB374" i="1"/>
  <c r="Y375" i="1"/>
  <c r="AB375" i="1"/>
  <c r="Y376" i="1"/>
  <c r="AB376" i="1"/>
  <c r="P377" i="1"/>
  <c r="Q377" i="1" s="1"/>
  <c r="Y377" i="1"/>
  <c r="Y378" i="1"/>
  <c r="Y379" i="1"/>
  <c r="AB379" i="1"/>
  <c r="Y380" i="1"/>
  <c r="AB380" i="1"/>
  <c r="Y381" i="1"/>
  <c r="AB381" i="1"/>
  <c r="Y382" i="1"/>
  <c r="AB382" i="1"/>
  <c r="P383" i="1"/>
  <c r="Q383" i="1" s="1"/>
  <c r="Y385" i="1"/>
  <c r="AB385" i="1"/>
  <c r="Y386" i="1"/>
  <c r="AB386" i="1"/>
  <c r="Y387" i="1"/>
  <c r="AB387" i="1"/>
  <c r="Y388" i="1"/>
  <c r="AB388" i="1"/>
  <c r="P389" i="1"/>
  <c r="Q389" i="1" s="1"/>
  <c r="Y389" i="1"/>
  <c r="Y390" i="1"/>
  <c r="Y391" i="1"/>
  <c r="Y392" i="1"/>
  <c r="AB392" i="1"/>
  <c r="Y393" i="1"/>
  <c r="AB393" i="1"/>
  <c r="Y394" i="1"/>
  <c r="AB394" i="1"/>
  <c r="P395" i="1"/>
  <c r="Y395" i="1"/>
  <c r="Y396" i="1"/>
  <c r="Y397" i="1"/>
  <c r="Y398" i="1"/>
  <c r="AB398" i="1"/>
  <c r="Y399" i="1"/>
  <c r="AB399" i="1"/>
  <c r="Y400" i="1"/>
  <c r="AB400" i="1"/>
  <c r="P401" i="1"/>
  <c r="Q401" i="1" s="1"/>
  <c r="Y401" i="1"/>
  <c r="Y402" i="1"/>
  <c r="AB402" i="1"/>
  <c r="Y403" i="1"/>
  <c r="AB403" i="1"/>
  <c r="Y404" i="1"/>
  <c r="AB404" i="1"/>
  <c r="Y405" i="1"/>
  <c r="AB405" i="1"/>
  <c r="Y406" i="1"/>
  <c r="AB406" i="1"/>
  <c r="P407" i="1"/>
  <c r="Q407" i="1" s="1"/>
  <c r="Y407" i="1"/>
  <c r="AF407" i="1" s="1"/>
  <c r="AG407" i="1" s="1"/>
  <c r="Y408" i="1"/>
  <c r="Y409" i="1"/>
  <c r="Y410" i="1"/>
  <c r="Y411" i="1"/>
  <c r="Y412" i="1"/>
  <c r="AB412" i="1"/>
  <c r="P413" i="1"/>
  <c r="Q413" i="1" s="1"/>
  <c r="Y413" i="1"/>
  <c r="Y414" i="1"/>
  <c r="Y415" i="1"/>
  <c r="Y416" i="1"/>
  <c r="Y417" i="1"/>
  <c r="AB417" i="1"/>
  <c r="Y418" i="1"/>
  <c r="AB418" i="1"/>
  <c r="P419" i="1"/>
  <c r="Q419" i="1" s="1"/>
  <c r="Y419" i="1"/>
  <c r="Y420" i="1"/>
  <c r="Y421" i="1"/>
  <c r="AB421" i="1"/>
  <c r="Y422" i="1"/>
  <c r="AB422" i="1"/>
  <c r="Y423" i="1"/>
  <c r="AB423" i="1"/>
  <c r="Y424" i="1"/>
  <c r="AB424" i="1"/>
  <c r="P425" i="1"/>
  <c r="Q425" i="1" s="1"/>
  <c r="Y425" i="1"/>
  <c r="Y429" i="1"/>
  <c r="AB429" i="1"/>
  <c r="Y430" i="1"/>
  <c r="AB430" i="1"/>
  <c r="P431" i="1"/>
  <c r="Y431" i="1"/>
  <c r="Y432" i="1"/>
  <c r="Y433" i="1"/>
  <c r="Y434" i="1"/>
  <c r="Y435" i="1"/>
  <c r="Y436" i="1"/>
  <c r="P437" i="1"/>
  <c r="Q437" i="1" s="1"/>
  <c r="Y437" i="1"/>
  <c r="Y438" i="1"/>
  <c r="Y439" i="1"/>
  <c r="Y440" i="1"/>
  <c r="AB440" i="1"/>
  <c r="Y441" i="1"/>
  <c r="AB441" i="1"/>
  <c r="Y442" i="1"/>
  <c r="AB442" i="1"/>
  <c r="P443" i="1"/>
  <c r="Q443" i="1" s="1"/>
  <c r="Y443" i="1"/>
  <c r="Y444" i="1"/>
  <c r="Y445" i="1"/>
  <c r="Y446" i="1"/>
  <c r="Y447" i="1"/>
  <c r="AB447" i="1"/>
  <c r="Y448" i="1"/>
  <c r="AB448" i="1"/>
  <c r="P449" i="1"/>
  <c r="Q449" i="1" s="1"/>
  <c r="Y449" i="1"/>
  <c r="Y450" i="1"/>
  <c r="Y451" i="1"/>
  <c r="Y452" i="1"/>
  <c r="Y453" i="1"/>
  <c r="AB453" i="1"/>
  <c r="Y454" i="1"/>
  <c r="AB454" i="1"/>
  <c r="P455" i="1"/>
  <c r="Y455" i="1"/>
  <c r="Y456" i="1"/>
  <c r="Y457" i="1"/>
  <c r="AB457" i="1"/>
  <c r="Y458" i="1"/>
  <c r="AB458" i="1"/>
  <c r="Y459" i="1"/>
  <c r="AB459" i="1"/>
  <c r="Y460" i="1"/>
  <c r="AB460" i="1"/>
  <c r="P461" i="1"/>
  <c r="Q461" i="1" s="1"/>
  <c r="Y461" i="1"/>
  <c r="Y462" i="1"/>
  <c r="Y463" i="1"/>
  <c r="Y464" i="1"/>
  <c r="AB464" i="1"/>
  <c r="Y465" i="1"/>
  <c r="AB465" i="1"/>
  <c r="Y466" i="1"/>
  <c r="AB466" i="1"/>
  <c r="P467" i="1"/>
  <c r="Q467" i="1" s="1"/>
  <c r="Y467" i="1"/>
  <c r="Y468" i="1"/>
  <c r="Y469" i="1"/>
  <c r="Y470" i="1"/>
  <c r="Y471" i="1"/>
  <c r="AB471" i="1"/>
  <c r="Y472" i="1"/>
  <c r="AB472" i="1"/>
  <c r="P473" i="1"/>
  <c r="Q473" i="1" s="1"/>
  <c r="Y473" i="1"/>
  <c r="Y474" i="1"/>
  <c r="Y475" i="1"/>
  <c r="Y476" i="1"/>
  <c r="Y477" i="1"/>
  <c r="AB477" i="1"/>
  <c r="Y478" i="1"/>
  <c r="AB478" i="1"/>
  <c r="P479" i="1"/>
  <c r="Q479" i="1" s="1"/>
  <c r="Y479" i="1"/>
  <c r="Y480" i="1"/>
  <c r="Y481" i="1"/>
  <c r="Y482" i="1"/>
  <c r="Y483" i="1"/>
  <c r="Y484" i="1"/>
  <c r="AB484" i="1"/>
  <c r="P485" i="1"/>
  <c r="Q485" i="1" s="1"/>
  <c r="Y485" i="1"/>
  <c r="Y486" i="1"/>
  <c r="Y487" i="1"/>
  <c r="AB487" i="1"/>
  <c r="Y488" i="1"/>
  <c r="AB488" i="1"/>
  <c r="Y489" i="1"/>
  <c r="AB489" i="1"/>
  <c r="Y490" i="1"/>
  <c r="AB490" i="1"/>
  <c r="P491" i="1"/>
  <c r="Q491" i="1" s="1"/>
  <c r="Y491" i="1"/>
  <c r="Y492" i="1"/>
  <c r="Y493" i="1"/>
  <c r="Y494" i="1"/>
  <c r="AB494" i="1"/>
  <c r="Y495" i="1"/>
  <c r="AB495" i="1"/>
  <c r="Y496" i="1"/>
  <c r="AB496" i="1"/>
  <c r="P497" i="1"/>
  <c r="Y497" i="1"/>
  <c r="Y498" i="1"/>
  <c r="Y499" i="1"/>
  <c r="Y500" i="1"/>
  <c r="Y501" i="1"/>
  <c r="Y502" i="1"/>
  <c r="AB502" i="1"/>
  <c r="P503" i="1"/>
  <c r="Q503" i="1" s="1"/>
  <c r="Y503" i="1"/>
  <c r="Y504" i="1"/>
  <c r="Y505" i="1"/>
  <c r="Y506" i="1"/>
  <c r="Y507" i="1"/>
  <c r="AB507" i="1"/>
  <c r="Y508" i="1"/>
  <c r="AB508" i="1"/>
  <c r="P509" i="1"/>
  <c r="Q509" i="1" s="1"/>
  <c r="Y509" i="1"/>
  <c r="AF509" i="1" s="1"/>
  <c r="AG509" i="1" s="1"/>
  <c r="Y510" i="1"/>
  <c r="AB510" i="1"/>
  <c r="Y511" i="1"/>
  <c r="AB511" i="1"/>
  <c r="Y512" i="1"/>
  <c r="AB512" i="1"/>
  <c r="Y513" i="1"/>
  <c r="AB513" i="1"/>
  <c r="Y514" i="1"/>
  <c r="AB514" i="1"/>
  <c r="P515" i="1"/>
  <c r="Q515" i="1" s="1"/>
  <c r="Y515" i="1"/>
  <c r="AF515" i="1" s="1"/>
  <c r="AG515" i="1" s="1"/>
  <c r="Y516" i="1"/>
  <c r="Y517" i="1"/>
  <c r="AB517" i="1"/>
  <c r="Y518" i="1"/>
  <c r="AB518" i="1"/>
  <c r="Y519" i="1"/>
  <c r="AB519" i="1"/>
  <c r="Y520" i="1"/>
  <c r="AB520" i="1"/>
  <c r="P521" i="1"/>
  <c r="Q521" i="1" s="1"/>
  <c r="Y521" i="1"/>
  <c r="Y522" i="1"/>
  <c r="Y523" i="1"/>
  <c r="AB523" i="1"/>
  <c r="Y524" i="1"/>
  <c r="AB524" i="1"/>
  <c r="Y525" i="1"/>
  <c r="AB525" i="1"/>
  <c r="Y526" i="1"/>
  <c r="AB526" i="1"/>
  <c r="P527" i="1"/>
  <c r="Q527" i="1" s="1"/>
  <c r="Y527" i="1"/>
  <c r="Y528" i="1"/>
  <c r="Y529" i="1"/>
  <c r="AB529" i="1"/>
  <c r="Y530" i="1"/>
  <c r="AB530" i="1"/>
  <c r="Y531" i="1"/>
  <c r="AB531" i="1"/>
  <c r="Y532" i="1"/>
  <c r="AB532" i="1"/>
  <c r="P533" i="1"/>
  <c r="Q533" i="1" s="1"/>
  <c r="Y533" i="1"/>
  <c r="Y534" i="1"/>
  <c r="Y535" i="1"/>
  <c r="AB535" i="1"/>
  <c r="Y536" i="1"/>
  <c r="AB536" i="1"/>
  <c r="Y537" i="1"/>
  <c r="AB537" i="1"/>
  <c r="Y538" i="1"/>
  <c r="AB538" i="1"/>
  <c r="P539" i="1"/>
  <c r="Q539" i="1" s="1"/>
  <c r="Y539" i="1"/>
  <c r="Y540" i="1"/>
  <c r="AB540" i="1"/>
  <c r="Y541" i="1"/>
  <c r="AB541" i="1"/>
  <c r="Y542" i="1"/>
  <c r="AB542" i="1"/>
  <c r="Y543" i="1"/>
  <c r="AB543" i="1"/>
  <c r="Y544" i="1"/>
  <c r="AB544" i="1"/>
  <c r="P545" i="1"/>
  <c r="Q545" i="1" s="1"/>
  <c r="Y545" i="1"/>
  <c r="Y546" i="1"/>
  <c r="AB546" i="1"/>
  <c r="Y547" i="1"/>
  <c r="AB547" i="1"/>
  <c r="Y548" i="1"/>
  <c r="AB548" i="1"/>
  <c r="Y549" i="1"/>
  <c r="AB549" i="1"/>
  <c r="Y550" i="1"/>
  <c r="AB550" i="1"/>
  <c r="P551" i="1"/>
  <c r="Q551" i="1" s="1"/>
  <c r="Y551" i="1"/>
  <c r="Y552" i="1"/>
  <c r="Y553" i="1"/>
  <c r="AB553" i="1"/>
  <c r="Y554" i="1"/>
  <c r="AB554" i="1"/>
  <c r="Y555" i="1"/>
  <c r="AB555" i="1"/>
  <c r="Y556" i="1"/>
  <c r="AB556" i="1"/>
  <c r="P245" i="1"/>
  <c r="Q245" i="1" s="1"/>
  <c r="Y245" i="1"/>
  <c r="Y246" i="1"/>
  <c r="Y247" i="1"/>
  <c r="AB247" i="1"/>
  <c r="Y248" i="1"/>
  <c r="AB248" i="1"/>
  <c r="Y249" i="1"/>
  <c r="AB249" i="1"/>
  <c r="Y250" i="1"/>
  <c r="AB250" i="1"/>
  <c r="P251" i="1"/>
  <c r="Q251" i="1" s="1"/>
  <c r="Y251" i="1"/>
  <c r="Y252" i="1"/>
  <c r="Y253" i="1"/>
  <c r="AB253" i="1"/>
  <c r="Y254" i="1"/>
  <c r="AB254" i="1"/>
  <c r="Y255" i="1"/>
  <c r="AB255" i="1"/>
  <c r="Y256" i="1"/>
  <c r="AB256" i="1"/>
  <c r="P257" i="1"/>
  <c r="Q257" i="1" s="1"/>
  <c r="Y257" i="1"/>
  <c r="Y258" i="1"/>
  <c r="Y259" i="1"/>
  <c r="AB259" i="1"/>
  <c r="Y260" i="1"/>
  <c r="AB260" i="1"/>
  <c r="Y261" i="1"/>
  <c r="AB261" i="1"/>
  <c r="Y262" i="1"/>
  <c r="AB262" i="1"/>
  <c r="P263" i="1"/>
  <c r="Q263" i="1" s="1"/>
  <c r="Y263" i="1"/>
  <c r="Y264" i="1"/>
  <c r="Y265" i="1"/>
  <c r="Y266" i="1"/>
  <c r="Y267" i="1"/>
  <c r="AB267" i="1"/>
  <c r="Y268" i="1"/>
  <c r="AB268" i="1"/>
  <c r="P269" i="1"/>
  <c r="Q269" i="1" s="1"/>
  <c r="Y269" i="1"/>
  <c r="Y270" i="1"/>
  <c r="AB270" i="1"/>
  <c r="Y271" i="1"/>
  <c r="AB271" i="1"/>
  <c r="Y272" i="1"/>
  <c r="AB272" i="1"/>
  <c r="Y273" i="1"/>
  <c r="AB273" i="1"/>
  <c r="Y274" i="1"/>
  <c r="AB274" i="1"/>
  <c r="P275" i="1"/>
  <c r="Q275" i="1" s="1"/>
  <c r="Y275" i="1"/>
  <c r="Y276" i="1"/>
  <c r="AB276" i="1"/>
  <c r="Y277" i="1"/>
  <c r="AB277" i="1"/>
  <c r="Y278" i="1"/>
  <c r="AB278" i="1"/>
  <c r="Y279" i="1"/>
  <c r="AB279" i="1"/>
  <c r="Y280" i="1"/>
  <c r="AB280" i="1"/>
  <c r="P281" i="1"/>
  <c r="Q281" i="1" s="1"/>
  <c r="Y281" i="1"/>
  <c r="Y282" i="1"/>
  <c r="AB282" i="1"/>
  <c r="Y283" i="1"/>
  <c r="AB283" i="1"/>
  <c r="Y284" i="1"/>
  <c r="AB284" i="1"/>
  <c r="Y285" i="1"/>
  <c r="AB285" i="1"/>
  <c r="Y286" i="1"/>
  <c r="AB286" i="1"/>
  <c r="P287" i="1"/>
  <c r="Q287" i="1" s="1"/>
  <c r="Y287" i="1"/>
  <c r="Y288" i="1"/>
  <c r="Y289" i="1"/>
  <c r="Y290" i="1"/>
  <c r="AB290" i="1"/>
  <c r="Y291" i="1"/>
  <c r="AB291" i="1"/>
  <c r="Y292" i="1"/>
  <c r="AB292" i="1"/>
  <c r="P185" i="1"/>
  <c r="Q185" i="1" s="1"/>
  <c r="Y185" i="1"/>
  <c r="Y186" i="1"/>
  <c r="AB186" i="1"/>
  <c r="Y187" i="1"/>
  <c r="AB187" i="1"/>
  <c r="Y188" i="1"/>
  <c r="AB188" i="1"/>
  <c r="Y189" i="1"/>
  <c r="AB189" i="1"/>
  <c r="Y190" i="1"/>
  <c r="AB190" i="1"/>
  <c r="P191" i="1"/>
  <c r="Q191" i="1" s="1"/>
  <c r="Y191" i="1"/>
  <c r="Y192" i="1"/>
  <c r="AB192" i="1"/>
  <c r="Y193" i="1"/>
  <c r="AB193" i="1"/>
  <c r="Y194" i="1"/>
  <c r="AB194" i="1"/>
  <c r="Y195" i="1"/>
  <c r="AB195" i="1"/>
  <c r="Y196" i="1"/>
  <c r="AB196" i="1"/>
  <c r="P197" i="1"/>
  <c r="Q197" i="1" s="1"/>
  <c r="Y197" i="1"/>
  <c r="Y198" i="1"/>
  <c r="AB198" i="1"/>
  <c r="Y199" i="1"/>
  <c r="AB199" i="1"/>
  <c r="Y200" i="1"/>
  <c r="AB200" i="1"/>
  <c r="Y201" i="1"/>
  <c r="AB201" i="1"/>
  <c r="Y202" i="1"/>
  <c r="AB202" i="1"/>
  <c r="P203" i="1"/>
  <c r="Q203" i="1" s="1"/>
  <c r="Y203" i="1"/>
  <c r="Y204" i="1"/>
  <c r="AB204" i="1"/>
  <c r="Y205" i="1"/>
  <c r="AB205" i="1"/>
  <c r="Y206" i="1"/>
  <c r="AB206" i="1"/>
  <c r="Y207" i="1"/>
  <c r="AB207" i="1"/>
  <c r="Y208" i="1"/>
  <c r="AB208" i="1"/>
  <c r="P209" i="1"/>
  <c r="Q209" i="1" s="1"/>
  <c r="Y209" i="1"/>
  <c r="Y210" i="1"/>
  <c r="AB210" i="1"/>
  <c r="Y211" i="1"/>
  <c r="AB211" i="1"/>
  <c r="Y212" i="1"/>
  <c r="AB212" i="1"/>
  <c r="Y213" i="1"/>
  <c r="AB213" i="1"/>
  <c r="Y214" i="1"/>
  <c r="AB214" i="1"/>
  <c r="P215" i="1"/>
  <c r="Q215" i="1" s="1"/>
  <c r="Y215" i="1"/>
  <c r="Y216" i="1"/>
  <c r="Y217" i="1"/>
  <c r="AB217" i="1"/>
  <c r="Y218" i="1"/>
  <c r="AB218" i="1"/>
  <c r="Y219" i="1"/>
  <c r="AB219" i="1"/>
  <c r="Y220" i="1"/>
  <c r="AB220" i="1"/>
  <c r="P221" i="1"/>
  <c r="Q221" i="1" s="1"/>
  <c r="Y221" i="1"/>
  <c r="Y222" i="1"/>
  <c r="Y223" i="1"/>
  <c r="AB223" i="1"/>
  <c r="Y224" i="1"/>
  <c r="AB224" i="1"/>
  <c r="Y225" i="1"/>
  <c r="AB225" i="1"/>
  <c r="Y226" i="1"/>
  <c r="AB226" i="1"/>
  <c r="P227" i="1"/>
  <c r="Q227" i="1" s="1"/>
  <c r="Y227" i="1"/>
  <c r="Y228" i="1"/>
  <c r="AB228" i="1"/>
  <c r="Y229" i="1"/>
  <c r="AB229" i="1"/>
  <c r="Y230" i="1"/>
  <c r="AB230" i="1"/>
  <c r="Y231" i="1"/>
  <c r="AB231" i="1"/>
  <c r="Y232" i="1"/>
  <c r="AB232" i="1"/>
  <c r="P233" i="1"/>
  <c r="Q233" i="1" s="1"/>
  <c r="Y233" i="1"/>
  <c r="Y234" i="1"/>
  <c r="AB234" i="1"/>
  <c r="Y235" i="1"/>
  <c r="AB235" i="1"/>
  <c r="Y236" i="1"/>
  <c r="AB236" i="1"/>
  <c r="Y237" i="1"/>
  <c r="AB237" i="1"/>
  <c r="Y238" i="1"/>
  <c r="AB238" i="1"/>
  <c r="P239" i="1"/>
  <c r="Q239" i="1" s="1"/>
  <c r="Y239" i="1"/>
  <c r="Y240" i="1"/>
  <c r="Y241" i="1"/>
  <c r="AB241" i="1"/>
  <c r="Y242" i="1"/>
  <c r="AB242" i="1"/>
  <c r="Y243" i="1"/>
  <c r="AB243" i="1"/>
  <c r="Y244" i="1"/>
  <c r="AB244" i="1"/>
  <c r="P161" i="1"/>
  <c r="Q161" i="1" s="1"/>
  <c r="Y161" i="1"/>
  <c r="Y162" i="1"/>
  <c r="Y163" i="1"/>
  <c r="Y164" i="1"/>
  <c r="AB164" i="1"/>
  <c r="Y165" i="1"/>
  <c r="AB165" i="1"/>
  <c r="Y166" i="1"/>
  <c r="AB166" i="1"/>
  <c r="P167" i="1"/>
  <c r="Q167" i="1" s="1"/>
  <c r="Y167" i="1"/>
  <c r="Y168" i="1"/>
  <c r="Y169" i="1"/>
  <c r="AB169" i="1"/>
  <c r="Y170" i="1"/>
  <c r="AB170" i="1"/>
  <c r="Y171" i="1"/>
  <c r="AB171" i="1"/>
  <c r="Y172" i="1"/>
  <c r="AB172" i="1"/>
  <c r="P173" i="1"/>
  <c r="Q173" i="1" s="1"/>
  <c r="Y173" i="1"/>
  <c r="Y175" i="1"/>
  <c r="AB175" i="1"/>
  <c r="Y176" i="1"/>
  <c r="AB176" i="1"/>
  <c r="Y177" i="1"/>
  <c r="AB177" i="1"/>
  <c r="Y178" i="1"/>
  <c r="AB178" i="1"/>
  <c r="P179" i="1"/>
  <c r="Q179" i="1" s="1"/>
  <c r="Y179" i="1"/>
  <c r="Y180" i="1"/>
  <c r="AB180" i="1"/>
  <c r="Y181" i="1"/>
  <c r="AB181" i="1"/>
  <c r="Y182" i="1"/>
  <c r="AB182" i="1"/>
  <c r="Y183" i="1"/>
  <c r="AB183" i="1"/>
  <c r="Y184" i="1"/>
  <c r="AB184" i="1"/>
  <c r="P119" i="1"/>
  <c r="Q119" i="1" s="1"/>
  <c r="Y119" i="1"/>
  <c r="Y120" i="1"/>
  <c r="Y121" i="1"/>
  <c r="AB121" i="1"/>
  <c r="Y122" i="1"/>
  <c r="AB122" i="1"/>
  <c r="Y123" i="1"/>
  <c r="AB123" i="1"/>
  <c r="Y124" i="1"/>
  <c r="AB124" i="1"/>
  <c r="P125" i="1"/>
  <c r="Q125" i="1" s="1"/>
  <c r="Y125" i="1"/>
  <c r="Y126" i="1"/>
  <c r="Y127" i="1"/>
  <c r="Y128" i="1"/>
  <c r="Y129" i="1"/>
  <c r="Y130" i="1"/>
  <c r="AB130" i="1"/>
  <c r="P131" i="1"/>
  <c r="Q131" i="1" s="1"/>
  <c r="Y131" i="1"/>
  <c r="Y132" i="1"/>
  <c r="Y133" i="1"/>
  <c r="AB133" i="1"/>
  <c r="Y134" i="1"/>
  <c r="AB134" i="1"/>
  <c r="Y135" i="1"/>
  <c r="AB135" i="1"/>
  <c r="Y136" i="1"/>
  <c r="AB136" i="1"/>
  <c r="P137" i="1"/>
  <c r="Q137" i="1" s="1"/>
  <c r="Y137" i="1"/>
  <c r="Y138" i="1"/>
  <c r="Y139" i="1"/>
  <c r="AB139" i="1"/>
  <c r="Y140" i="1"/>
  <c r="AB140" i="1"/>
  <c r="Y141" i="1"/>
  <c r="AB141" i="1"/>
  <c r="Y142" i="1"/>
  <c r="AB142" i="1"/>
  <c r="P143" i="1"/>
  <c r="Q143" i="1" s="1"/>
  <c r="Y143" i="1"/>
  <c r="Y144" i="1"/>
  <c r="Y145" i="1"/>
  <c r="Y146" i="1"/>
  <c r="AB146" i="1"/>
  <c r="Y147" i="1"/>
  <c r="AB147" i="1"/>
  <c r="Y148" i="1"/>
  <c r="AB148" i="1"/>
  <c r="P149" i="1"/>
  <c r="Q149" i="1" s="1"/>
  <c r="Y149" i="1"/>
  <c r="Y150" i="1"/>
  <c r="AB150" i="1"/>
  <c r="Y151" i="1"/>
  <c r="AB151" i="1"/>
  <c r="Y152" i="1"/>
  <c r="AB152" i="1"/>
  <c r="Y153" i="1"/>
  <c r="AB153" i="1"/>
  <c r="Y154" i="1"/>
  <c r="AB154" i="1"/>
  <c r="P155" i="1"/>
  <c r="Q155" i="1" s="1"/>
  <c r="Y155" i="1"/>
  <c r="Y156" i="1"/>
  <c r="Y157" i="1"/>
  <c r="AB157" i="1"/>
  <c r="Y158" i="1"/>
  <c r="AB158" i="1"/>
  <c r="Y159" i="1"/>
  <c r="AB159" i="1"/>
  <c r="Y160" i="1"/>
  <c r="AB160" i="1"/>
  <c r="P91" i="1"/>
  <c r="Q91" i="1" s="1"/>
  <c r="Y91" i="1"/>
  <c r="Y92" i="1"/>
  <c r="AB92" i="1"/>
  <c r="Y93" i="1"/>
  <c r="AB93" i="1"/>
  <c r="Y94" i="1"/>
  <c r="AB94" i="1"/>
  <c r="Y95" i="1"/>
  <c r="AB95" i="1"/>
  <c r="Y96" i="1"/>
  <c r="AB96" i="1"/>
  <c r="P97" i="1"/>
  <c r="Q97" i="1" s="1"/>
  <c r="Y97" i="1"/>
  <c r="Y98" i="1"/>
  <c r="Y99" i="1"/>
  <c r="Y100" i="1"/>
  <c r="Y101" i="1"/>
  <c r="Y102" i="1"/>
  <c r="P107" i="1"/>
  <c r="Q107" i="1" s="1"/>
  <c r="Y107" i="1"/>
  <c r="Y108" i="1"/>
  <c r="Y109" i="1"/>
  <c r="Y110" i="1"/>
  <c r="AB110" i="1"/>
  <c r="Y111" i="1"/>
  <c r="AB111" i="1"/>
  <c r="Y112" i="1"/>
  <c r="AB112" i="1"/>
  <c r="P113" i="1"/>
  <c r="Q113" i="1" s="1"/>
  <c r="Y113" i="1"/>
  <c r="Y114" i="1"/>
  <c r="Y115" i="1"/>
  <c r="Y116" i="1"/>
  <c r="AB116" i="1"/>
  <c r="Y117" i="1"/>
  <c r="AB117" i="1"/>
  <c r="Y118" i="1"/>
  <c r="AB118" i="1"/>
  <c r="P85" i="1"/>
  <c r="Q85" i="1" s="1"/>
  <c r="Y85" i="1"/>
  <c r="Y86" i="1"/>
  <c r="AB86" i="1"/>
  <c r="Y87" i="1"/>
  <c r="AB87" i="1"/>
  <c r="Y88" i="1"/>
  <c r="AB88" i="1"/>
  <c r="Y89" i="1"/>
  <c r="AB89" i="1"/>
  <c r="Y90" i="1"/>
  <c r="AB90" i="1"/>
  <c r="P79" i="1"/>
  <c r="Q79" i="1" s="1"/>
  <c r="Y31" i="1"/>
  <c r="Y32" i="1"/>
  <c r="Y33" i="1"/>
  <c r="AB33" i="1"/>
  <c r="Y34" i="1"/>
  <c r="AF35" i="1" s="1"/>
  <c r="AB34" i="1"/>
  <c r="Y35" i="1"/>
  <c r="AB35" i="1"/>
  <c r="Y36" i="1"/>
  <c r="AB36" i="1"/>
  <c r="Y37" i="1"/>
  <c r="Y38" i="1"/>
  <c r="Y39" i="1"/>
  <c r="Y40" i="1"/>
  <c r="AF41" i="1" s="1"/>
  <c r="AB40" i="1"/>
  <c r="Y41" i="1"/>
  <c r="AB41" i="1"/>
  <c r="Y42" i="1"/>
  <c r="AB42" i="1"/>
  <c r="Y43" i="1"/>
  <c r="Y44" i="1"/>
  <c r="Y45" i="1"/>
  <c r="AB45" i="1"/>
  <c r="Y46" i="1"/>
  <c r="AB46" i="1"/>
  <c r="Y47" i="1"/>
  <c r="AB47" i="1"/>
  <c r="Y48" i="1"/>
  <c r="AB48" i="1"/>
  <c r="Y49" i="1"/>
  <c r="Y50" i="1"/>
  <c r="Y51" i="1"/>
  <c r="AB51" i="1"/>
  <c r="Y52" i="1"/>
  <c r="AB52" i="1"/>
  <c r="Y53" i="1"/>
  <c r="AB53" i="1"/>
  <c r="Y54" i="1"/>
  <c r="AB54" i="1"/>
  <c r="Y55" i="1"/>
  <c r="Y56" i="1"/>
  <c r="Y57" i="1"/>
  <c r="Y58" i="1"/>
  <c r="Y59" i="1"/>
  <c r="AB59" i="1"/>
  <c r="Y60" i="1"/>
  <c r="AB60" i="1"/>
  <c r="Y61" i="1"/>
  <c r="Y62" i="1"/>
  <c r="Y63" i="1"/>
  <c r="Y64" i="1"/>
  <c r="Y65" i="1"/>
  <c r="Y66" i="1"/>
  <c r="Y67" i="1"/>
  <c r="Y68" i="1"/>
  <c r="Y69" i="1"/>
  <c r="AB69" i="1"/>
  <c r="Y70" i="1"/>
  <c r="AB70" i="1"/>
  <c r="Y71" i="1"/>
  <c r="AB71" i="1"/>
  <c r="Y72" i="1"/>
  <c r="AB72" i="1"/>
  <c r="Y73" i="1"/>
  <c r="Y74" i="1"/>
  <c r="Y75" i="1"/>
  <c r="AB75" i="1"/>
  <c r="Y76" i="1"/>
  <c r="AB76" i="1"/>
  <c r="Y77" i="1"/>
  <c r="AB77" i="1"/>
  <c r="Y78" i="1"/>
  <c r="AB78" i="1"/>
  <c r="Y79" i="1"/>
  <c r="Y80" i="1"/>
  <c r="AB80" i="1"/>
  <c r="Y81" i="1"/>
  <c r="AB81" i="1"/>
  <c r="Y82" i="1"/>
  <c r="AB82" i="1"/>
  <c r="Y83" i="1"/>
  <c r="AB83" i="1"/>
  <c r="Y84" i="1"/>
  <c r="AB84" i="1"/>
  <c r="Y19" i="1"/>
  <c r="Y20" i="1"/>
  <c r="Y21" i="1"/>
  <c r="AB21" i="1"/>
  <c r="Y22" i="1"/>
  <c r="AB22" i="1"/>
  <c r="Y23" i="1"/>
  <c r="AB23" i="1"/>
  <c r="Y24" i="1"/>
  <c r="AB24" i="1"/>
  <c r="Y25" i="1"/>
  <c r="Y26" i="1"/>
  <c r="Y27" i="1"/>
  <c r="Y28" i="1"/>
  <c r="AF29" i="1" s="1"/>
  <c r="AB28" i="1"/>
  <c r="Y29" i="1"/>
  <c r="AF30" i="1" s="1"/>
  <c r="AB29" i="1"/>
  <c r="Y30" i="1"/>
  <c r="AB30" i="1"/>
  <c r="P73" i="1"/>
  <c r="Q73" i="1" s="1"/>
  <c r="S99" i="1"/>
  <c r="S416" i="1"/>
  <c r="S486" i="1"/>
  <c r="S405" i="1"/>
  <c r="S35" i="1"/>
  <c r="S81" i="1"/>
  <c r="S441" i="1"/>
  <c r="S324" i="1"/>
  <c r="S457" i="1"/>
  <c r="S22" i="1"/>
  <c r="S342" i="1"/>
  <c r="S382" i="1"/>
  <c r="S465" i="1"/>
  <c r="S360" i="1"/>
  <c r="S163" i="1"/>
  <c r="S94" i="1"/>
  <c r="S502" i="1"/>
  <c r="S226" i="1"/>
  <c r="S368" i="1"/>
  <c r="S178" i="1"/>
  <c r="S270" i="1"/>
  <c r="S468" i="1"/>
  <c r="S232" i="1"/>
  <c r="S498" i="1"/>
  <c r="S164" i="1"/>
  <c r="S396" i="1"/>
  <c r="S340" i="1"/>
  <c r="S141" i="1"/>
  <c r="S300" i="1"/>
  <c r="S188" i="1"/>
  <c r="S162" i="1"/>
  <c r="S130" i="1"/>
  <c r="S409" i="1"/>
  <c r="S440" i="1"/>
  <c r="S229" i="1"/>
  <c r="S537" i="1"/>
  <c r="S326" i="1"/>
  <c r="S390" i="1"/>
  <c r="S112" i="1"/>
  <c r="S322" i="1"/>
  <c r="S370" i="1"/>
  <c r="S438" i="1"/>
  <c r="S54" i="1"/>
  <c r="S126" i="1"/>
  <c r="S417" i="1"/>
  <c r="S260" i="1"/>
  <c r="S276" i="1"/>
  <c r="S186" i="1"/>
  <c r="S213" i="1"/>
  <c r="S421" i="1"/>
  <c r="S93" i="1"/>
  <c r="S492" i="1"/>
  <c r="S278" i="1"/>
  <c r="S211" i="1"/>
  <c r="S121" i="1"/>
  <c r="S543" i="1"/>
  <c r="S50" i="1"/>
  <c r="S77" i="1"/>
  <c r="S436" i="1"/>
  <c r="S474" i="1"/>
  <c r="S45" i="1"/>
  <c r="S339" i="1"/>
  <c r="S301" i="1"/>
  <c r="S495" i="1"/>
  <c r="S264" i="1"/>
  <c r="S128" i="1"/>
  <c r="S206" i="1"/>
  <c r="S325" i="1"/>
  <c r="S372" i="1"/>
  <c r="S116" i="1"/>
  <c r="S115" i="1"/>
  <c r="S531" i="1"/>
  <c r="S399" i="1"/>
  <c r="S453" i="1"/>
  <c r="S402" i="1"/>
  <c r="S459" i="1"/>
  <c r="S541" i="1"/>
  <c r="S544" i="1"/>
  <c r="S540" i="1"/>
  <c r="S494" i="1"/>
  <c r="S181" i="1"/>
  <c r="S374" i="1"/>
  <c r="S282" i="1"/>
  <c r="S56" i="1"/>
  <c r="S487" i="1"/>
  <c r="S508" i="1"/>
  <c r="S189" i="1"/>
  <c r="S412" i="1"/>
  <c r="S446" i="1"/>
  <c r="S44" i="1"/>
  <c r="S176" i="1"/>
  <c r="S268" i="1"/>
  <c r="S451" i="1"/>
  <c r="S195" i="1"/>
  <c r="S228" i="1"/>
  <c r="S476" i="1"/>
  <c r="S250" i="1"/>
  <c r="S547" i="1"/>
  <c r="S404" i="1"/>
  <c r="S46" i="1"/>
  <c r="S108" i="1"/>
  <c r="S288" i="1"/>
  <c r="S296" i="1"/>
  <c r="S447" i="1"/>
  <c r="S244" i="1"/>
  <c r="S136" i="1"/>
  <c r="S111" i="1"/>
  <c r="S386" i="1"/>
  <c r="S75" i="1"/>
  <c r="S192" i="1"/>
  <c r="S154" i="1"/>
  <c r="S60" i="1"/>
  <c r="S76" i="1"/>
  <c r="S310" i="1"/>
  <c r="S57" i="1"/>
  <c r="S469" i="1"/>
  <c r="S83" i="1"/>
  <c r="S259" i="1"/>
  <c r="S434" i="1"/>
  <c r="S352" i="1"/>
  <c r="S21" i="1"/>
  <c r="S52" i="1"/>
  <c r="S398" i="1"/>
  <c r="S387" i="1"/>
  <c r="S165" i="1"/>
  <c r="S170" i="1"/>
  <c r="S92" i="1"/>
  <c r="S190" i="1"/>
  <c r="S183" i="1"/>
  <c r="S64" i="1"/>
  <c r="S316" i="1"/>
  <c r="S349" i="1"/>
  <c r="S302" i="1"/>
  <c r="S363" i="1"/>
  <c r="S160" i="1"/>
  <c r="S462" i="1"/>
  <c r="S514" i="1"/>
  <c r="S36" i="1"/>
  <c r="S378" i="1"/>
  <c r="S423" i="1"/>
  <c r="S74" i="1"/>
  <c r="S242" i="1"/>
  <c r="S367" i="1"/>
  <c r="S483" i="1"/>
  <c r="S70" i="1"/>
  <c r="S331" i="1"/>
  <c r="S158" i="1"/>
  <c r="S90" i="1"/>
  <c r="S194" i="1"/>
  <c r="S456" i="1"/>
  <c r="S139" i="1"/>
  <c r="S148" i="1"/>
  <c r="S442" i="1"/>
  <c r="S177" i="1"/>
  <c r="S496" i="1"/>
  <c r="S348" i="1"/>
  <c r="S255" i="1"/>
  <c r="S240" i="1"/>
  <c r="S283" i="1"/>
  <c r="S320" i="1"/>
  <c r="S243" i="1"/>
  <c r="S328" i="1"/>
  <c r="S410" i="1"/>
  <c r="S529" i="1"/>
  <c r="S534" i="1"/>
  <c r="S289" i="1"/>
  <c r="S338" i="1"/>
  <c r="S555" i="1"/>
  <c r="S478" i="1"/>
  <c r="S87" i="1"/>
  <c r="S247" i="1"/>
  <c r="S408" i="1"/>
  <c r="S380" i="1"/>
  <c r="S376" i="1"/>
  <c r="S470" i="1"/>
  <c r="S78" i="1"/>
  <c r="S297" i="1"/>
  <c r="S96" i="1"/>
  <c r="S351" i="1"/>
  <c r="S266" i="1"/>
  <c r="S361" i="1"/>
  <c r="S123" i="1"/>
  <c r="S375" i="1"/>
  <c r="S306" i="1"/>
  <c r="S388" i="1"/>
  <c r="S71" i="1"/>
  <c r="S512" i="1"/>
  <c r="S481" i="1"/>
  <c r="S180" i="1"/>
  <c r="S298" i="1"/>
  <c r="S262" i="1"/>
  <c r="S400" i="1"/>
  <c r="S28" i="1"/>
  <c r="S319" i="1"/>
  <c r="S493" i="1"/>
  <c r="S40" i="1"/>
  <c r="S466" i="1"/>
  <c r="S304" i="1"/>
  <c r="S516" i="1"/>
  <c r="S129" i="1"/>
  <c r="S285" i="1"/>
  <c r="S261" i="1"/>
  <c r="S62" i="1"/>
  <c r="S393" i="1"/>
  <c r="S118" i="1"/>
  <c r="S432" i="1"/>
  <c r="S101" i="1"/>
  <c r="S187" i="1"/>
  <c r="S231" i="1"/>
  <c r="S321" i="1"/>
  <c r="S489" i="1"/>
  <c r="S153" i="1"/>
  <c r="S82" i="1"/>
  <c r="S445" i="1"/>
  <c r="S553" i="1"/>
  <c r="S171" i="1"/>
  <c r="S286" i="1"/>
  <c r="S184" i="1"/>
  <c r="S214" i="1"/>
  <c r="S212" i="1"/>
  <c r="S150" i="1"/>
  <c r="S159" i="1"/>
  <c r="S428" i="1"/>
  <c r="S336" i="1"/>
  <c r="S48" i="1"/>
  <c r="S357" i="1"/>
  <c r="S110" i="1"/>
  <c r="S217" i="1"/>
  <c r="S100" i="1"/>
  <c r="S39" i="1"/>
  <c r="S199" i="1"/>
  <c r="S267" i="1"/>
  <c r="S454" i="1"/>
  <c r="S548" i="1"/>
  <c r="S403" i="1"/>
  <c r="S318" i="1"/>
  <c r="S201" i="1"/>
  <c r="S151" i="1"/>
  <c r="S330" i="1"/>
  <c r="S271" i="1"/>
  <c r="S397" i="1"/>
  <c r="S480" i="1"/>
  <c r="S80" i="1"/>
  <c r="S295" i="1"/>
  <c r="S219" i="1"/>
  <c r="S546" i="1"/>
  <c r="S272" i="1"/>
  <c r="S20" i="1"/>
  <c r="S72" i="1"/>
  <c r="S202" i="1"/>
  <c r="S490" i="1"/>
  <c r="S452" i="1"/>
  <c r="S450" i="1"/>
  <c r="S430" i="1"/>
  <c r="S354" i="1"/>
  <c r="S350" i="1"/>
  <c r="S439" i="1"/>
  <c r="S58" i="1"/>
  <c r="S198" i="1"/>
  <c r="S506" i="1"/>
  <c r="S236" i="1"/>
  <c r="S249" i="1"/>
  <c r="S420" i="1"/>
  <c r="S426" i="1"/>
  <c r="S237" i="1"/>
  <c r="S549" i="1"/>
  <c r="S134" i="1"/>
  <c r="S411" i="1"/>
  <c r="S327" i="1"/>
  <c r="S66" i="1"/>
  <c r="S210" i="1"/>
  <c r="S475" i="1"/>
  <c r="S369" i="1"/>
  <c r="S53" i="1"/>
  <c r="S511" i="1"/>
  <c r="S265" i="1"/>
  <c r="S309" i="1"/>
  <c r="S524" i="1"/>
  <c r="S117" i="1"/>
  <c r="S246" i="1"/>
  <c r="S303" i="1"/>
  <c r="S415" i="1"/>
  <c r="S460" i="1"/>
  <c r="S392" i="1"/>
  <c r="S63" i="1"/>
  <c r="S142" i="1"/>
  <c r="S51" i="1"/>
  <c r="S252" i="1"/>
  <c r="S435" i="1"/>
  <c r="S38" i="1"/>
  <c r="S550" i="1"/>
  <c r="S513" i="1"/>
  <c r="S157" i="1"/>
  <c r="S510" i="1"/>
  <c r="S166" i="1"/>
  <c r="S218" i="1"/>
  <c r="S29" i="1"/>
  <c r="S477" i="1"/>
  <c r="S41" i="1"/>
  <c r="S146" i="1"/>
  <c r="S358" i="1"/>
  <c r="S135" i="1"/>
  <c r="S193" i="1"/>
  <c r="S381" i="1"/>
  <c r="S30" i="1"/>
  <c r="S280" i="1"/>
  <c r="S204" i="1"/>
  <c r="S174" i="1"/>
  <c r="S418" i="1"/>
  <c r="S225" i="1"/>
  <c r="S458" i="1"/>
  <c r="S254" i="1"/>
  <c r="S89" i="1"/>
  <c r="S222" i="1"/>
  <c r="S258" i="1"/>
  <c r="S84" i="1"/>
  <c r="S144" i="1"/>
  <c r="S86" i="1"/>
  <c r="S138" i="1"/>
  <c r="S152" i="1"/>
  <c r="S120" i="1"/>
  <c r="S373" i="1"/>
  <c r="S133" i="1"/>
  <c r="S34" i="1"/>
  <c r="S364" i="1"/>
  <c r="S224" i="1"/>
  <c r="S501" i="1"/>
  <c r="S394" i="1"/>
  <c r="S343" i="1"/>
  <c r="S65" i="1"/>
  <c r="S532" i="1"/>
  <c r="S379" i="1"/>
  <c r="S414" i="1"/>
  <c r="S552" i="1"/>
  <c r="S216" i="1"/>
  <c r="S308" i="1"/>
  <c r="S429" i="1"/>
  <c r="S23" i="1"/>
  <c r="S42" i="1"/>
  <c r="S519" i="1"/>
  <c r="S315" i="1"/>
  <c r="S362" i="1"/>
  <c r="S520" i="1"/>
  <c r="S26" i="1"/>
  <c r="S507" i="1"/>
  <c r="S59" i="1"/>
  <c r="S444" i="1"/>
  <c r="S235" i="1"/>
  <c r="S307" i="1"/>
  <c r="S356" i="1"/>
  <c r="S384" i="1"/>
  <c r="S223" i="1"/>
  <c r="S313" i="1"/>
  <c r="S314" i="1"/>
  <c r="S530" i="1"/>
  <c r="S424" i="1"/>
  <c r="S33" i="1"/>
  <c r="S132" i="1"/>
  <c r="S422" i="1"/>
  <c r="S102" i="1"/>
  <c r="S504" i="1"/>
  <c r="S124" i="1"/>
  <c r="S294" i="1"/>
  <c r="S140" i="1"/>
  <c r="S471" i="1"/>
  <c r="S556" i="1"/>
  <c r="S68" i="1"/>
  <c r="S196" i="1"/>
  <c r="S277" i="1"/>
  <c r="S109" i="1"/>
  <c r="S207" i="1"/>
  <c r="S256" i="1"/>
  <c r="S208" i="1"/>
  <c r="S427" i="1"/>
  <c r="S505" i="1"/>
  <c r="S238" i="1"/>
  <c r="S114" i="1"/>
  <c r="S500" i="1"/>
  <c r="S528" i="1"/>
  <c r="S312" i="1"/>
  <c r="S168" i="1"/>
  <c r="S220" i="1"/>
  <c r="S69" i="1"/>
  <c r="S200" i="1"/>
  <c r="S248" i="1"/>
  <c r="S448" i="1"/>
  <c r="S525" i="1"/>
  <c r="S95" i="1"/>
  <c r="S482" i="1"/>
  <c r="S291" i="1"/>
  <c r="S391" i="1"/>
  <c r="S385" i="1"/>
  <c r="S284" i="1"/>
  <c r="S147" i="1"/>
  <c r="S27" i="1"/>
  <c r="S499" i="1"/>
  <c r="S538" i="1"/>
  <c r="S88" i="1"/>
  <c r="S333" i="1"/>
  <c r="S406" i="1"/>
  <c r="S472" i="1"/>
  <c r="S433" i="1"/>
  <c r="S345" i="1"/>
  <c r="S172" i="1"/>
  <c r="S145" i="1"/>
  <c r="S484" i="1"/>
  <c r="S175" i="1"/>
  <c r="S536" i="1"/>
  <c r="S32" i="1"/>
  <c r="S337" i="1"/>
  <c r="S230" i="1"/>
  <c r="S169" i="1"/>
  <c r="S523" i="1"/>
  <c r="S334" i="1"/>
  <c r="S332" i="1"/>
  <c r="S127" i="1"/>
  <c r="S346" i="1"/>
  <c r="S273" i="1"/>
  <c r="S488" i="1"/>
  <c r="S122" i="1"/>
  <c r="S518" i="1"/>
  <c r="S535" i="1"/>
  <c r="S366" i="1"/>
  <c r="S279" i="1"/>
  <c r="S182" i="1"/>
  <c r="S464" i="1"/>
  <c r="S234" i="1"/>
  <c r="S344" i="1"/>
  <c r="S253" i="1"/>
  <c r="S290" i="1"/>
  <c r="S98" i="1"/>
  <c r="S355" i="1"/>
  <c r="S205" i="1"/>
  <c r="S241" i="1"/>
  <c r="S542" i="1"/>
  <c r="S274" i="1"/>
  <c r="S554" i="1"/>
  <c r="S517" i="1"/>
  <c r="S463" i="1"/>
  <c r="S47" i="1"/>
  <c r="S526" i="1"/>
  <c r="S522" i="1"/>
  <c r="S156" i="1"/>
  <c r="S292" i="1"/>
  <c r="S24" i="1"/>
  <c r="AF40" i="1" l="1"/>
  <c r="AF33" i="1"/>
  <c r="AF28" i="1"/>
  <c r="AF23" i="1"/>
  <c r="AF521" i="1"/>
  <c r="AG521" i="1" s="1"/>
  <c r="AF479" i="1"/>
  <c r="AF263" i="1"/>
  <c r="AF167" i="1"/>
  <c r="AF149" i="1"/>
  <c r="AF22" i="1"/>
  <c r="AF36" i="1"/>
  <c r="AF21" i="1"/>
  <c r="AF34" i="1"/>
  <c r="AF42" i="1"/>
  <c r="AF24" i="1"/>
  <c r="AF37" i="1"/>
  <c r="AF31" i="1"/>
  <c r="AF25" i="1"/>
  <c r="AF545" i="1"/>
  <c r="AG545" i="1" s="1"/>
  <c r="AF413" i="1"/>
  <c r="AG413" i="1" s="1"/>
  <c r="AF347" i="1"/>
  <c r="AG347" i="1" s="1"/>
  <c r="AF311" i="1"/>
  <c r="AG311" i="1" s="1"/>
  <c r="AF419" i="1"/>
  <c r="AG419" i="1" s="1"/>
  <c r="AF215" i="1"/>
  <c r="AG215" i="1" s="1"/>
  <c r="AF323" i="1"/>
  <c r="AG323" i="1" s="1"/>
  <c r="AF539" i="1"/>
  <c r="AG539" i="1" s="1"/>
  <c r="AF449" i="1"/>
  <c r="AH449" i="1" s="1"/>
  <c r="AF450" i="1" s="1"/>
  <c r="AF73" i="1"/>
  <c r="AG73" i="1" s="1"/>
  <c r="AH509" i="1"/>
  <c r="AF510" i="1" s="1"/>
  <c r="AG510" i="1" s="1"/>
  <c r="AF275" i="1"/>
  <c r="AG275" i="1" s="1"/>
  <c r="AF143" i="1"/>
  <c r="AG143" i="1" s="1"/>
  <c r="AF113" i="1"/>
  <c r="AH113" i="1" s="1"/>
  <c r="AF114" i="1" s="1"/>
  <c r="AF251" i="1"/>
  <c r="AG251" i="1" s="1"/>
  <c r="AF179" i="1"/>
  <c r="AH179" i="1" s="1"/>
  <c r="AF180" i="1" s="1"/>
  <c r="AF209" i="1"/>
  <c r="AH209" i="1" s="1"/>
  <c r="AF210" i="1" s="1"/>
  <c r="AF79" i="1"/>
  <c r="AG79" i="1" s="1"/>
  <c r="AF233" i="1"/>
  <c r="AG233" i="1" s="1"/>
  <c r="AF155" i="1"/>
  <c r="AG155" i="1" s="1"/>
  <c r="AF443" i="1"/>
  <c r="AG443" i="1" s="1"/>
  <c r="AF137" i="1"/>
  <c r="AG137" i="1" s="1"/>
  <c r="AF533" i="1"/>
  <c r="AG533" i="1" s="1"/>
  <c r="AF317" i="1"/>
  <c r="AG317" i="1" s="1"/>
  <c r="AF97" i="1"/>
  <c r="AH97" i="1" s="1"/>
  <c r="AF98" i="1" s="1"/>
  <c r="AF197" i="1"/>
  <c r="AH197" i="1" s="1"/>
  <c r="AF198" i="1" s="1"/>
  <c r="AF365" i="1"/>
  <c r="AG365" i="1" s="1"/>
  <c r="AF287" i="1"/>
  <c r="AG287" i="1" s="1"/>
  <c r="AF203" i="1"/>
  <c r="AH203" i="1" s="1"/>
  <c r="AF204" i="1" s="1"/>
  <c r="AF461" i="1"/>
  <c r="AG461" i="1" s="1"/>
  <c r="AF377" i="1"/>
  <c r="AH377" i="1" s="1"/>
  <c r="AF378" i="1" s="1"/>
  <c r="AG479" i="1"/>
  <c r="AH479" i="1"/>
  <c r="AF480" i="1" s="1"/>
  <c r="AF503" i="1"/>
  <c r="AF437" i="1"/>
  <c r="AF485" i="1"/>
  <c r="Q497" i="1"/>
  <c r="Q395" i="1"/>
  <c r="AF395" i="1" s="1"/>
  <c r="AF527" i="1"/>
  <c r="Q455" i="1"/>
  <c r="AF455" i="1" s="1"/>
  <c r="AF491" i="1"/>
  <c r="AF473" i="1"/>
  <c r="AF467" i="1"/>
  <c r="AF383" i="1"/>
  <c r="AF551" i="1"/>
  <c r="AH515" i="1"/>
  <c r="AF516" i="1" s="1"/>
  <c r="AF359" i="1"/>
  <c r="Q371" i="1"/>
  <c r="AF371" i="1" s="1"/>
  <c r="AF497" i="1"/>
  <c r="AH407" i="1"/>
  <c r="AF408" i="1" s="1"/>
  <c r="AF341" i="1"/>
  <c r="Q431" i="1"/>
  <c r="AF431" i="1" s="1"/>
  <c r="AF401" i="1"/>
  <c r="Q335" i="1"/>
  <c r="AF335" i="1" s="1"/>
  <c r="AF305" i="1"/>
  <c r="Q299" i="1"/>
  <c r="AF299" i="1" s="1"/>
  <c r="AF425" i="1"/>
  <c r="AF329" i="1"/>
  <c r="AF389" i="1"/>
  <c r="AF293" i="1"/>
  <c r="AF353" i="1"/>
  <c r="AG263" i="1"/>
  <c r="AH263" i="1"/>
  <c r="AF264" i="1" s="1"/>
  <c r="AF257" i="1"/>
  <c r="AF281" i="1"/>
  <c r="AF245" i="1"/>
  <c r="AF269" i="1"/>
  <c r="AF239" i="1"/>
  <c r="AF221" i="1"/>
  <c r="AF185" i="1"/>
  <c r="AF227" i="1"/>
  <c r="AF191" i="1"/>
  <c r="AG167" i="1"/>
  <c r="AH167" i="1"/>
  <c r="AF168" i="1" s="1"/>
  <c r="AF173" i="1"/>
  <c r="AF161" i="1"/>
  <c r="AH149" i="1"/>
  <c r="AF150" i="1" s="1"/>
  <c r="AG149" i="1"/>
  <c r="AF131" i="1"/>
  <c r="AF119" i="1"/>
  <c r="AF125" i="1"/>
  <c r="AF107" i="1"/>
  <c r="AF91" i="1"/>
  <c r="AF85" i="1"/>
  <c r="J12" i="22"/>
  <c r="K12" i="22"/>
  <c r="L12" i="22"/>
  <c r="F15" i="22"/>
  <c r="G15" i="22"/>
  <c r="H15" i="22"/>
  <c r="I15" i="22"/>
  <c r="J15" i="22"/>
  <c r="K15" i="22"/>
  <c r="L15" i="22"/>
  <c r="M15" i="22"/>
  <c r="F18" i="22"/>
  <c r="G18" i="22"/>
  <c r="H18" i="22"/>
  <c r="I18" i="22"/>
  <c r="J18" i="22"/>
  <c r="K18" i="22"/>
  <c r="L18" i="22"/>
  <c r="M18" i="22"/>
  <c r="F21" i="22"/>
  <c r="G21" i="22"/>
  <c r="H21" i="22"/>
  <c r="I21" i="22"/>
  <c r="J21" i="22"/>
  <c r="K21" i="22"/>
  <c r="L21" i="22"/>
  <c r="M21" i="22"/>
  <c r="F24" i="22"/>
  <c r="G24" i="22"/>
  <c r="H24" i="22"/>
  <c r="I24" i="22"/>
  <c r="J24" i="22"/>
  <c r="K24" i="22"/>
  <c r="L24" i="22"/>
  <c r="M24" i="22"/>
  <c r="F27" i="22"/>
  <c r="G27" i="22"/>
  <c r="H27" i="22"/>
  <c r="I27" i="22"/>
  <c r="J27" i="22"/>
  <c r="K27" i="22"/>
  <c r="L27" i="22"/>
  <c r="M27" i="22"/>
  <c r="F30" i="22"/>
  <c r="G30" i="22"/>
  <c r="H30" i="22"/>
  <c r="I30" i="22"/>
  <c r="J30" i="22"/>
  <c r="K30" i="22"/>
  <c r="L30" i="22"/>
  <c r="M30" i="22"/>
  <c r="F33" i="22"/>
  <c r="G33" i="22"/>
  <c r="H33" i="22"/>
  <c r="I33" i="22"/>
  <c r="J33" i="22"/>
  <c r="K33" i="22"/>
  <c r="L33" i="22"/>
  <c r="M33" i="22"/>
  <c r="F36" i="22"/>
  <c r="G36" i="22"/>
  <c r="H36" i="22"/>
  <c r="I36" i="22"/>
  <c r="J36" i="22"/>
  <c r="K36" i="22"/>
  <c r="L36" i="22"/>
  <c r="M36" i="22"/>
  <c r="F39" i="22"/>
  <c r="G39" i="22"/>
  <c r="H39" i="22"/>
  <c r="I39" i="22"/>
  <c r="J39" i="22"/>
  <c r="K39" i="22"/>
  <c r="L39" i="22"/>
  <c r="M39" i="22"/>
  <c r="H15" i="24"/>
  <c r="H18" i="24"/>
  <c r="H21" i="24"/>
  <c r="H24" i="24"/>
  <c r="H27" i="24"/>
  <c r="H30" i="24"/>
  <c r="H33" i="24"/>
  <c r="H36" i="24"/>
  <c r="H39" i="24"/>
  <c r="H15" i="23"/>
  <c r="H18" i="23"/>
  <c r="H21" i="23"/>
  <c r="H24" i="23"/>
  <c r="H27" i="23"/>
  <c r="H30" i="23"/>
  <c r="H33" i="23"/>
  <c r="H36" i="23"/>
  <c r="H39" i="23"/>
  <c r="AH521" i="1" l="1"/>
  <c r="AF522" i="1" s="1"/>
  <c r="AG522" i="1" s="1"/>
  <c r="AH461" i="1"/>
  <c r="AF462" i="1" s="1"/>
  <c r="AH462" i="1" s="1"/>
  <c r="AF463" i="1" s="1"/>
  <c r="AG377" i="1"/>
  <c r="AH137" i="1"/>
  <c r="AF138" i="1" s="1"/>
  <c r="AH138" i="1" s="1"/>
  <c r="AF139" i="1" s="1"/>
  <c r="AH539" i="1"/>
  <c r="AF540" i="1" s="1"/>
  <c r="AG540" i="1" s="1"/>
  <c r="AG449" i="1"/>
  <c r="AH419" i="1"/>
  <c r="AF420" i="1" s="1"/>
  <c r="AH420" i="1" s="1"/>
  <c r="AF421" i="1" s="1"/>
  <c r="AH311" i="1"/>
  <c r="AF312" i="1" s="1"/>
  <c r="AH312" i="1" s="1"/>
  <c r="AF313" i="1" s="1"/>
  <c r="AH287" i="1"/>
  <c r="AF288" i="1" s="1"/>
  <c r="AH288" i="1" s="1"/>
  <c r="AF289" i="1" s="1"/>
  <c r="AH215" i="1"/>
  <c r="AF216" i="1" s="1"/>
  <c r="AG216" i="1" s="1"/>
  <c r="AH155" i="1"/>
  <c r="AF156" i="1" s="1"/>
  <c r="AG156" i="1" s="1"/>
  <c r="AH143" i="1"/>
  <c r="AF144" i="1" s="1"/>
  <c r="AG144" i="1" s="1"/>
  <c r="AH323" i="1"/>
  <c r="AF324" i="1" s="1"/>
  <c r="AH324" i="1" s="1"/>
  <c r="AF325" i="1" s="1"/>
  <c r="AG209" i="1"/>
  <c r="AH347" i="1"/>
  <c r="AF348" i="1" s="1"/>
  <c r="AG348" i="1" s="1"/>
  <c r="AH545" i="1"/>
  <c r="AF546" i="1" s="1"/>
  <c r="AG546" i="1" s="1"/>
  <c r="AH413" i="1"/>
  <c r="AF414" i="1" s="1"/>
  <c r="AG414" i="1" s="1"/>
  <c r="AH533" i="1"/>
  <c r="AF534" i="1" s="1"/>
  <c r="AH534" i="1" s="1"/>
  <c r="AF535" i="1" s="1"/>
  <c r="AG179" i="1"/>
  <c r="AH317" i="1"/>
  <c r="AF318" i="1" s="1"/>
  <c r="AH318" i="1" s="1"/>
  <c r="AF319" i="1" s="1"/>
  <c r="AG203" i="1"/>
  <c r="AH73" i="1"/>
  <c r="AF74" i="1" s="1"/>
  <c r="AG74" i="1" s="1"/>
  <c r="AH275" i="1"/>
  <c r="AF276" i="1" s="1"/>
  <c r="AG276" i="1" s="1"/>
  <c r="AH79" i="1"/>
  <c r="AF80" i="1" s="1"/>
  <c r="AG80" i="1" s="1"/>
  <c r="AH510" i="1"/>
  <c r="AF511" i="1" s="1"/>
  <c r="AG511" i="1" s="1"/>
  <c r="AG97" i="1"/>
  <c r="AG197" i="1"/>
  <c r="AG113" i="1"/>
  <c r="AH233" i="1"/>
  <c r="AF234" i="1" s="1"/>
  <c r="AG234" i="1" s="1"/>
  <c r="AH251" i="1"/>
  <c r="AF252" i="1" s="1"/>
  <c r="AG252" i="1" s="1"/>
  <c r="AH365" i="1"/>
  <c r="AF366" i="1" s="1"/>
  <c r="AG366" i="1" s="1"/>
  <c r="AH443" i="1"/>
  <c r="AF444" i="1" s="1"/>
  <c r="AG444" i="1" s="1"/>
  <c r="AG516" i="1"/>
  <c r="AH516" i="1"/>
  <c r="AF517" i="1" s="1"/>
  <c r="AG527" i="1"/>
  <c r="AH527" i="1"/>
  <c r="AF528" i="1" s="1"/>
  <c r="AG480" i="1"/>
  <c r="AH480" i="1"/>
  <c r="AF481" i="1" s="1"/>
  <c r="AH425" i="1"/>
  <c r="AF426" i="1" s="1"/>
  <c r="AG425" i="1"/>
  <c r="AG473" i="1"/>
  <c r="AH473" i="1"/>
  <c r="AF474" i="1" s="1"/>
  <c r="AG408" i="1"/>
  <c r="AH408" i="1"/>
  <c r="AF409" i="1" s="1"/>
  <c r="AG437" i="1"/>
  <c r="AH437" i="1"/>
  <c r="AF438" i="1" s="1"/>
  <c r="AG341" i="1"/>
  <c r="AH341" i="1"/>
  <c r="AF342" i="1" s="1"/>
  <c r="AG491" i="1"/>
  <c r="AH491" i="1"/>
  <c r="AF492" i="1" s="1"/>
  <c r="AG293" i="1"/>
  <c r="AH293" i="1"/>
  <c r="AF294" i="1" s="1"/>
  <c r="AG359" i="1"/>
  <c r="AH359" i="1"/>
  <c r="AF360" i="1" s="1"/>
  <c r="AG551" i="1"/>
  <c r="AH551" i="1"/>
  <c r="AF552" i="1" s="1"/>
  <c r="AH485" i="1"/>
  <c r="AF486" i="1" s="1"/>
  <c r="AG485" i="1"/>
  <c r="AG335" i="1"/>
  <c r="AH335" i="1"/>
  <c r="AF336" i="1" s="1"/>
  <c r="AG450" i="1"/>
  <c r="AH450" i="1"/>
  <c r="AF451" i="1" s="1"/>
  <c r="AH401" i="1"/>
  <c r="AF402" i="1" s="1"/>
  <c r="AG401" i="1"/>
  <c r="AG378" i="1"/>
  <c r="AH378" i="1"/>
  <c r="AF379" i="1" s="1"/>
  <c r="AG383" i="1"/>
  <c r="AH383" i="1"/>
  <c r="AF384" i="1" s="1"/>
  <c r="AG371" i="1"/>
  <c r="AH371" i="1"/>
  <c r="AF372" i="1" s="1"/>
  <c r="AH395" i="1"/>
  <c r="AF396" i="1" s="1"/>
  <c r="AG395" i="1"/>
  <c r="AG389" i="1"/>
  <c r="AH389" i="1"/>
  <c r="AF390" i="1" s="1"/>
  <c r="AG455" i="1"/>
  <c r="AH455" i="1"/>
  <c r="AF456" i="1" s="1"/>
  <c r="AH503" i="1"/>
  <c r="AF504" i="1" s="1"/>
  <c r="AG503" i="1"/>
  <c r="AG299" i="1"/>
  <c r="AH299" i="1"/>
  <c r="AF300" i="1" s="1"/>
  <c r="AH431" i="1"/>
  <c r="AF432" i="1" s="1"/>
  <c r="AG431" i="1"/>
  <c r="AG497" i="1"/>
  <c r="AH497" i="1"/>
  <c r="AF498" i="1" s="1"/>
  <c r="AG329" i="1"/>
  <c r="AH329" i="1"/>
  <c r="AF330" i="1" s="1"/>
  <c r="AH305" i="1"/>
  <c r="AF306" i="1" s="1"/>
  <c r="AG305" i="1"/>
  <c r="AG353" i="1"/>
  <c r="AH353" i="1"/>
  <c r="AF354" i="1" s="1"/>
  <c r="AG467" i="1"/>
  <c r="AH467" i="1"/>
  <c r="AF468" i="1" s="1"/>
  <c r="AG264" i="1"/>
  <c r="AH264" i="1"/>
  <c r="AF265" i="1" s="1"/>
  <c r="AG245" i="1"/>
  <c r="AH245" i="1"/>
  <c r="AF246" i="1" s="1"/>
  <c r="AG281" i="1"/>
  <c r="AH281" i="1"/>
  <c r="AF282" i="1" s="1"/>
  <c r="AG269" i="1"/>
  <c r="AH269" i="1"/>
  <c r="AF270" i="1" s="1"/>
  <c r="AH257" i="1"/>
  <c r="AF258" i="1" s="1"/>
  <c r="AG257" i="1"/>
  <c r="AH210" i="1"/>
  <c r="AF211" i="1" s="1"/>
  <c r="AG210" i="1"/>
  <c r="AG204" i="1"/>
  <c r="AH204" i="1"/>
  <c r="AF205" i="1" s="1"/>
  <c r="AG191" i="1"/>
  <c r="AH191" i="1"/>
  <c r="AF192" i="1" s="1"/>
  <c r="AG221" i="1"/>
  <c r="AH221" i="1"/>
  <c r="AF222" i="1" s="1"/>
  <c r="AG227" i="1"/>
  <c r="AH227" i="1"/>
  <c r="AF228" i="1" s="1"/>
  <c r="AG198" i="1"/>
  <c r="AH198" i="1"/>
  <c r="AF199" i="1" s="1"/>
  <c r="AG239" i="1"/>
  <c r="AH239" i="1"/>
  <c r="AF240" i="1" s="1"/>
  <c r="AG185" i="1"/>
  <c r="AH185" i="1"/>
  <c r="AF186" i="1" s="1"/>
  <c r="AG180" i="1"/>
  <c r="AH180" i="1"/>
  <c r="AF181" i="1" s="1"/>
  <c r="AG161" i="1"/>
  <c r="AH161" i="1"/>
  <c r="AF162" i="1" s="1"/>
  <c r="AG168" i="1"/>
  <c r="AH168" i="1"/>
  <c r="AF169" i="1" s="1"/>
  <c r="AH173" i="1"/>
  <c r="AF174" i="1" s="1"/>
  <c r="AG173" i="1"/>
  <c r="AG150" i="1"/>
  <c r="AH150" i="1"/>
  <c r="AF151" i="1" s="1"/>
  <c r="AG119" i="1"/>
  <c r="AH119" i="1"/>
  <c r="AF120" i="1" s="1"/>
  <c r="AH131" i="1"/>
  <c r="AF132" i="1" s="1"/>
  <c r="AG131" i="1"/>
  <c r="AG125" i="1"/>
  <c r="AH125" i="1"/>
  <c r="AF126" i="1" s="1"/>
  <c r="AG98" i="1"/>
  <c r="AH98" i="1"/>
  <c r="AF99" i="1" s="1"/>
  <c r="AG91" i="1"/>
  <c r="AH91" i="1"/>
  <c r="AF92" i="1" s="1"/>
  <c r="AG114" i="1"/>
  <c r="AH114" i="1"/>
  <c r="AF115" i="1" s="1"/>
  <c r="AH107" i="1"/>
  <c r="AF108" i="1" s="1"/>
  <c r="AG107" i="1"/>
  <c r="AG85" i="1"/>
  <c r="AH85" i="1"/>
  <c r="AF86" i="1" s="1"/>
  <c r="AH522" i="1" l="1"/>
  <c r="AF523" i="1" s="1"/>
  <c r="AG462" i="1"/>
  <c r="AG324" i="1"/>
  <c r="AH144" i="1"/>
  <c r="AF145" i="1" s="1"/>
  <c r="AH145" i="1" s="1"/>
  <c r="AF146" i="1" s="1"/>
  <c r="AG138" i="1"/>
  <c r="AH540" i="1"/>
  <c r="AF541" i="1" s="1"/>
  <c r="AG541" i="1" s="1"/>
  <c r="AG534" i="1"/>
  <c r="AH511" i="1"/>
  <c r="AF512" i="1" s="1"/>
  <c r="AG512" i="1" s="1"/>
  <c r="AG420" i="1"/>
  <c r="AH414" i="1"/>
  <c r="AF415" i="1" s="1"/>
  <c r="AG415" i="1" s="1"/>
  <c r="AG318" i="1"/>
  <c r="AG312" i="1"/>
  <c r="AG288" i="1"/>
  <c r="AH276" i="1"/>
  <c r="AF277" i="1" s="1"/>
  <c r="AG277" i="1" s="1"/>
  <c r="AH234" i="1"/>
  <c r="AF235" i="1" s="1"/>
  <c r="AH235" i="1" s="1"/>
  <c r="AF236" i="1" s="1"/>
  <c r="AH216" i="1"/>
  <c r="AF217" i="1" s="1"/>
  <c r="AH217" i="1" s="1"/>
  <c r="AF218" i="1" s="1"/>
  <c r="AH156" i="1"/>
  <c r="AF157" i="1" s="1"/>
  <c r="AG157" i="1" s="1"/>
  <c r="AH80" i="1"/>
  <c r="AF81" i="1" s="1"/>
  <c r="AH81" i="1" s="1"/>
  <c r="AF82" i="1" s="1"/>
  <c r="AH74" i="1"/>
  <c r="AF75" i="1" s="1"/>
  <c r="AG75" i="1" s="1"/>
  <c r="AH348" i="1"/>
  <c r="AF349" i="1" s="1"/>
  <c r="AG349" i="1" s="1"/>
  <c r="AH252" i="1"/>
  <c r="AF253" i="1" s="1"/>
  <c r="AH253" i="1" s="1"/>
  <c r="AF254" i="1" s="1"/>
  <c r="AH546" i="1"/>
  <c r="AF547" i="1" s="1"/>
  <c r="AH547" i="1" s="1"/>
  <c r="AF548" i="1" s="1"/>
  <c r="AH444" i="1"/>
  <c r="AF445" i="1" s="1"/>
  <c r="AG445" i="1" s="1"/>
  <c r="AH366" i="1"/>
  <c r="AF367" i="1" s="1"/>
  <c r="AH367" i="1" s="1"/>
  <c r="AF368" i="1" s="1"/>
  <c r="AG384" i="1"/>
  <c r="AH384" i="1"/>
  <c r="AF385" i="1" s="1"/>
  <c r="AG474" i="1"/>
  <c r="AH474" i="1"/>
  <c r="AF475" i="1" s="1"/>
  <c r="AG402" i="1"/>
  <c r="AH402" i="1"/>
  <c r="AF403" i="1" s="1"/>
  <c r="AG300" i="1"/>
  <c r="AH300" i="1"/>
  <c r="AF301" i="1" s="1"/>
  <c r="AG372" i="1"/>
  <c r="AH372" i="1"/>
  <c r="AF373" i="1" s="1"/>
  <c r="AH451" i="1"/>
  <c r="AF452" i="1" s="1"/>
  <c r="AG451" i="1"/>
  <c r="AG492" i="1"/>
  <c r="AH492" i="1"/>
  <c r="AF493" i="1" s="1"/>
  <c r="AG390" i="1"/>
  <c r="AH390" i="1"/>
  <c r="AF391" i="1" s="1"/>
  <c r="AG481" i="1"/>
  <c r="AH481" i="1"/>
  <c r="AF482" i="1" s="1"/>
  <c r="AH336" i="1"/>
  <c r="AF337" i="1" s="1"/>
  <c r="AG336" i="1"/>
  <c r="AG535" i="1"/>
  <c r="AH535" i="1"/>
  <c r="AF536" i="1" s="1"/>
  <c r="AG528" i="1"/>
  <c r="AH528" i="1"/>
  <c r="AF529" i="1" s="1"/>
  <c r="AG306" i="1"/>
  <c r="AH306" i="1"/>
  <c r="AF307" i="1" s="1"/>
  <c r="AG552" i="1"/>
  <c r="AH552" i="1"/>
  <c r="AF553" i="1" s="1"/>
  <c r="AH468" i="1"/>
  <c r="AF469" i="1" s="1"/>
  <c r="AG468" i="1"/>
  <c r="AH432" i="1"/>
  <c r="AF433" i="1" s="1"/>
  <c r="AG432" i="1"/>
  <c r="AG504" i="1"/>
  <c r="AH504" i="1"/>
  <c r="AF505" i="1" s="1"/>
  <c r="AG319" i="1"/>
  <c r="AH319" i="1"/>
  <c r="AF320" i="1" s="1"/>
  <c r="AG313" i="1"/>
  <c r="AH313" i="1"/>
  <c r="AF314" i="1" s="1"/>
  <c r="AG498" i="1"/>
  <c r="AH498" i="1"/>
  <c r="AF499" i="1" s="1"/>
  <c r="AG360" i="1"/>
  <c r="AH360" i="1"/>
  <c r="AF361" i="1" s="1"/>
  <c r="AG354" i="1"/>
  <c r="AH354" i="1"/>
  <c r="AF355" i="1" s="1"/>
  <c r="AG330" i="1"/>
  <c r="AH330" i="1"/>
  <c r="AF331" i="1" s="1"/>
  <c r="AH456" i="1"/>
  <c r="AF457" i="1" s="1"/>
  <c r="AG456" i="1"/>
  <c r="AG486" i="1"/>
  <c r="AH486" i="1"/>
  <c r="AF487" i="1" s="1"/>
  <c r="AG421" i="1"/>
  <c r="AH421" i="1"/>
  <c r="AF422" i="1" s="1"/>
  <c r="AG379" i="1"/>
  <c r="AH379" i="1"/>
  <c r="AF380" i="1" s="1"/>
  <c r="AG396" i="1"/>
  <c r="AH396" i="1"/>
  <c r="AF397" i="1" s="1"/>
  <c r="AG342" i="1"/>
  <c r="AH342" i="1"/>
  <c r="AF343" i="1" s="1"/>
  <c r="AG325" i="1"/>
  <c r="AH325" i="1"/>
  <c r="AF326" i="1" s="1"/>
  <c r="AG438" i="1"/>
  <c r="AH438" i="1"/>
  <c r="AF439" i="1" s="1"/>
  <c r="AG523" i="1"/>
  <c r="AH523" i="1"/>
  <c r="AF524" i="1" s="1"/>
  <c r="AG409" i="1"/>
  <c r="AH409" i="1"/>
  <c r="AF410" i="1" s="1"/>
  <c r="AH463" i="1"/>
  <c r="AF464" i="1" s="1"/>
  <c r="AG463" i="1"/>
  <c r="AG517" i="1"/>
  <c r="AH517" i="1"/>
  <c r="AF518" i="1" s="1"/>
  <c r="AG294" i="1"/>
  <c r="AH294" i="1"/>
  <c r="AF295" i="1" s="1"/>
  <c r="AH426" i="1"/>
  <c r="AF427" i="1" s="1"/>
  <c r="AG426" i="1"/>
  <c r="AG258" i="1"/>
  <c r="AH258" i="1"/>
  <c r="AF259" i="1" s="1"/>
  <c r="AH270" i="1"/>
  <c r="AF271" i="1" s="1"/>
  <c r="AG270" i="1"/>
  <c r="AG246" i="1"/>
  <c r="AH246" i="1"/>
  <c r="AF247" i="1" s="1"/>
  <c r="AG282" i="1"/>
  <c r="AH282" i="1"/>
  <c r="AF283" i="1" s="1"/>
  <c r="AG289" i="1"/>
  <c r="AH289" i="1"/>
  <c r="AF290" i="1" s="1"/>
  <c r="AG265" i="1"/>
  <c r="AH265" i="1"/>
  <c r="AF266" i="1" s="1"/>
  <c r="AG199" i="1"/>
  <c r="AH199" i="1"/>
  <c r="AF200" i="1" s="1"/>
  <c r="AG222" i="1"/>
  <c r="AH222" i="1"/>
  <c r="AF223" i="1" s="1"/>
  <c r="AH228" i="1"/>
  <c r="AF229" i="1" s="1"/>
  <c r="AG228" i="1"/>
  <c r="AH192" i="1"/>
  <c r="AF193" i="1" s="1"/>
  <c r="AG192" i="1"/>
  <c r="AG186" i="1"/>
  <c r="AH186" i="1"/>
  <c r="AF187" i="1" s="1"/>
  <c r="AG205" i="1"/>
  <c r="AH205" i="1"/>
  <c r="AF206" i="1" s="1"/>
  <c r="AH240" i="1"/>
  <c r="AF241" i="1" s="1"/>
  <c r="AG240" i="1"/>
  <c r="AG211" i="1"/>
  <c r="AH211" i="1"/>
  <c r="AF212" i="1" s="1"/>
  <c r="AH181" i="1"/>
  <c r="AF182" i="1" s="1"/>
  <c r="AG181" i="1"/>
  <c r="AG174" i="1"/>
  <c r="AH174" i="1"/>
  <c r="AF175" i="1" s="1"/>
  <c r="AG169" i="1"/>
  <c r="AH169" i="1"/>
  <c r="AF170" i="1" s="1"/>
  <c r="AG162" i="1"/>
  <c r="AH162" i="1"/>
  <c r="AF163" i="1" s="1"/>
  <c r="AG132" i="1"/>
  <c r="AH132" i="1"/>
  <c r="AF133" i="1" s="1"/>
  <c r="AG151" i="1"/>
  <c r="AH151" i="1"/>
  <c r="AF152" i="1" s="1"/>
  <c r="AG139" i="1"/>
  <c r="AH139" i="1"/>
  <c r="AF140" i="1" s="1"/>
  <c r="AG126" i="1"/>
  <c r="AH126" i="1"/>
  <c r="AF127" i="1" s="1"/>
  <c r="AG120" i="1"/>
  <c r="AH120" i="1"/>
  <c r="AF121" i="1" s="1"/>
  <c r="AG115" i="1"/>
  <c r="AH115" i="1"/>
  <c r="AF116" i="1" s="1"/>
  <c r="AG99" i="1"/>
  <c r="AH99" i="1"/>
  <c r="AF100" i="1" s="1"/>
  <c r="AG92" i="1"/>
  <c r="AH92" i="1"/>
  <c r="AF93" i="1" s="1"/>
  <c r="AH108" i="1"/>
  <c r="AF109" i="1" s="1"/>
  <c r="AG108" i="1"/>
  <c r="AG86" i="1"/>
  <c r="AH86" i="1"/>
  <c r="AF87" i="1" s="1"/>
  <c r="AG235" i="1" l="1"/>
  <c r="AG145" i="1"/>
  <c r="AG547" i="1"/>
  <c r="AH541" i="1"/>
  <c r="AF542" i="1" s="1"/>
  <c r="AH542" i="1" s="1"/>
  <c r="AF543" i="1" s="1"/>
  <c r="AH512" i="1"/>
  <c r="AF513" i="1" s="1"/>
  <c r="AH513" i="1" s="1"/>
  <c r="AF514" i="1" s="1"/>
  <c r="AH415" i="1"/>
  <c r="AF416" i="1" s="1"/>
  <c r="AG416" i="1" s="1"/>
  <c r="AG367" i="1"/>
  <c r="AH349" i="1"/>
  <c r="AF350" i="1" s="1"/>
  <c r="AH350" i="1" s="1"/>
  <c r="AF351" i="1" s="1"/>
  <c r="AH277" i="1"/>
  <c r="AF278" i="1" s="1"/>
  <c r="AG278" i="1" s="1"/>
  <c r="AG253" i="1"/>
  <c r="AG217" i="1"/>
  <c r="AH157" i="1"/>
  <c r="AF158" i="1" s="1"/>
  <c r="AG158" i="1" s="1"/>
  <c r="AG81" i="1"/>
  <c r="AH75" i="1"/>
  <c r="AF76" i="1" s="1"/>
  <c r="AG76" i="1" s="1"/>
  <c r="AH445" i="1"/>
  <c r="AF446" i="1" s="1"/>
  <c r="AG446" i="1" s="1"/>
  <c r="AG452" i="1"/>
  <c r="AH452" i="1"/>
  <c r="AF453" i="1" s="1"/>
  <c r="AG373" i="1"/>
  <c r="AH373" i="1"/>
  <c r="AF374" i="1" s="1"/>
  <c r="AG361" i="1"/>
  <c r="AH361" i="1"/>
  <c r="AF362" i="1" s="1"/>
  <c r="AG505" i="1"/>
  <c r="AH505" i="1"/>
  <c r="AF506" i="1" s="1"/>
  <c r="AG529" i="1"/>
  <c r="AH529" i="1"/>
  <c r="AF530" i="1" s="1"/>
  <c r="AG301" i="1"/>
  <c r="AH301" i="1"/>
  <c r="AF302" i="1" s="1"/>
  <c r="AG307" i="1"/>
  <c r="AH307" i="1"/>
  <c r="AF308" i="1" s="1"/>
  <c r="AH422" i="1"/>
  <c r="AF423" i="1" s="1"/>
  <c r="AG422" i="1"/>
  <c r="AH391" i="1"/>
  <c r="AF392" i="1" s="1"/>
  <c r="AG391" i="1"/>
  <c r="AG464" i="1"/>
  <c r="AH464" i="1"/>
  <c r="AF465" i="1" s="1"/>
  <c r="AG487" i="1"/>
  <c r="AH487" i="1"/>
  <c r="AF488" i="1" s="1"/>
  <c r="AG368" i="1"/>
  <c r="AH368" i="1"/>
  <c r="AF369" i="1" s="1"/>
  <c r="AG403" i="1"/>
  <c r="AH403" i="1"/>
  <c r="AF404" i="1" s="1"/>
  <c r="AG326" i="1"/>
  <c r="AH326" i="1"/>
  <c r="AF327" i="1" s="1"/>
  <c r="AG499" i="1"/>
  <c r="AH499" i="1"/>
  <c r="AF500" i="1" s="1"/>
  <c r="AG433" i="1"/>
  <c r="AH433" i="1"/>
  <c r="AF434" i="1" s="1"/>
  <c r="AG536" i="1"/>
  <c r="AH536" i="1"/>
  <c r="AF537" i="1" s="1"/>
  <c r="AG427" i="1"/>
  <c r="AH427" i="1"/>
  <c r="AF428" i="1" s="1"/>
  <c r="AG314" i="1"/>
  <c r="AH314" i="1"/>
  <c r="AF315" i="1" s="1"/>
  <c r="AG518" i="1"/>
  <c r="AH518" i="1"/>
  <c r="AF519" i="1" s="1"/>
  <c r="AG295" i="1"/>
  <c r="AH295" i="1"/>
  <c r="AF296" i="1" s="1"/>
  <c r="AG410" i="1"/>
  <c r="AH410" i="1"/>
  <c r="AF411" i="1" s="1"/>
  <c r="AG343" i="1"/>
  <c r="AH343" i="1"/>
  <c r="AF344" i="1" s="1"/>
  <c r="AH457" i="1"/>
  <c r="AF458" i="1" s="1"/>
  <c r="AG457" i="1"/>
  <c r="AG475" i="1"/>
  <c r="AH475" i="1"/>
  <c r="AF476" i="1" s="1"/>
  <c r="AG331" i="1"/>
  <c r="AH331" i="1"/>
  <c r="AF332" i="1" s="1"/>
  <c r="AG469" i="1"/>
  <c r="AH469" i="1"/>
  <c r="AF470" i="1" s="1"/>
  <c r="AG337" i="1"/>
  <c r="AH337" i="1"/>
  <c r="AF338" i="1" s="1"/>
  <c r="AG439" i="1"/>
  <c r="AH439" i="1"/>
  <c r="AF440" i="1" s="1"/>
  <c r="AG397" i="1"/>
  <c r="AH397" i="1"/>
  <c r="AF398" i="1" s="1"/>
  <c r="AG553" i="1"/>
  <c r="AH553" i="1"/>
  <c r="AF554" i="1" s="1"/>
  <c r="AH482" i="1"/>
  <c r="AF483" i="1" s="1"/>
  <c r="AG482" i="1"/>
  <c r="AG385" i="1"/>
  <c r="AH385" i="1"/>
  <c r="AF386" i="1" s="1"/>
  <c r="AG355" i="1"/>
  <c r="AH355" i="1"/>
  <c r="AF356" i="1" s="1"/>
  <c r="AG548" i="1"/>
  <c r="AH548" i="1"/>
  <c r="AF549" i="1" s="1"/>
  <c r="AG524" i="1"/>
  <c r="AH524" i="1"/>
  <c r="AF525" i="1" s="1"/>
  <c r="AG380" i="1"/>
  <c r="AH380" i="1"/>
  <c r="AF381" i="1" s="1"/>
  <c r="AG320" i="1"/>
  <c r="AH320" i="1"/>
  <c r="AF321" i="1" s="1"/>
  <c r="AG493" i="1"/>
  <c r="AH493" i="1"/>
  <c r="AF494" i="1" s="1"/>
  <c r="AG290" i="1"/>
  <c r="AH290" i="1"/>
  <c r="AF291" i="1" s="1"/>
  <c r="AG283" i="1"/>
  <c r="AH283" i="1"/>
  <c r="AF284" i="1" s="1"/>
  <c r="AG271" i="1"/>
  <c r="AH271" i="1"/>
  <c r="AF272" i="1" s="1"/>
  <c r="AH254" i="1"/>
  <c r="AF255" i="1" s="1"/>
  <c r="AG254" i="1"/>
  <c r="AG266" i="1"/>
  <c r="AH266" i="1"/>
  <c r="AF267" i="1" s="1"/>
  <c r="AG259" i="1"/>
  <c r="AH259" i="1"/>
  <c r="AF260" i="1" s="1"/>
  <c r="AG247" i="1"/>
  <c r="AH247" i="1"/>
  <c r="AF248" i="1" s="1"/>
  <c r="AG200" i="1"/>
  <c r="AH200" i="1"/>
  <c r="AF201" i="1" s="1"/>
  <c r="AG212" i="1"/>
  <c r="AH212" i="1"/>
  <c r="AF213" i="1" s="1"/>
  <c r="AG193" i="1"/>
  <c r="AH193" i="1"/>
  <c r="AF194" i="1" s="1"/>
  <c r="AG241" i="1"/>
  <c r="AH241" i="1"/>
  <c r="AF242" i="1" s="1"/>
  <c r="AG229" i="1"/>
  <c r="AH229" i="1"/>
  <c r="AF230" i="1" s="1"/>
  <c r="AG206" i="1"/>
  <c r="AH206" i="1"/>
  <c r="AF207" i="1" s="1"/>
  <c r="AG236" i="1"/>
  <c r="AH236" i="1"/>
  <c r="AF237" i="1" s="1"/>
  <c r="AH223" i="1"/>
  <c r="AF224" i="1" s="1"/>
  <c r="AG223" i="1"/>
  <c r="AG218" i="1"/>
  <c r="AH218" i="1"/>
  <c r="AF219" i="1" s="1"/>
  <c r="AG187" i="1"/>
  <c r="AH187" i="1"/>
  <c r="AF188" i="1" s="1"/>
  <c r="AH182" i="1"/>
  <c r="AF183" i="1" s="1"/>
  <c r="AG182" i="1"/>
  <c r="AH163" i="1"/>
  <c r="AF164" i="1" s="1"/>
  <c r="AG163" i="1"/>
  <c r="AG175" i="1"/>
  <c r="AH175" i="1"/>
  <c r="AF176" i="1" s="1"/>
  <c r="AH170" i="1"/>
  <c r="AF171" i="1" s="1"/>
  <c r="AG170" i="1"/>
  <c r="AH133" i="1"/>
  <c r="AF134" i="1" s="1"/>
  <c r="AG133" i="1"/>
  <c r="AG127" i="1"/>
  <c r="AH127" i="1"/>
  <c r="AF128" i="1" s="1"/>
  <c r="AH152" i="1"/>
  <c r="AF153" i="1" s="1"/>
  <c r="AG152" i="1"/>
  <c r="AG146" i="1"/>
  <c r="AH146" i="1"/>
  <c r="AF147" i="1" s="1"/>
  <c r="AG121" i="1"/>
  <c r="AH121" i="1"/>
  <c r="AF122" i="1" s="1"/>
  <c r="AG140" i="1"/>
  <c r="AH140" i="1"/>
  <c r="AF141" i="1" s="1"/>
  <c r="AG116" i="1"/>
  <c r="AH116" i="1"/>
  <c r="AF117" i="1" s="1"/>
  <c r="AG93" i="1"/>
  <c r="AH93" i="1"/>
  <c r="AF94" i="1" s="1"/>
  <c r="AG109" i="1"/>
  <c r="AH109" i="1"/>
  <c r="AF110" i="1" s="1"/>
  <c r="AH100" i="1"/>
  <c r="AF101" i="1" s="1"/>
  <c r="AG100" i="1"/>
  <c r="AG87" i="1"/>
  <c r="AH87" i="1"/>
  <c r="AF88" i="1" s="1"/>
  <c r="AG82" i="1"/>
  <c r="AH82" i="1"/>
  <c r="AF83" i="1" s="1"/>
  <c r="AG542" i="1" l="1"/>
  <c r="AG350" i="1"/>
  <c r="AH76" i="1"/>
  <c r="AF77" i="1" s="1"/>
  <c r="AH77" i="1" s="1"/>
  <c r="AF78" i="1" s="1"/>
  <c r="AG513" i="1"/>
  <c r="AH446" i="1"/>
  <c r="AF447" i="1" s="1"/>
  <c r="AG447" i="1" s="1"/>
  <c r="AH416" i="1"/>
  <c r="AF417" i="1" s="1"/>
  <c r="AH417" i="1" s="1"/>
  <c r="AF418" i="1" s="1"/>
  <c r="AH278" i="1"/>
  <c r="AF279" i="1" s="1"/>
  <c r="AG279" i="1" s="1"/>
  <c r="AH158" i="1"/>
  <c r="AF159" i="1" s="1"/>
  <c r="AG159" i="1" s="1"/>
  <c r="AG351" i="1"/>
  <c r="AH351" i="1"/>
  <c r="AF352" i="1" s="1"/>
  <c r="AG338" i="1"/>
  <c r="AH338" i="1"/>
  <c r="AF339" i="1" s="1"/>
  <c r="AG506" i="1"/>
  <c r="AH506" i="1"/>
  <c r="AF507" i="1" s="1"/>
  <c r="AH458" i="1"/>
  <c r="AF459" i="1" s="1"/>
  <c r="AG458" i="1"/>
  <c r="AG327" i="1"/>
  <c r="AH327" i="1"/>
  <c r="AF328" i="1" s="1"/>
  <c r="AG344" i="1"/>
  <c r="AH344" i="1"/>
  <c r="AF345" i="1" s="1"/>
  <c r="AG537" i="1"/>
  <c r="AH537" i="1"/>
  <c r="AF538" i="1" s="1"/>
  <c r="AH423" i="1"/>
  <c r="AF424" i="1" s="1"/>
  <c r="AG423" i="1"/>
  <c r="AG386" i="1"/>
  <c r="AH386" i="1"/>
  <c r="AF387" i="1" s="1"/>
  <c r="AG308" i="1"/>
  <c r="AH308" i="1"/>
  <c r="AF309" i="1" s="1"/>
  <c r="AG392" i="1"/>
  <c r="AH392" i="1"/>
  <c r="AF393" i="1" s="1"/>
  <c r="AG483" i="1"/>
  <c r="AH483" i="1"/>
  <c r="AF484" i="1" s="1"/>
  <c r="AG543" i="1"/>
  <c r="AH543" i="1"/>
  <c r="AF544" i="1" s="1"/>
  <c r="AG411" i="1"/>
  <c r="AH411" i="1"/>
  <c r="AF412" i="1" s="1"/>
  <c r="AH428" i="1"/>
  <c r="AF429" i="1" s="1"/>
  <c r="AG428" i="1"/>
  <c r="AG494" i="1"/>
  <c r="AH494" i="1"/>
  <c r="AF495" i="1" s="1"/>
  <c r="AG549" i="1"/>
  <c r="AH549" i="1"/>
  <c r="AF550" i="1" s="1"/>
  <c r="AG554" i="1"/>
  <c r="AH554" i="1"/>
  <c r="AF555" i="1" s="1"/>
  <c r="AG514" i="1"/>
  <c r="AH514" i="1"/>
  <c r="AG296" i="1"/>
  <c r="AH296" i="1"/>
  <c r="AF297" i="1" s="1"/>
  <c r="AG404" i="1"/>
  <c r="AH404" i="1"/>
  <c r="AF405" i="1" s="1"/>
  <c r="AG362" i="1"/>
  <c r="AH362" i="1"/>
  <c r="AF363" i="1" s="1"/>
  <c r="AH470" i="1"/>
  <c r="AF471" i="1" s="1"/>
  <c r="AG470" i="1"/>
  <c r="AG332" i="1"/>
  <c r="AH332" i="1"/>
  <c r="AF333" i="1" s="1"/>
  <c r="AG321" i="1"/>
  <c r="AH321" i="1"/>
  <c r="AF322" i="1" s="1"/>
  <c r="AH398" i="1"/>
  <c r="AF399" i="1" s="1"/>
  <c r="AG398" i="1"/>
  <c r="AG519" i="1"/>
  <c r="AH519" i="1"/>
  <c r="AF520" i="1" s="1"/>
  <c r="AG369" i="1"/>
  <c r="AH369" i="1"/>
  <c r="AF370" i="1" s="1"/>
  <c r="AG381" i="1"/>
  <c r="AH381" i="1"/>
  <c r="AF382" i="1" s="1"/>
  <c r="AH302" i="1"/>
  <c r="AF303" i="1" s="1"/>
  <c r="AG302" i="1"/>
  <c r="AG374" i="1"/>
  <c r="AH374" i="1"/>
  <c r="AF375" i="1" s="1"/>
  <c r="AG440" i="1"/>
  <c r="AH440" i="1"/>
  <c r="AF441" i="1" s="1"/>
  <c r="AG488" i="1"/>
  <c r="AH488" i="1"/>
  <c r="AF489" i="1" s="1"/>
  <c r="AG476" i="1"/>
  <c r="AH476" i="1"/>
  <c r="AF477" i="1" s="1"/>
  <c r="AG434" i="1"/>
  <c r="AH434" i="1"/>
  <c r="AF435" i="1" s="1"/>
  <c r="AG525" i="1"/>
  <c r="AH525" i="1"/>
  <c r="AF526" i="1" s="1"/>
  <c r="AG530" i="1"/>
  <c r="AH530" i="1"/>
  <c r="AF531" i="1" s="1"/>
  <c r="AH453" i="1"/>
  <c r="AF454" i="1" s="1"/>
  <c r="AG453" i="1"/>
  <c r="AG315" i="1"/>
  <c r="AH315" i="1"/>
  <c r="AF316" i="1" s="1"/>
  <c r="AH465" i="1"/>
  <c r="AF466" i="1" s="1"/>
  <c r="AG465" i="1"/>
  <c r="AH500" i="1"/>
  <c r="AF501" i="1" s="1"/>
  <c r="AG500" i="1"/>
  <c r="AG356" i="1"/>
  <c r="AH356" i="1"/>
  <c r="AF357" i="1" s="1"/>
  <c r="AG284" i="1"/>
  <c r="AH284" i="1"/>
  <c r="AF285" i="1" s="1"/>
  <c r="AH291" i="1"/>
  <c r="AF292" i="1" s="1"/>
  <c r="AG291" i="1"/>
  <c r="AH267" i="1"/>
  <c r="AF268" i="1" s="1"/>
  <c r="AG267" i="1"/>
  <c r="AG248" i="1"/>
  <c r="AH248" i="1"/>
  <c r="AF249" i="1" s="1"/>
  <c r="AG272" i="1"/>
  <c r="AH272" i="1"/>
  <c r="AF273" i="1" s="1"/>
  <c r="AG260" i="1"/>
  <c r="AH260" i="1"/>
  <c r="AF261" i="1" s="1"/>
  <c r="AG255" i="1"/>
  <c r="AH255" i="1"/>
  <c r="AF256" i="1" s="1"/>
  <c r="AH207" i="1"/>
  <c r="AF208" i="1" s="1"/>
  <c r="AG207" i="1"/>
  <c r="AG230" i="1"/>
  <c r="AH230" i="1"/>
  <c r="AF231" i="1" s="1"/>
  <c r="AG188" i="1"/>
  <c r="AH188" i="1"/>
  <c r="AF189" i="1" s="1"/>
  <c r="AG242" i="1"/>
  <c r="AH242" i="1"/>
  <c r="AF243" i="1" s="1"/>
  <c r="AG201" i="1"/>
  <c r="AH201" i="1"/>
  <c r="AF202" i="1" s="1"/>
  <c r="AH194" i="1"/>
  <c r="AF195" i="1" s="1"/>
  <c r="AG194" i="1"/>
  <c r="AG219" i="1"/>
  <c r="AH219" i="1"/>
  <c r="AF220" i="1" s="1"/>
  <c r="AG224" i="1"/>
  <c r="AH224" i="1"/>
  <c r="AF225" i="1" s="1"/>
  <c r="AG213" i="1"/>
  <c r="AH213" i="1"/>
  <c r="AF214" i="1" s="1"/>
  <c r="AH237" i="1"/>
  <c r="AF238" i="1" s="1"/>
  <c r="AG237" i="1"/>
  <c r="AG164" i="1"/>
  <c r="AH164" i="1"/>
  <c r="AF165" i="1" s="1"/>
  <c r="AG183" i="1"/>
  <c r="AH183" i="1"/>
  <c r="AF184" i="1" s="1"/>
  <c r="AG176" i="1"/>
  <c r="AH176" i="1"/>
  <c r="AF177" i="1" s="1"/>
  <c r="AG171" i="1"/>
  <c r="AH171" i="1"/>
  <c r="AF172" i="1" s="1"/>
  <c r="AG134" i="1"/>
  <c r="AH134" i="1"/>
  <c r="AF135" i="1" s="1"/>
  <c r="AG147" i="1"/>
  <c r="AH147" i="1"/>
  <c r="AF148" i="1" s="1"/>
  <c r="AG141" i="1"/>
  <c r="AH141" i="1"/>
  <c r="AF142" i="1" s="1"/>
  <c r="AG122" i="1"/>
  <c r="AH122" i="1"/>
  <c r="AF123" i="1" s="1"/>
  <c r="AG153" i="1"/>
  <c r="AH153" i="1"/>
  <c r="AF154" i="1" s="1"/>
  <c r="AH128" i="1"/>
  <c r="AF129" i="1" s="1"/>
  <c r="AG128" i="1"/>
  <c r="AG94" i="1"/>
  <c r="AH94" i="1"/>
  <c r="AF95" i="1" s="1"/>
  <c r="AG117" i="1"/>
  <c r="AH117" i="1"/>
  <c r="AF118" i="1" s="1"/>
  <c r="AG110" i="1"/>
  <c r="AH110" i="1"/>
  <c r="AF111" i="1" s="1"/>
  <c r="AG101" i="1"/>
  <c r="AH101" i="1"/>
  <c r="AF102" i="1" s="1"/>
  <c r="AG88" i="1"/>
  <c r="AH88" i="1"/>
  <c r="AF89" i="1" s="1"/>
  <c r="AG83" i="1"/>
  <c r="AH83" i="1"/>
  <c r="AF84" i="1" s="1"/>
  <c r="F15" i="24"/>
  <c r="AG77" i="1" l="1"/>
  <c r="AH447" i="1"/>
  <c r="AF448" i="1" s="1"/>
  <c r="AH448" i="1" s="1"/>
  <c r="AG417" i="1"/>
  <c r="AH279" i="1"/>
  <c r="AF280" i="1" s="1"/>
  <c r="AG280" i="1" s="1"/>
  <c r="AH159" i="1"/>
  <c r="AF160" i="1" s="1"/>
  <c r="AH160" i="1" s="1"/>
  <c r="AG526" i="1"/>
  <c r="AH526" i="1"/>
  <c r="AG382" i="1"/>
  <c r="AH382" i="1"/>
  <c r="AG328" i="1"/>
  <c r="AH328" i="1"/>
  <c r="AG303" i="1"/>
  <c r="AH303" i="1"/>
  <c r="AF304" i="1" s="1"/>
  <c r="AG435" i="1"/>
  <c r="AH435" i="1"/>
  <c r="AF436" i="1" s="1"/>
  <c r="AG322" i="1"/>
  <c r="AH322" i="1"/>
  <c r="AG441" i="1"/>
  <c r="AH441" i="1"/>
  <c r="AF442" i="1" s="1"/>
  <c r="AG477" i="1"/>
  <c r="AH477" i="1"/>
  <c r="AF478" i="1" s="1"/>
  <c r="AG357" i="1"/>
  <c r="AH357" i="1"/>
  <c r="AF358" i="1" s="1"/>
  <c r="AH333" i="1"/>
  <c r="AF334" i="1" s="1"/>
  <c r="AG333" i="1"/>
  <c r="AG316" i="1"/>
  <c r="AH316" i="1"/>
  <c r="AG520" i="1"/>
  <c r="AH520" i="1"/>
  <c r="AG412" i="1"/>
  <c r="AH412" i="1"/>
  <c r="AH459" i="1"/>
  <c r="AF460" i="1" s="1"/>
  <c r="AG459" i="1"/>
  <c r="AG309" i="1"/>
  <c r="AH309" i="1"/>
  <c r="AF310" i="1" s="1"/>
  <c r="AH429" i="1"/>
  <c r="AF430" i="1" s="1"/>
  <c r="AG429" i="1"/>
  <c r="AG370" i="1"/>
  <c r="AH370" i="1"/>
  <c r="AG466" i="1"/>
  <c r="AH466" i="1"/>
  <c r="AG387" i="1"/>
  <c r="AH387" i="1"/>
  <c r="AF388" i="1" s="1"/>
  <c r="AG471" i="1"/>
  <c r="AH471" i="1"/>
  <c r="AF472" i="1" s="1"/>
  <c r="AH544" i="1"/>
  <c r="AG544" i="1"/>
  <c r="AG424" i="1"/>
  <c r="AH424" i="1"/>
  <c r="AG489" i="1"/>
  <c r="AH489" i="1"/>
  <c r="AF490" i="1" s="1"/>
  <c r="AG555" i="1"/>
  <c r="AH555" i="1"/>
  <c r="AF556" i="1" s="1"/>
  <c r="AH454" i="1"/>
  <c r="AG454" i="1"/>
  <c r="AG363" i="1"/>
  <c r="AH363" i="1"/>
  <c r="AF364" i="1" s="1"/>
  <c r="AG418" i="1"/>
  <c r="AH418" i="1"/>
  <c r="AH531" i="1"/>
  <c r="AF532" i="1" s="1"/>
  <c r="AG531" i="1"/>
  <c r="AG484" i="1"/>
  <c r="AH484" i="1"/>
  <c r="AG538" i="1"/>
  <c r="AH538" i="1"/>
  <c r="AG507" i="1"/>
  <c r="AH507" i="1"/>
  <c r="AF508" i="1" s="1"/>
  <c r="AG405" i="1"/>
  <c r="AH405" i="1"/>
  <c r="AF406" i="1" s="1"/>
  <c r="AG550" i="1"/>
  <c r="AH550" i="1"/>
  <c r="AG339" i="1"/>
  <c r="AH339" i="1"/>
  <c r="AF340" i="1" s="1"/>
  <c r="AG345" i="1"/>
  <c r="AH345" i="1"/>
  <c r="AF346" i="1" s="1"/>
  <c r="AG375" i="1"/>
  <c r="AH375" i="1"/>
  <c r="AF376" i="1" s="1"/>
  <c r="AG399" i="1"/>
  <c r="AH399" i="1"/>
  <c r="AF400" i="1" s="1"/>
  <c r="AG297" i="1"/>
  <c r="AH297" i="1"/>
  <c r="AF298" i="1" s="1"/>
  <c r="AG495" i="1"/>
  <c r="AH495" i="1"/>
  <c r="AF496" i="1" s="1"/>
  <c r="AG501" i="1"/>
  <c r="AH501" i="1"/>
  <c r="AF502" i="1" s="1"/>
  <c r="AG393" i="1"/>
  <c r="AH393" i="1"/>
  <c r="AF394" i="1" s="1"/>
  <c r="AG352" i="1"/>
  <c r="AH352" i="1"/>
  <c r="AG268" i="1"/>
  <c r="AH268" i="1"/>
  <c r="AG261" i="1"/>
  <c r="AH261" i="1"/>
  <c r="AF262" i="1" s="1"/>
  <c r="AG273" i="1"/>
  <c r="AH273" i="1"/>
  <c r="AF274" i="1" s="1"/>
  <c r="AG256" i="1"/>
  <c r="AH256" i="1"/>
  <c r="AH285" i="1"/>
  <c r="AF286" i="1" s="1"/>
  <c r="AG285" i="1"/>
  <c r="AG249" i="1"/>
  <c r="AH249" i="1"/>
  <c r="AF250" i="1" s="1"/>
  <c r="AG292" i="1"/>
  <c r="AH292" i="1"/>
  <c r="AG208" i="1"/>
  <c r="AH208" i="1"/>
  <c r="AH238" i="1"/>
  <c r="AG238" i="1"/>
  <c r="AG202" i="1"/>
  <c r="AH202" i="1"/>
  <c r="AH225" i="1"/>
  <c r="AF226" i="1" s="1"/>
  <c r="AG225" i="1"/>
  <c r="AH189" i="1"/>
  <c r="AF190" i="1" s="1"/>
  <c r="AG189" i="1"/>
  <c r="AG214" i="1"/>
  <c r="AH214" i="1"/>
  <c r="AG195" i="1"/>
  <c r="AH195" i="1"/>
  <c r="AF196" i="1" s="1"/>
  <c r="AG243" i="1"/>
  <c r="AH243" i="1"/>
  <c r="AF244" i="1" s="1"/>
  <c r="AG220" i="1"/>
  <c r="AH220" i="1"/>
  <c r="AG231" i="1"/>
  <c r="AH231" i="1"/>
  <c r="AF232" i="1" s="1"/>
  <c r="AG165" i="1"/>
  <c r="AH165" i="1"/>
  <c r="AF166" i="1" s="1"/>
  <c r="AG172" i="1"/>
  <c r="AH172" i="1"/>
  <c r="AG184" i="1"/>
  <c r="AH184" i="1"/>
  <c r="AG177" i="1"/>
  <c r="AH177" i="1"/>
  <c r="AF178" i="1" s="1"/>
  <c r="AG148" i="1"/>
  <c r="AH148" i="1"/>
  <c r="AG123" i="1"/>
  <c r="AH123" i="1"/>
  <c r="AF124" i="1" s="1"/>
  <c r="AG129" i="1"/>
  <c r="AH129" i="1"/>
  <c r="AF130" i="1" s="1"/>
  <c r="AG135" i="1"/>
  <c r="AH135" i="1"/>
  <c r="AF136" i="1" s="1"/>
  <c r="AG154" i="1"/>
  <c r="AH154" i="1"/>
  <c r="AG142" i="1"/>
  <c r="AH142" i="1"/>
  <c r="AG95" i="1"/>
  <c r="AH95" i="1"/>
  <c r="AF96" i="1" s="1"/>
  <c r="AG118" i="1"/>
  <c r="AH118" i="1"/>
  <c r="AG102" i="1"/>
  <c r="AH102" i="1"/>
  <c r="AH111" i="1"/>
  <c r="AF112" i="1" s="1"/>
  <c r="AG111" i="1"/>
  <c r="AG89" i="1"/>
  <c r="AH89" i="1"/>
  <c r="AF90" i="1" s="1"/>
  <c r="AG84" i="1"/>
  <c r="AH84" i="1"/>
  <c r="AG78" i="1"/>
  <c r="AH78" i="1"/>
  <c r="F12" i="24"/>
  <c r="AG448" i="1" l="1"/>
  <c r="AH280" i="1"/>
  <c r="AG160" i="1"/>
  <c r="AG532" i="1"/>
  <c r="AH532" i="1"/>
  <c r="AG394" i="1"/>
  <c r="AH394" i="1"/>
  <c r="AG406" i="1"/>
  <c r="AH406" i="1"/>
  <c r="AG436" i="1"/>
  <c r="AH436" i="1"/>
  <c r="AG478" i="1"/>
  <c r="AH478" i="1"/>
  <c r="AH460" i="1"/>
  <c r="AG460" i="1"/>
  <c r="AG508" i="1"/>
  <c r="AH508" i="1"/>
  <c r="AG502" i="1"/>
  <c r="AH502" i="1"/>
  <c r="AG376" i="1"/>
  <c r="AH376" i="1"/>
  <c r="AH388" i="1"/>
  <c r="AG388" i="1"/>
  <c r="AG556" i="1"/>
  <c r="AH556" i="1"/>
  <c r="AG442" i="1"/>
  <c r="AH442" i="1"/>
  <c r="AG304" i="1"/>
  <c r="AH304" i="1"/>
  <c r="AH472" i="1"/>
  <c r="AG472" i="1"/>
  <c r="AH364" i="1"/>
  <c r="AG364" i="1"/>
  <c r="AG346" i="1"/>
  <c r="AH346" i="1"/>
  <c r="AG358" i="1"/>
  <c r="AH358" i="1"/>
  <c r="AG430" i="1"/>
  <c r="AH430" i="1"/>
  <c r="AG496" i="1"/>
  <c r="AH496" i="1"/>
  <c r="AG490" i="1"/>
  <c r="AH490" i="1"/>
  <c r="AG340" i="1"/>
  <c r="AH340" i="1"/>
  <c r="AG298" i="1"/>
  <c r="AH298" i="1"/>
  <c r="AG400" i="1"/>
  <c r="AH400" i="1"/>
  <c r="AG310" i="1"/>
  <c r="AH310" i="1"/>
  <c r="AG334" i="1"/>
  <c r="AH334" i="1"/>
  <c r="AG250" i="1"/>
  <c r="AH250" i="1"/>
  <c r="AG262" i="1"/>
  <c r="AH262" i="1"/>
  <c r="AG286" i="1"/>
  <c r="AH286" i="1"/>
  <c r="AG274" i="1"/>
  <c r="AH274" i="1"/>
  <c r="AH226" i="1"/>
  <c r="AG226" i="1"/>
  <c r="AG232" i="1"/>
  <c r="AH232" i="1"/>
  <c r="AG244" i="1"/>
  <c r="AH244" i="1"/>
  <c r="AG190" i="1"/>
  <c r="AH190" i="1"/>
  <c r="AG196" i="1"/>
  <c r="AH196" i="1"/>
  <c r="AG166" i="1"/>
  <c r="AH166" i="1"/>
  <c r="AH178" i="1"/>
  <c r="AG178" i="1"/>
  <c r="AG136" i="1"/>
  <c r="AH136" i="1"/>
  <c r="AH130" i="1"/>
  <c r="AG130" i="1"/>
  <c r="AG124" i="1"/>
  <c r="AH124" i="1"/>
  <c r="AG96" i="1"/>
  <c r="AH96" i="1"/>
  <c r="AG112" i="1"/>
  <c r="AH112" i="1"/>
  <c r="AG90" i="1"/>
  <c r="AH90" i="1"/>
  <c r="F12" i="23"/>
  <c r="G12" i="23"/>
  <c r="H12" i="23"/>
  <c r="I12" i="23"/>
  <c r="J12" i="23"/>
  <c r="K12" i="23"/>
  <c r="L12" i="23"/>
  <c r="M12" i="23"/>
  <c r="F15" i="23"/>
  <c r="G15" i="23"/>
  <c r="I15" i="23"/>
  <c r="J15" i="23"/>
  <c r="K15" i="23"/>
  <c r="L15" i="23"/>
  <c r="M15" i="23"/>
  <c r="F18" i="23"/>
  <c r="G18" i="23"/>
  <c r="I18" i="23"/>
  <c r="J18" i="23"/>
  <c r="K18" i="23"/>
  <c r="L18" i="23"/>
  <c r="M18" i="23"/>
  <c r="F21" i="23"/>
  <c r="G21" i="23"/>
  <c r="I21" i="23"/>
  <c r="J21" i="23"/>
  <c r="K21" i="23"/>
  <c r="L21" i="23"/>
  <c r="M21" i="23"/>
  <c r="F24" i="23"/>
  <c r="G24" i="23"/>
  <c r="I24" i="23"/>
  <c r="J24" i="23"/>
  <c r="K24" i="23"/>
  <c r="L24" i="23"/>
  <c r="M24" i="23"/>
  <c r="F27" i="23"/>
  <c r="G27" i="23"/>
  <c r="I27" i="23"/>
  <c r="J27" i="23"/>
  <c r="K27" i="23"/>
  <c r="L27" i="23"/>
  <c r="M27" i="23"/>
  <c r="F30" i="23"/>
  <c r="G30" i="23"/>
  <c r="I30" i="23"/>
  <c r="J30" i="23"/>
  <c r="K30" i="23"/>
  <c r="L30" i="23"/>
  <c r="M30" i="23"/>
  <c r="F33" i="23"/>
  <c r="G33" i="23"/>
  <c r="I33" i="23"/>
  <c r="J33" i="23"/>
  <c r="K33" i="23"/>
  <c r="L33" i="23"/>
  <c r="M33" i="23"/>
  <c r="F36" i="23"/>
  <c r="G36" i="23"/>
  <c r="I36" i="23"/>
  <c r="J36" i="23"/>
  <c r="K36" i="23"/>
  <c r="L36" i="23"/>
  <c r="M36" i="23"/>
  <c r="F39" i="23"/>
  <c r="G39" i="23"/>
  <c r="I39" i="23"/>
  <c r="J39" i="23"/>
  <c r="K39" i="23"/>
  <c r="L39" i="23"/>
  <c r="M39" i="23"/>
  <c r="M39" i="24" l="1"/>
  <c r="L39" i="24"/>
  <c r="K39" i="24"/>
  <c r="J39" i="24"/>
  <c r="I39" i="24"/>
  <c r="G39" i="24"/>
  <c r="F39" i="24"/>
  <c r="M36" i="24"/>
  <c r="L36" i="24"/>
  <c r="K36" i="24"/>
  <c r="J36" i="24"/>
  <c r="I36" i="24"/>
  <c r="G36" i="24"/>
  <c r="F36" i="24"/>
  <c r="M33" i="24"/>
  <c r="L33" i="24"/>
  <c r="K33" i="24"/>
  <c r="J33" i="24"/>
  <c r="I33" i="24"/>
  <c r="G33" i="24"/>
  <c r="F33" i="24"/>
  <c r="M30" i="24"/>
  <c r="L30" i="24"/>
  <c r="K30" i="24"/>
  <c r="J30" i="24"/>
  <c r="I30" i="24"/>
  <c r="G30" i="24"/>
  <c r="F30" i="24"/>
  <c r="M27" i="24"/>
  <c r="L27" i="24"/>
  <c r="K27" i="24"/>
  <c r="J27" i="24"/>
  <c r="I27" i="24"/>
  <c r="G27" i="24"/>
  <c r="F27" i="24"/>
  <c r="M24" i="24"/>
  <c r="L24" i="24"/>
  <c r="K24" i="24"/>
  <c r="J24" i="24"/>
  <c r="I24" i="24"/>
  <c r="G24" i="24"/>
  <c r="F24" i="24"/>
  <c r="M21" i="24"/>
  <c r="L21" i="24"/>
  <c r="K21" i="24"/>
  <c r="J21" i="24"/>
  <c r="I21" i="24"/>
  <c r="G21" i="24"/>
  <c r="F21" i="24"/>
  <c r="M18" i="24"/>
  <c r="L18" i="24"/>
  <c r="K18" i="24"/>
  <c r="J18" i="24"/>
  <c r="I18" i="24"/>
  <c r="G18" i="24"/>
  <c r="F18" i="24"/>
  <c r="M15" i="24"/>
  <c r="L15" i="24"/>
  <c r="K15" i="24"/>
  <c r="J15" i="24"/>
  <c r="I15" i="24"/>
  <c r="G15" i="24"/>
  <c r="M12" i="24"/>
  <c r="K12" i="24"/>
  <c r="J12" i="24"/>
  <c r="I12" i="24"/>
  <c r="H12" i="24"/>
  <c r="G12" i="24"/>
  <c r="F221" i="13" l="1"/>
  <c r="F211" i="13"/>
  <c r="F212" i="13"/>
  <c r="F213" i="13"/>
  <c r="F214" i="13"/>
  <c r="F215" i="13"/>
  <c r="F216" i="13"/>
  <c r="F217" i="13"/>
  <c r="F218" i="13"/>
  <c r="F219" i="13"/>
  <c r="F220" i="13"/>
  <c r="F210" i="13"/>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P67" i="1"/>
  <c r="Q67" i="1" s="1"/>
  <c r="AF67" i="1" s="1"/>
  <c r="P61" i="1"/>
  <c r="Q61" i="1" s="1"/>
  <c r="AF61" i="1" s="1"/>
  <c r="P55" i="1"/>
  <c r="Q55" i="1" s="1"/>
  <c r="AF55" i="1" s="1"/>
  <c r="P49" i="1"/>
  <c r="Q49" i="1" s="1"/>
  <c r="AF49" i="1" s="1"/>
  <c r="P43" i="1"/>
  <c r="Q43" i="1" s="1"/>
  <c r="AF43" i="1" s="1"/>
  <c r="P37" i="1"/>
  <c r="Q37" i="1" s="1"/>
  <c r="P31" i="1"/>
  <c r="Q31" i="1" s="1"/>
  <c r="P25" i="1"/>
  <c r="Q25" i="1" s="1"/>
  <c r="P19" i="1"/>
  <c r="Q19" i="1" s="1"/>
  <c r="AF19" i="1" s="1"/>
  <c r="B221" i="13" a="1"/>
  <c r="H210" i="13"/>
  <c r="AG67" i="1" l="1"/>
  <c r="AH67" i="1"/>
  <c r="AF68" i="1" s="1"/>
  <c r="AG61" i="1"/>
  <c r="AH61" i="1"/>
  <c r="AF62" i="1" s="1"/>
  <c r="AG37" i="1"/>
  <c r="AH37" i="1"/>
  <c r="AF38" i="1" s="1"/>
  <c r="AG55" i="1"/>
  <c r="AH55" i="1"/>
  <c r="AF56" i="1" s="1"/>
  <c r="AG49" i="1"/>
  <c r="AH49" i="1"/>
  <c r="AF50" i="1" s="1"/>
  <c r="AG19" i="1"/>
  <c r="AH19" i="1"/>
  <c r="AF20" i="1" s="1"/>
  <c r="AG43" i="1"/>
  <c r="AH43" i="1"/>
  <c r="AF44" i="1" s="1"/>
  <c r="AG25" i="1"/>
  <c r="AH25" i="1"/>
  <c r="AF26" i="1" s="1"/>
  <c r="AH31" i="1"/>
  <c r="AF32" i="1" s="1"/>
  <c r="AG31" i="1"/>
  <c r="B221" i="13"/>
  <c r="B223" i="13"/>
  <c r="B222" i="13"/>
  <c r="S563" i="1" l="1"/>
  <c r="T563" i="1" s="1"/>
  <c r="S557" i="1"/>
  <c r="T557" i="1" s="1"/>
  <c r="U557" i="1" s="1"/>
  <c r="AJ557" i="1" s="1"/>
  <c r="AI557" i="1" s="1"/>
  <c r="AK557" i="1" s="1"/>
  <c r="S13" i="1"/>
  <c r="T13" i="1" s="1"/>
  <c r="U13" i="1" s="1"/>
  <c r="AJ13" i="1" s="1"/>
  <c r="S19" i="1"/>
  <c r="T19" i="1" s="1"/>
  <c r="S119" i="1"/>
  <c r="T119" i="1" s="1"/>
  <c r="S215" i="1"/>
  <c r="T215" i="1" s="1"/>
  <c r="S311" i="1"/>
  <c r="T311" i="1" s="1"/>
  <c r="S407" i="1"/>
  <c r="T407" i="1" s="1"/>
  <c r="S503" i="1"/>
  <c r="T503" i="1" s="1"/>
  <c r="S461" i="1"/>
  <c r="T461" i="1" s="1"/>
  <c r="S73" i="1"/>
  <c r="T73" i="1" s="1"/>
  <c r="S173" i="1"/>
  <c r="T173" i="1" s="1"/>
  <c r="S269" i="1"/>
  <c r="T269" i="1" s="1"/>
  <c r="S365" i="1"/>
  <c r="T365" i="1" s="1"/>
  <c r="S527" i="1"/>
  <c r="T527" i="1" s="1"/>
  <c r="S31" i="1"/>
  <c r="T31" i="1" s="1"/>
  <c r="S131" i="1"/>
  <c r="T131" i="1" s="1"/>
  <c r="S227" i="1"/>
  <c r="T227" i="1" s="1"/>
  <c r="S323" i="1"/>
  <c r="T323" i="1" s="1"/>
  <c r="S419" i="1"/>
  <c r="T419" i="1" s="1"/>
  <c r="S515" i="1"/>
  <c r="T515" i="1" s="1"/>
  <c r="S377" i="1"/>
  <c r="T377" i="1" s="1"/>
  <c r="S431" i="1"/>
  <c r="T431" i="1" s="1"/>
  <c r="S545" i="1"/>
  <c r="T545" i="1" s="1"/>
  <c r="S85" i="1"/>
  <c r="T85" i="1" s="1"/>
  <c r="S185" i="1"/>
  <c r="T185" i="1" s="1"/>
  <c r="S281" i="1"/>
  <c r="T281" i="1" s="1"/>
  <c r="S473" i="1"/>
  <c r="T473" i="1" s="1"/>
  <c r="S43" i="1"/>
  <c r="T43" i="1" s="1"/>
  <c r="S143" i="1"/>
  <c r="T143" i="1" s="1"/>
  <c r="S239" i="1"/>
  <c r="T239" i="1" s="1"/>
  <c r="S335" i="1"/>
  <c r="T335" i="1" s="1"/>
  <c r="S97" i="1"/>
  <c r="T97" i="1" s="1"/>
  <c r="S197" i="1"/>
  <c r="T197" i="1" s="1"/>
  <c r="S293" i="1"/>
  <c r="T293" i="1" s="1"/>
  <c r="S389" i="1"/>
  <c r="T389" i="1" s="1"/>
  <c r="S485" i="1"/>
  <c r="T485" i="1" s="1"/>
  <c r="S55" i="1"/>
  <c r="T55" i="1" s="1"/>
  <c r="S155" i="1"/>
  <c r="T155" i="1" s="1"/>
  <c r="S251" i="1"/>
  <c r="T251" i="1" s="1"/>
  <c r="S347" i="1"/>
  <c r="T347" i="1" s="1"/>
  <c r="S443" i="1"/>
  <c r="T443" i="1" s="1"/>
  <c r="S539" i="1"/>
  <c r="T539" i="1" s="1"/>
  <c r="S113" i="1"/>
  <c r="T113" i="1" s="1"/>
  <c r="S209" i="1"/>
  <c r="T209" i="1" s="1"/>
  <c r="S305" i="1"/>
  <c r="T305" i="1" s="1"/>
  <c r="S401" i="1"/>
  <c r="T401" i="1" s="1"/>
  <c r="S497" i="1"/>
  <c r="T497" i="1" s="1"/>
  <c r="S509" i="1"/>
  <c r="T509" i="1" s="1"/>
  <c r="S449" i="1"/>
  <c r="T449" i="1" s="1"/>
  <c r="S67" i="1"/>
  <c r="T67" i="1" s="1"/>
  <c r="S167" i="1"/>
  <c r="T167" i="1" s="1"/>
  <c r="S263" i="1"/>
  <c r="T263" i="1" s="1"/>
  <c r="S359" i="1"/>
  <c r="T359" i="1" s="1"/>
  <c r="S455" i="1"/>
  <c r="T455" i="1" s="1"/>
  <c r="S551" i="1"/>
  <c r="T551" i="1" s="1"/>
  <c r="S25" i="1"/>
  <c r="T25" i="1" s="1"/>
  <c r="S125" i="1"/>
  <c r="T125" i="1" s="1"/>
  <c r="S221" i="1"/>
  <c r="T221" i="1" s="1"/>
  <c r="S317" i="1"/>
  <c r="T317" i="1" s="1"/>
  <c r="S413" i="1"/>
  <c r="T413" i="1" s="1"/>
  <c r="S79" i="1"/>
  <c r="T79" i="1" s="1"/>
  <c r="S179" i="1"/>
  <c r="T179" i="1" s="1"/>
  <c r="S275" i="1"/>
  <c r="T275" i="1" s="1"/>
  <c r="S371" i="1"/>
  <c r="T371" i="1" s="1"/>
  <c r="S467" i="1"/>
  <c r="T467" i="1" s="1"/>
  <c r="S257" i="1"/>
  <c r="T257" i="1" s="1"/>
  <c r="S37" i="1"/>
  <c r="T37" i="1" s="1"/>
  <c r="S137" i="1"/>
  <c r="T137" i="1" s="1"/>
  <c r="S233" i="1"/>
  <c r="T233" i="1" s="1"/>
  <c r="S329" i="1"/>
  <c r="T329" i="1" s="1"/>
  <c r="S425" i="1"/>
  <c r="T425" i="1" s="1"/>
  <c r="S521" i="1"/>
  <c r="T521" i="1" s="1"/>
  <c r="S353" i="1"/>
  <c r="T353" i="1" s="1"/>
  <c r="S91" i="1"/>
  <c r="T91" i="1" s="1"/>
  <c r="S191" i="1"/>
  <c r="T191" i="1" s="1"/>
  <c r="S287" i="1"/>
  <c r="T287" i="1" s="1"/>
  <c r="S383" i="1"/>
  <c r="T383" i="1" s="1"/>
  <c r="S479" i="1"/>
  <c r="T479" i="1" s="1"/>
  <c r="S49" i="1"/>
  <c r="T49" i="1" s="1"/>
  <c r="S149" i="1"/>
  <c r="T149" i="1" s="1"/>
  <c r="S245" i="1"/>
  <c r="T245" i="1" s="1"/>
  <c r="S341" i="1"/>
  <c r="T341" i="1" s="1"/>
  <c r="S437" i="1"/>
  <c r="T437" i="1" s="1"/>
  <c r="S533" i="1"/>
  <c r="T533" i="1" s="1"/>
  <c r="S491" i="1"/>
  <c r="T491" i="1" s="1"/>
  <c r="S61" i="1"/>
  <c r="T61" i="1" s="1"/>
  <c r="S107" i="1"/>
  <c r="T107" i="1" s="1"/>
  <c r="S203" i="1"/>
  <c r="T203" i="1" s="1"/>
  <c r="S299" i="1"/>
  <c r="T299" i="1" s="1"/>
  <c r="S395" i="1"/>
  <c r="T395" i="1" s="1"/>
  <c r="S161" i="1"/>
  <c r="T161" i="1" s="1"/>
  <c r="AG26" i="1"/>
  <c r="AH26" i="1"/>
  <c r="AF27" i="1" s="1"/>
  <c r="AG62" i="1"/>
  <c r="AH62" i="1"/>
  <c r="AF63" i="1" s="1"/>
  <c r="AG44" i="1"/>
  <c r="AH44" i="1"/>
  <c r="AF45" i="1" s="1"/>
  <c r="AH32" i="1"/>
  <c r="AG32" i="1"/>
  <c r="AG56" i="1"/>
  <c r="AH56" i="1"/>
  <c r="AF57" i="1" s="1"/>
  <c r="AH68" i="1"/>
  <c r="AF69" i="1" s="1"/>
  <c r="AG68" i="1"/>
  <c r="AG50" i="1"/>
  <c r="AH50" i="1"/>
  <c r="AF51" i="1" s="1"/>
  <c r="AG20" i="1"/>
  <c r="AH20" i="1"/>
  <c r="AG38" i="1"/>
  <c r="AH38" i="1"/>
  <c r="AF39" i="1" s="1"/>
  <c r="U563" i="1" l="1"/>
  <c r="AJ563" i="1" s="1"/>
  <c r="V563" i="1"/>
  <c r="V557" i="1"/>
  <c r="V13" i="1"/>
  <c r="AI13" i="1"/>
  <c r="AK13" i="1" s="1"/>
  <c r="AJ14" i="1"/>
  <c r="AI14" i="1" s="1"/>
  <c r="AK14" i="1" s="1"/>
  <c r="U37" i="1"/>
  <c r="AJ37" i="1" s="1"/>
  <c r="V37" i="1"/>
  <c r="U323" i="1"/>
  <c r="AJ323" i="1" s="1"/>
  <c r="V323" i="1"/>
  <c r="V245" i="1"/>
  <c r="U245" i="1"/>
  <c r="AJ245" i="1" s="1"/>
  <c r="U467" i="1"/>
  <c r="AJ467" i="1" s="1"/>
  <c r="V467" i="1"/>
  <c r="U449" i="1"/>
  <c r="AJ449" i="1" s="1"/>
  <c r="V449" i="1"/>
  <c r="U197" i="1"/>
  <c r="AJ197" i="1" s="1"/>
  <c r="V197" i="1"/>
  <c r="U227" i="1"/>
  <c r="AJ227" i="1" s="1"/>
  <c r="V227" i="1"/>
  <c r="V149" i="1"/>
  <c r="U149" i="1"/>
  <c r="AJ149" i="1" s="1"/>
  <c r="U371" i="1"/>
  <c r="AJ371" i="1" s="1"/>
  <c r="V371" i="1"/>
  <c r="U509" i="1"/>
  <c r="AJ509" i="1" s="1"/>
  <c r="V509" i="1"/>
  <c r="U97" i="1"/>
  <c r="AJ97" i="1" s="1"/>
  <c r="V97" i="1"/>
  <c r="U131" i="1"/>
  <c r="AJ131" i="1" s="1"/>
  <c r="V131" i="1"/>
  <c r="V341" i="1"/>
  <c r="U341" i="1"/>
  <c r="AJ341" i="1" s="1"/>
  <c r="U275" i="1"/>
  <c r="AJ275" i="1" s="1"/>
  <c r="V275" i="1"/>
  <c r="U497" i="1"/>
  <c r="AJ497" i="1" s="1"/>
  <c r="V497" i="1"/>
  <c r="U335" i="1"/>
  <c r="AJ335" i="1" s="1"/>
  <c r="V335" i="1"/>
  <c r="U31" i="1"/>
  <c r="AJ31" i="1" s="1"/>
  <c r="V31" i="1"/>
  <c r="V329" i="1"/>
  <c r="U329" i="1"/>
  <c r="AJ329" i="1" s="1"/>
  <c r="U401" i="1"/>
  <c r="AJ401" i="1" s="1"/>
  <c r="V401" i="1"/>
  <c r="U239" i="1"/>
  <c r="AJ239" i="1" s="1"/>
  <c r="V239" i="1"/>
  <c r="U527" i="1"/>
  <c r="AJ527" i="1" s="1"/>
  <c r="V527" i="1"/>
  <c r="U61" i="1"/>
  <c r="AJ61" i="1" s="1"/>
  <c r="V61" i="1"/>
  <c r="U293" i="1"/>
  <c r="AJ293" i="1" s="1"/>
  <c r="V293" i="1"/>
  <c r="U79" i="1"/>
  <c r="AJ79" i="1" s="1"/>
  <c r="V79" i="1"/>
  <c r="U305" i="1"/>
  <c r="AJ305" i="1" s="1"/>
  <c r="V305" i="1"/>
  <c r="U143" i="1"/>
  <c r="AJ143" i="1" s="1"/>
  <c r="V143" i="1"/>
  <c r="V365" i="1"/>
  <c r="U365" i="1"/>
  <c r="AJ365" i="1" s="1"/>
  <c r="U67" i="1"/>
  <c r="AJ67" i="1" s="1"/>
  <c r="V67" i="1"/>
  <c r="V287" i="1"/>
  <c r="U287" i="1"/>
  <c r="AJ287" i="1" s="1"/>
  <c r="U413" i="1"/>
  <c r="AJ413" i="1" s="1"/>
  <c r="V413" i="1"/>
  <c r="U209" i="1"/>
  <c r="AJ209" i="1" s="1"/>
  <c r="V209" i="1"/>
  <c r="U43" i="1"/>
  <c r="AJ43" i="1" s="1"/>
  <c r="V43" i="1"/>
  <c r="U269" i="1"/>
  <c r="AJ269" i="1" s="1"/>
  <c r="V269" i="1"/>
  <c r="U491" i="1"/>
  <c r="AJ491" i="1" s="1"/>
  <c r="V491" i="1"/>
  <c r="U479" i="1"/>
  <c r="AJ479" i="1" s="1"/>
  <c r="V479" i="1"/>
  <c r="V191" i="1"/>
  <c r="U191" i="1"/>
  <c r="AJ191" i="1" s="1"/>
  <c r="U113" i="1"/>
  <c r="AJ113" i="1" s="1"/>
  <c r="V113" i="1"/>
  <c r="U173" i="1"/>
  <c r="AJ173" i="1" s="1"/>
  <c r="V173" i="1"/>
  <c r="V49" i="1"/>
  <c r="U49" i="1"/>
  <c r="AJ49" i="1" s="1"/>
  <c r="U161" i="1"/>
  <c r="AJ161" i="1" s="1"/>
  <c r="V161" i="1"/>
  <c r="U317" i="1"/>
  <c r="AJ317" i="1" s="1"/>
  <c r="V317" i="1"/>
  <c r="U473" i="1"/>
  <c r="AJ473" i="1" s="1"/>
  <c r="V473" i="1"/>
  <c r="U395" i="1"/>
  <c r="AJ395" i="1" s="1"/>
  <c r="V395" i="1"/>
  <c r="V91" i="1"/>
  <c r="U91" i="1"/>
  <c r="AJ91" i="1" s="1"/>
  <c r="U221" i="1"/>
  <c r="AJ221" i="1" s="1"/>
  <c r="V221" i="1"/>
  <c r="U539" i="1"/>
  <c r="AJ539" i="1" s="1"/>
  <c r="V539" i="1"/>
  <c r="U281" i="1"/>
  <c r="AJ281" i="1" s="1"/>
  <c r="V281" i="1"/>
  <c r="U73" i="1"/>
  <c r="AJ73" i="1" s="1"/>
  <c r="V73" i="1"/>
  <c r="V437" i="1"/>
  <c r="U437" i="1"/>
  <c r="AJ437" i="1" s="1"/>
  <c r="U179" i="1"/>
  <c r="AJ179" i="1" s="1"/>
  <c r="V179" i="1"/>
  <c r="U299" i="1"/>
  <c r="AJ299" i="1" s="1"/>
  <c r="V299" i="1"/>
  <c r="U185" i="1"/>
  <c r="AJ185" i="1" s="1"/>
  <c r="V185" i="1"/>
  <c r="U257" i="1"/>
  <c r="AJ257" i="1" s="1"/>
  <c r="V257" i="1"/>
  <c r="V383" i="1"/>
  <c r="U383" i="1"/>
  <c r="AJ383" i="1" s="1"/>
  <c r="U353" i="1"/>
  <c r="AJ353" i="1" s="1"/>
  <c r="V353" i="1"/>
  <c r="U125" i="1"/>
  <c r="AJ125" i="1" s="1"/>
  <c r="V125" i="1"/>
  <c r="U443" i="1"/>
  <c r="AJ443" i="1" s="1"/>
  <c r="V443" i="1"/>
  <c r="V461" i="1"/>
  <c r="U461" i="1"/>
  <c r="AJ461" i="1" s="1"/>
  <c r="U203" i="1"/>
  <c r="AJ203" i="1" s="1"/>
  <c r="V203" i="1"/>
  <c r="V521" i="1"/>
  <c r="U521" i="1"/>
  <c r="AJ521" i="1" s="1"/>
  <c r="U25" i="1"/>
  <c r="AJ25" i="1" s="1"/>
  <c r="V25" i="1"/>
  <c r="U347" i="1"/>
  <c r="AJ347" i="1" s="1"/>
  <c r="V347" i="1"/>
  <c r="U85" i="1"/>
  <c r="AJ85" i="1" s="1"/>
  <c r="AI85" i="1" s="1"/>
  <c r="AK85" i="1" s="1"/>
  <c r="V85" i="1"/>
  <c r="U503" i="1"/>
  <c r="AJ503" i="1" s="1"/>
  <c r="V503" i="1"/>
  <c r="U425" i="1"/>
  <c r="AJ425" i="1" s="1"/>
  <c r="V425" i="1"/>
  <c r="U551" i="1"/>
  <c r="AJ551" i="1" s="1"/>
  <c r="V551" i="1"/>
  <c r="U251" i="1"/>
  <c r="AJ251" i="1" s="1"/>
  <c r="V251" i="1"/>
  <c r="U545" i="1"/>
  <c r="AJ545" i="1" s="1"/>
  <c r="V545" i="1"/>
  <c r="U407" i="1"/>
  <c r="AJ407" i="1" s="1"/>
  <c r="V407" i="1"/>
  <c r="U455" i="1"/>
  <c r="AJ455" i="1" s="1"/>
  <c r="V455" i="1"/>
  <c r="U155" i="1"/>
  <c r="AJ155" i="1" s="1"/>
  <c r="V155" i="1"/>
  <c r="U431" i="1"/>
  <c r="AJ431" i="1" s="1"/>
  <c r="V431" i="1"/>
  <c r="U311" i="1"/>
  <c r="AJ311" i="1" s="1"/>
  <c r="V311" i="1"/>
  <c r="U107" i="1"/>
  <c r="AJ107" i="1" s="1"/>
  <c r="V107" i="1"/>
  <c r="U233" i="1"/>
  <c r="AJ233" i="1" s="1"/>
  <c r="V233" i="1"/>
  <c r="U359" i="1"/>
  <c r="AJ359" i="1" s="1"/>
  <c r="V359" i="1"/>
  <c r="U55" i="1"/>
  <c r="AJ55" i="1" s="1"/>
  <c r="V55" i="1"/>
  <c r="U377" i="1"/>
  <c r="AJ377" i="1" s="1"/>
  <c r="V377" i="1"/>
  <c r="U215" i="1"/>
  <c r="AJ215" i="1" s="1"/>
  <c r="V215" i="1"/>
  <c r="V533" i="1"/>
  <c r="U533" i="1"/>
  <c r="AJ533" i="1" s="1"/>
  <c r="U137" i="1"/>
  <c r="AJ137" i="1" s="1"/>
  <c r="V137" i="1"/>
  <c r="U263" i="1"/>
  <c r="AJ263" i="1" s="1"/>
  <c r="V263" i="1"/>
  <c r="U485" i="1"/>
  <c r="AJ485" i="1" s="1"/>
  <c r="V485" i="1"/>
  <c r="U515" i="1"/>
  <c r="AJ515" i="1" s="1"/>
  <c r="V515" i="1"/>
  <c r="U119" i="1"/>
  <c r="AJ119" i="1" s="1"/>
  <c r="V119" i="1"/>
  <c r="U167" i="1"/>
  <c r="AJ167" i="1" s="1"/>
  <c r="V167" i="1"/>
  <c r="U389" i="1"/>
  <c r="AJ389" i="1" s="1"/>
  <c r="V389" i="1"/>
  <c r="U419" i="1"/>
  <c r="AJ419" i="1" s="1"/>
  <c r="V419" i="1"/>
  <c r="U19" i="1"/>
  <c r="AJ19" i="1" s="1"/>
  <c r="V19" i="1"/>
  <c r="AG21" i="1"/>
  <c r="AH21" i="1"/>
  <c r="AG51" i="1"/>
  <c r="AH51" i="1"/>
  <c r="AF52" i="1" s="1"/>
  <c r="AH69" i="1"/>
  <c r="AF70" i="1" s="1"/>
  <c r="AG69" i="1"/>
  <c r="AH57" i="1"/>
  <c r="AF58" i="1" s="1"/>
  <c r="AG57" i="1"/>
  <c r="AH33" i="1"/>
  <c r="AG33" i="1"/>
  <c r="AG45" i="1"/>
  <c r="AH45" i="1"/>
  <c r="AF46" i="1" s="1"/>
  <c r="AG63" i="1"/>
  <c r="AH63" i="1"/>
  <c r="AF64" i="1" s="1"/>
  <c r="AG39" i="1"/>
  <c r="AH39" i="1"/>
  <c r="AH27" i="1"/>
  <c r="AG27" i="1"/>
  <c r="AF38" i="18"/>
  <c r="Z38" i="18"/>
  <c r="Z22" i="18"/>
  <c r="AL38" i="18"/>
  <c r="N22" i="18"/>
  <c r="AF30" i="18"/>
  <c r="T22" i="18"/>
  <c r="AL22" i="18"/>
  <c r="AL6" i="18"/>
  <c r="T14" i="18"/>
  <c r="N38" i="18"/>
  <c r="AL30" i="18"/>
  <c r="T30" i="18"/>
  <c r="T6" i="18"/>
  <c r="AF14" i="18"/>
  <c r="Z14" i="18"/>
  <c r="N14" i="18"/>
  <c r="N6" i="18"/>
  <c r="N30" i="18"/>
  <c r="T38" i="18"/>
  <c r="AL14" i="18"/>
  <c r="AF22" i="18"/>
  <c r="Z30" i="18"/>
  <c r="AF6" i="18"/>
  <c r="Z6" i="18"/>
  <c r="AF18" i="18"/>
  <c r="Z26" i="18"/>
  <c r="AF42" i="18"/>
  <c r="AF34" i="18"/>
  <c r="N18" i="18"/>
  <c r="AL34" i="18"/>
  <c r="AL42" i="18"/>
  <c r="AF26" i="18"/>
  <c r="Z42" i="18"/>
  <c r="T26" i="18"/>
  <c r="AL10" i="18"/>
  <c r="T42" i="18"/>
  <c r="Z18" i="18"/>
  <c r="N10" i="18"/>
  <c r="AL26" i="18"/>
  <c r="N34" i="18"/>
  <c r="N42" i="18"/>
  <c r="Z10" i="18"/>
  <c r="T10" i="18"/>
  <c r="T18" i="18"/>
  <c r="AL18" i="18"/>
  <c r="AF10" i="18"/>
  <c r="N26" i="18"/>
  <c r="T34" i="18"/>
  <c r="Z34" i="18"/>
  <c r="P24" i="18"/>
  <c r="V24" i="18"/>
  <c r="AH8" i="18"/>
  <c r="AB24" i="18"/>
  <c r="V32" i="18"/>
  <c r="V40" i="18"/>
  <c r="P16" i="18"/>
  <c r="J24" i="18"/>
  <c r="AH24" i="18"/>
  <c r="AH16" i="18"/>
  <c r="J8" i="18"/>
  <c r="AB32" i="18"/>
  <c r="J16" i="18"/>
  <c r="J32" i="18"/>
  <c r="AH40" i="18"/>
  <c r="P32" i="18"/>
  <c r="V16" i="18"/>
  <c r="AH32" i="18"/>
  <c r="AB16" i="18"/>
  <c r="P40" i="18"/>
  <c r="AB8" i="18"/>
  <c r="P8" i="18"/>
  <c r="J40" i="18"/>
  <c r="V8" i="18"/>
  <c r="AB40" i="18"/>
  <c r="V30" i="18"/>
  <c r="P22" i="18"/>
  <c r="J22" i="18"/>
  <c r="AB22" i="18"/>
  <c r="P38" i="18"/>
  <c r="AH22" i="18"/>
  <c r="AH6" i="18"/>
  <c r="AB6" i="18"/>
  <c r="AH38" i="18"/>
  <c r="J6" i="18"/>
  <c r="J14" i="18"/>
  <c r="J38" i="18"/>
  <c r="V38" i="18"/>
  <c r="V22" i="18"/>
  <c r="AB38" i="18"/>
  <c r="V6" i="18"/>
  <c r="P14" i="18"/>
  <c r="J30" i="18"/>
  <c r="AH14" i="18"/>
  <c r="AB14" i="18"/>
  <c r="AH30" i="18"/>
  <c r="P30" i="18"/>
  <c r="P6" i="18"/>
  <c r="AB30" i="18"/>
  <c r="V14" i="18"/>
  <c r="R38" i="18"/>
  <c r="R14" i="18"/>
  <c r="X38" i="18"/>
  <c r="X6" i="18"/>
  <c r="L38" i="18"/>
  <c r="AJ6" i="18"/>
  <c r="R6" i="18"/>
  <c r="AJ14" i="18"/>
  <c r="L30" i="18"/>
  <c r="AJ22" i="18"/>
  <c r="R30" i="18"/>
  <c r="AJ38" i="18"/>
  <c r="AJ30" i="18"/>
  <c r="X14" i="18"/>
  <c r="X22" i="18"/>
  <c r="L22" i="18"/>
  <c r="AD14" i="18"/>
  <c r="L6" i="18"/>
  <c r="AD30" i="18"/>
  <c r="AD22" i="18"/>
  <c r="AD6" i="18"/>
  <c r="AD38" i="18"/>
  <c r="R22" i="18"/>
  <c r="X30" i="18"/>
  <c r="L14" i="18"/>
  <c r="AD34" i="18"/>
  <c r="L10" i="18"/>
  <c r="R42" i="18"/>
  <c r="AD26" i="18"/>
  <c r="AJ34" i="18"/>
  <c r="X26" i="18"/>
  <c r="AD10" i="18"/>
  <c r="X34" i="18"/>
  <c r="L34" i="18"/>
  <c r="X42" i="18"/>
  <c r="AD18" i="18"/>
  <c r="AD42" i="18"/>
  <c r="L18" i="18"/>
  <c r="L42" i="18"/>
  <c r="X10" i="18"/>
  <c r="AJ10" i="18"/>
  <c r="R10" i="18"/>
  <c r="AJ18" i="18"/>
  <c r="L26" i="18"/>
  <c r="R34" i="18"/>
  <c r="R26" i="18"/>
  <c r="X18" i="18"/>
  <c r="R18" i="18"/>
  <c r="AJ42" i="18"/>
  <c r="AJ26" i="18"/>
  <c r="T16" i="18"/>
  <c r="Z24" i="18"/>
  <c r="AL8" i="18"/>
  <c r="T32" i="18"/>
  <c r="AF24" i="18"/>
  <c r="N32" i="18"/>
  <c r="AF16" i="18"/>
  <c r="AF8" i="18"/>
  <c r="AL24" i="18"/>
  <c r="AF32" i="18"/>
  <c r="Z40" i="18"/>
  <c r="AL40" i="18"/>
  <c r="N40" i="18"/>
  <c r="T24" i="18"/>
  <c r="Z8" i="18"/>
  <c r="T8" i="18"/>
  <c r="N16" i="18"/>
  <c r="Z32" i="18"/>
  <c r="N8" i="18"/>
  <c r="AF40" i="18"/>
  <c r="AL16" i="18"/>
  <c r="AL32" i="18"/>
  <c r="Z16" i="18"/>
  <c r="N24" i="18"/>
  <c r="T40" i="18"/>
  <c r="V44" i="18"/>
  <c r="AB44" i="18"/>
  <c r="V28" i="18"/>
  <c r="AB12" i="18"/>
  <c r="AB36" i="18"/>
  <c r="AH36" i="18"/>
  <c r="AB20" i="18"/>
  <c r="P20" i="18"/>
  <c r="P44" i="18"/>
  <c r="AB28" i="18"/>
  <c r="AH12" i="18"/>
  <c r="P36" i="18"/>
  <c r="J12" i="18"/>
  <c r="P12" i="18"/>
  <c r="V12" i="18"/>
  <c r="J36" i="18"/>
  <c r="J28" i="18"/>
  <c r="J20" i="18"/>
  <c r="P28" i="18"/>
  <c r="V20" i="18"/>
  <c r="AH28" i="18"/>
  <c r="V36" i="18"/>
  <c r="AH20" i="18"/>
  <c r="J44" i="18"/>
  <c r="AH44" i="18"/>
  <c r="P26" i="18"/>
  <c r="J26" i="18"/>
  <c r="AB10" i="18"/>
  <c r="V10" i="18"/>
  <c r="V42" i="18"/>
  <c r="AH18" i="18"/>
  <c r="AB18" i="18"/>
  <c r="P42" i="18"/>
  <c r="AH34" i="18"/>
  <c r="J10" i="18"/>
  <c r="AB34" i="18"/>
  <c r="P10" i="18"/>
  <c r="AB42" i="18"/>
  <c r="J42" i="18"/>
  <c r="P34" i="18"/>
  <c r="AB26" i="18"/>
  <c r="V34" i="18"/>
  <c r="AH26" i="18"/>
  <c r="AH10" i="18"/>
  <c r="J18" i="18"/>
  <c r="V26" i="18"/>
  <c r="J34" i="18"/>
  <c r="P18" i="18"/>
  <c r="V18" i="18"/>
  <c r="AH42" i="18"/>
  <c r="R32" i="18"/>
  <c r="AJ40" i="18"/>
  <c r="AJ8" i="18"/>
  <c r="AJ24" i="18"/>
  <c r="X24" i="18"/>
  <c r="AJ32" i="18"/>
  <c r="X16" i="18"/>
  <c r="AD24" i="18"/>
  <c r="AD16" i="18"/>
  <c r="L32" i="18"/>
  <c r="X32" i="18"/>
  <c r="R8" i="18"/>
  <c r="L24" i="18"/>
  <c r="AD40" i="18"/>
  <c r="AJ16" i="18"/>
  <c r="R40" i="18"/>
  <c r="AD8" i="18"/>
  <c r="L40" i="18"/>
  <c r="X40" i="18"/>
  <c r="R24" i="18"/>
  <c r="X8" i="18"/>
  <c r="L8" i="18"/>
  <c r="AD32" i="18"/>
  <c r="R16" i="18"/>
  <c r="L16" i="18"/>
  <c r="AI563" i="1" l="1"/>
  <c r="AK563" i="1" s="1"/>
  <c r="AJ564" i="1"/>
  <c r="AI564" i="1" s="1"/>
  <c r="AK564" i="1" s="1"/>
  <c r="AJ86" i="1"/>
  <c r="AJ80" i="1"/>
  <c r="AI79" i="1"/>
  <c r="AK79" i="1" s="1"/>
  <c r="AH40" i="1"/>
  <c r="AG40" i="1"/>
  <c r="AG64" i="1"/>
  <c r="AH64" i="1"/>
  <c r="AF65" i="1" s="1"/>
  <c r="AH46" i="1"/>
  <c r="AF47" i="1" s="1"/>
  <c r="AG46" i="1"/>
  <c r="AG34" i="1"/>
  <c r="AH34" i="1"/>
  <c r="AG58" i="1"/>
  <c r="AH58" i="1"/>
  <c r="AF59" i="1" s="1"/>
  <c r="AG70" i="1"/>
  <c r="AH70" i="1"/>
  <c r="AF71" i="1" s="1"/>
  <c r="AH52" i="1"/>
  <c r="AF53" i="1" s="1"/>
  <c r="AG52" i="1"/>
  <c r="AH22" i="1"/>
  <c r="AG22" i="1"/>
  <c r="AG28" i="1"/>
  <c r="AH28" i="1"/>
  <c r="AI293" i="1"/>
  <c r="AK293" i="1" s="1"/>
  <c r="AJ294" i="1"/>
  <c r="AJ312" i="1"/>
  <c r="AI311" i="1"/>
  <c r="AK311" i="1" s="1"/>
  <c r="AI431" i="1"/>
  <c r="AK431" i="1" s="1"/>
  <c r="AJ432" i="1"/>
  <c r="AI515" i="1"/>
  <c r="AK515" i="1" s="1"/>
  <c r="AJ516" i="1"/>
  <c r="AI503" i="1"/>
  <c r="AK503" i="1" s="1"/>
  <c r="AJ504" i="1"/>
  <c r="AI317" i="1"/>
  <c r="AK317" i="1" s="1"/>
  <c r="AJ318" i="1"/>
  <c r="AI347" i="1"/>
  <c r="AK347" i="1" s="1"/>
  <c r="AJ348" i="1"/>
  <c r="AI527" i="1"/>
  <c r="AK527" i="1" s="1"/>
  <c r="AJ528" i="1"/>
  <c r="AI401" i="1"/>
  <c r="AK401" i="1" s="1"/>
  <c r="AJ402" i="1"/>
  <c r="AI353" i="1"/>
  <c r="AK353" i="1" s="1"/>
  <c r="AJ354" i="1"/>
  <c r="AI389" i="1"/>
  <c r="AK389" i="1" s="1"/>
  <c r="AJ390" i="1"/>
  <c r="AI539" i="1"/>
  <c r="AK539" i="1" s="1"/>
  <c r="AJ540" i="1"/>
  <c r="AI491" i="1"/>
  <c r="AK491" i="1" s="1"/>
  <c r="AJ492" i="1"/>
  <c r="AJ366" i="1"/>
  <c r="AI365" i="1"/>
  <c r="AK365" i="1" s="1"/>
  <c r="AI467" i="1"/>
  <c r="AK467" i="1" s="1"/>
  <c r="AJ468" i="1"/>
  <c r="AI479" i="1"/>
  <c r="AK479" i="1" s="1"/>
  <c r="AJ480" i="1"/>
  <c r="AI425" i="1"/>
  <c r="AK425" i="1" s="1"/>
  <c r="AJ426" i="1"/>
  <c r="AJ438" i="1"/>
  <c r="AI437" i="1"/>
  <c r="AK437" i="1" s="1"/>
  <c r="AJ372" i="1"/>
  <c r="AI371" i="1"/>
  <c r="AK371" i="1" s="1"/>
  <c r="AI407" i="1"/>
  <c r="AK407" i="1" s="1"/>
  <c r="AJ408" i="1"/>
  <c r="AJ534" i="1"/>
  <c r="AI533" i="1"/>
  <c r="AK533" i="1" s="1"/>
  <c r="AI377" i="1"/>
  <c r="AK377" i="1" s="1"/>
  <c r="AJ378" i="1"/>
  <c r="AI413" i="1"/>
  <c r="AK413" i="1" s="1"/>
  <c r="AJ414" i="1"/>
  <c r="AI305" i="1"/>
  <c r="AK305" i="1" s="1"/>
  <c r="AJ306" i="1"/>
  <c r="AI497" i="1"/>
  <c r="AK497" i="1" s="1"/>
  <c r="AJ498" i="1"/>
  <c r="AI545" i="1"/>
  <c r="AK545" i="1" s="1"/>
  <c r="AJ546" i="1"/>
  <c r="AJ450" i="1"/>
  <c r="AI449" i="1"/>
  <c r="AK449" i="1" s="1"/>
  <c r="AI485" i="1"/>
  <c r="AK485" i="1" s="1"/>
  <c r="AJ486" i="1"/>
  <c r="AI455" i="1"/>
  <c r="AK455" i="1" s="1"/>
  <c r="AJ456" i="1"/>
  <c r="AI521" i="1"/>
  <c r="AK521" i="1" s="1"/>
  <c r="AJ522" i="1"/>
  <c r="AI383" i="1"/>
  <c r="AK383" i="1" s="1"/>
  <c r="AJ384" i="1"/>
  <c r="AI323" i="1"/>
  <c r="AK323" i="1" s="1"/>
  <c r="AJ324" i="1"/>
  <c r="AI359" i="1"/>
  <c r="AK359" i="1" s="1"/>
  <c r="AJ360" i="1"/>
  <c r="AI299" i="1"/>
  <c r="AK299" i="1" s="1"/>
  <c r="AJ300" i="1"/>
  <c r="AI329" i="1"/>
  <c r="AK329" i="1" s="1"/>
  <c r="AJ330" i="1"/>
  <c r="AI443" i="1"/>
  <c r="AK443" i="1" s="1"/>
  <c r="AJ444" i="1"/>
  <c r="AJ510" i="1"/>
  <c r="AI509" i="1"/>
  <c r="AK509" i="1" s="1"/>
  <c r="AI473" i="1"/>
  <c r="AK473" i="1" s="1"/>
  <c r="AJ474" i="1"/>
  <c r="AI419" i="1"/>
  <c r="AK419" i="1" s="1"/>
  <c r="AJ420" i="1"/>
  <c r="AI395" i="1"/>
  <c r="AK395" i="1" s="1"/>
  <c r="AJ396" i="1"/>
  <c r="AI551" i="1"/>
  <c r="AK551" i="1" s="1"/>
  <c r="AJ552" i="1"/>
  <c r="AI335" i="1"/>
  <c r="AK335" i="1" s="1"/>
  <c r="AJ336" i="1"/>
  <c r="AI461" i="1"/>
  <c r="AK461" i="1" s="1"/>
  <c r="AJ462" i="1"/>
  <c r="AI341" i="1"/>
  <c r="AK341" i="1" s="1"/>
  <c r="AJ342" i="1"/>
  <c r="AI245" i="1"/>
  <c r="AK245" i="1" s="1"/>
  <c r="AJ246" i="1"/>
  <c r="AI263" i="1"/>
  <c r="AK263" i="1" s="1"/>
  <c r="AJ264" i="1"/>
  <c r="AI281" i="1"/>
  <c r="AK281" i="1" s="1"/>
  <c r="AJ282" i="1"/>
  <c r="AI257" i="1"/>
  <c r="AK257" i="1" s="1"/>
  <c r="AJ258" i="1"/>
  <c r="AI275" i="1"/>
  <c r="AK275" i="1" s="1"/>
  <c r="AJ276" i="1"/>
  <c r="AJ288" i="1"/>
  <c r="AI287" i="1"/>
  <c r="AK287" i="1" s="1"/>
  <c r="AJ252" i="1"/>
  <c r="AI251" i="1"/>
  <c r="AK251" i="1" s="1"/>
  <c r="AI269" i="1"/>
  <c r="AK269" i="1" s="1"/>
  <c r="AJ270" i="1"/>
  <c r="AJ204" i="1"/>
  <c r="AI203" i="1"/>
  <c r="AK203" i="1" s="1"/>
  <c r="AI221" i="1"/>
  <c r="AK221" i="1" s="1"/>
  <c r="AJ222" i="1"/>
  <c r="AI239" i="1"/>
  <c r="AK239" i="1" s="1"/>
  <c r="AJ240" i="1"/>
  <c r="AI197" i="1"/>
  <c r="AK197" i="1" s="1"/>
  <c r="AJ198" i="1"/>
  <c r="AI215" i="1"/>
  <c r="AK215" i="1" s="1"/>
  <c r="AJ216" i="1"/>
  <c r="AI233" i="1"/>
  <c r="AK233" i="1" s="1"/>
  <c r="AJ234" i="1"/>
  <c r="AI227" i="1"/>
  <c r="AK227" i="1" s="1"/>
  <c r="AJ228" i="1"/>
  <c r="AJ210" i="1"/>
  <c r="AI209" i="1"/>
  <c r="AK209" i="1" s="1"/>
  <c r="AI191" i="1"/>
  <c r="AK191" i="1" s="1"/>
  <c r="AJ192" i="1"/>
  <c r="AI185" i="1"/>
  <c r="AK185" i="1" s="1"/>
  <c r="AJ186" i="1"/>
  <c r="AI161" i="1"/>
  <c r="AK161" i="1" s="1"/>
  <c r="AJ162" i="1"/>
  <c r="AJ180" i="1"/>
  <c r="AI179" i="1"/>
  <c r="AK179" i="1" s="1"/>
  <c r="AI173" i="1"/>
  <c r="AK173" i="1" s="1"/>
  <c r="AJ174" i="1"/>
  <c r="AJ168" i="1"/>
  <c r="AI167" i="1"/>
  <c r="AK167" i="1" s="1"/>
  <c r="AI119" i="1"/>
  <c r="AK119" i="1" s="1"/>
  <c r="AJ120" i="1"/>
  <c r="AJ138" i="1"/>
  <c r="AI137" i="1"/>
  <c r="AK137" i="1" s="1"/>
  <c r="AJ132" i="1"/>
  <c r="AI131" i="1"/>
  <c r="AK131" i="1" s="1"/>
  <c r="AI149" i="1"/>
  <c r="AK149" i="1" s="1"/>
  <c r="AJ150" i="1"/>
  <c r="AI125" i="1"/>
  <c r="AK125" i="1" s="1"/>
  <c r="AJ126" i="1"/>
  <c r="AI143" i="1"/>
  <c r="AK143" i="1" s="1"/>
  <c r="AJ144" i="1"/>
  <c r="AI155" i="1"/>
  <c r="AK155" i="1" s="1"/>
  <c r="AJ156" i="1"/>
  <c r="AI91" i="1"/>
  <c r="AK91" i="1" s="1"/>
  <c r="AJ92" i="1"/>
  <c r="AI113" i="1"/>
  <c r="AK113" i="1" s="1"/>
  <c r="AJ114" i="1"/>
  <c r="AI107" i="1"/>
  <c r="AK107" i="1" s="1"/>
  <c r="AJ108" i="1"/>
  <c r="AI97" i="1"/>
  <c r="AK97" i="1" s="1"/>
  <c r="AJ98" i="1"/>
  <c r="AI86" i="1"/>
  <c r="AK86" i="1" s="1"/>
  <c r="AJ87" i="1"/>
  <c r="AI61" i="1"/>
  <c r="AK61" i="1" s="1"/>
  <c r="AJ62" i="1"/>
  <c r="AI55" i="1"/>
  <c r="AK55" i="1" s="1"/>
  <c r="AJ56" i="1"/>
  <c r="AI37" i="1"/>
  <c r="AK37" i="1" s="1"/>
  <c r="AJ38" i="1"/>
  <c r="AI43" i="1"/>
  <c r="AK43" i="1" s="1"/>
  <c r="AJ44" i="1"/>
  <c r="AI31" i="1"/>
  <c r="AK31" i="1" s="1"/>
  <c r="AJ32" i="1"/>
  <c r="AI73" i="1"/>
  <c r="AK73" i="1" s="1"/>
  <c r="AJ74" i="1"/>
  <c r="AI67" i="1"/>
  <c r="AK67" i="1" s="1"/>
  <c r="AJ68" i="1"/>
  <c r="AI49" i="1"/>
  <c r="AK49" i="1" s="1"/>
  <c r="AJ50" i="1"/>
  <c r="AI80" i="1"/>
  <c r="AK80" i="1" s="1"/>
  <c r="AJ81" i="1"/>
  <c r="AI25" i="1"/>
  <c r="AK25" i="1" s="1"/>
  <c r="AJ26" i="1"/>
  <c r="AI19" i="1"/>
  <c r="AK19" i="1" s="1"/>
  <c r="AJ20" i="1"/>
  <c r="AH23" i="1" l="1"/>
  <c r="AG23" i="1"/>
  <c r="AG53" i="1"/>
  <c r="AH53" i="1"/>
  <c r="AF54" i="1" s="1"/>
  <c r="AG71" i="1"/>
  <c r="AH71" i="1"/>
  <c r="AF72" i="1" s="1"/>
  <c r="AG59" i="1"/>
  <c r="AH59" i="1"/>
  <c r="AF60" i="1" s="1"/>
  <c r="AH35" i="1"/>
  <c r="AG35" i="1"/>
  <c r="AG47" i="1"/>
  <c r="AH47" i="1"/>
  <c r="AF48" i="1" s="1"/>
  <c r="AG65" i="1"/>
  <c r="AH65" i="1"/>
  <c r="AF66" i="1" s="1"/>
  <c r="AH29" i="1"/>
  <c r="AG29" i="1"/>
  <c r="AG41" i="1"/>
  <c r="AH41" i="1"/>
  <c r="AI456" i="1"/>
  <c r="AK456" i="1" s="1"/>
  <c r="AJ457" i="1"/>
  <c r="AI318" i="1"/>
  <c r="AK318" i="1" s="1"/>
  <c r="AJ319" i="1"/>
  <c r="AJ511" i="1"/>
  <c r="AI510" i="1"/>
  <c r="AK510" i="1" s="1"/>
  <c r="AI366" i="1"/>
  <c r="AK366" i="1" s="1"/>
  <c r="AJ367" i="1"/>
  <c r="AI348" i="1"/>
  <c r="AK348" i="1" s="1"/>
  <c r="AJ349" i="1"/>
  <c r="AJ343" i="1"/>
  <c r="AI342" i="1"/>
  <c r="AK342" i="1" s="1"/>
  <c r="AI444" i="1"/>
  <c r="AK444" i="1" s="1"/>
  <c r="AJ445" i="1"/>
  <c r="AI486" i="1"/>
  <c r="AK486" i="1" s="1"/>
  <c r="AJ487" i="1"/>
  <c r="AI492" i="1"/>
  <c r="AK492" i="1" s="1"/>
  <c r="AJ493" i="1"/>
  <c r="AJ505" i="1"/>
  <c r="AI504" i="1"/>
  <c r="AK504" i="1" s="1"/>
  <c r="AI534" i="1"/>
  <c r="AK534" i="1" s="1"/>
  <c r="AJ535" i="1"/>
  <c r="AI462" i="1"/>
  <c r="AK462" i="1" s="1"/>
  <c r="AJ463" i="1"/>
  <c r="AI330" i="1"/>
  <c r="AK330" i="1" s="1"/>
  <c r="AJ331" i="1"/>
  <c r="AI408" i="1"/>
  <c r="AK408" i="1" s="1"/>
  <c r="AJ409" i="1"/>
  <c r="AJ541" i="1"/>
  <c r="AI540" i="1"/>
  <c r="AK540" i="1" s="1"/>
  <c r="AI516" i="1"/>
  <c r="AK516" i="1" s="1"/>
  <c r="AJ517" i="1"/>
  <c r="AI450" i="1"/>
  <c r="AK450" i="1" s="1"/>
  <c r="AJ451" i="1"/>
  <c r="AI336" i="1"/>
  <c r="AK336" i="1" s="1"/>
  <c r="AJ337" i="1"/>
  <c r="AJ301" i="1"/>
  <c r="AI300" i="1"/>
  <c r="AK300" i="1" s="1"/>
  <c r="AI546" i="1"/>
  <c r="AK546" i="1" s="1"/>
  <c r="AJ547" i="1"/>
  <c r="AI390" i="1"/>
  <c r="AK390" i="1" s="1"/>
  <c r="AJ391" i="1"/>
  <c r="AI432" i="1"/>
  <c r="AK432" i="1" s="1"/>
  <c r="AJ433" i="1"/>
  <c r="AI474" i="1"/>
  <c r="AK474" i="1" s="1"/>
  <c r="AJ475" i="1"/>
  <c r="AI372" i="1"/>
  <c r="AK372" i="1" s="1"/>
  <c r="AJ373" i="1"/>
  <c r="AI552" i="1"/>
  <c r="AK552" i="1" s="1"/>
  <c r="AJ553" i="1"/>
  <c r="AI360" i="1"/>
  <c r="AK360" i="1" s="1"/>
  <c r="AJ361" i="1"/>
  <c r="AI498" i="1"/>
  <c r="AK498" i="1" s="1"/>
  <c r="AJ499" i="1"/>
  <c r="AI354" i="1"/>
  <c r="AK354" i="1" s="1"/>
  <c r="AJ355" i="1"/>
  <c r="AI522" i="1"/>
  <c r="AK522" i="1" s="1"/>
  <c r="AJ523" i="1"/>
  <c r="AI468" i="1"/>
  <c r="AK468" i="1" s="1"/>
  <c r="AJ469" i="1"/>
  <c r="AI438" i="1"/>
  <c r="AK438" i="1" s="1"/>
  <c r="AJ439" i="1"/>
  <c r="AI378" i="1"/>
  <c r="AK378" i="1" s="1"/>
  <c r="AJ379" i="1"/>
  <c r="AI396" i="1"/>
  <c r="AK396" i="1" s="1"/>
  <c r="AJ397" i="1"/>
  <c r="AI324" i="1"/>
  <c r="AK324" i="1" s="1"/>
  <c r="AJ325" i="1"/>
  <c r="AJ307" i="1"/>
  <c r="AI306" i="1"/>
  <c r="AK306" i="1" s="1"/>
  <c r="AI426" i="1"/>
  <c r="AK426" i="1" s="1"/>
  <c r="AJ427" i="1"/>
  <c r="AI402" i="1"/>
  <c r="AK402" i="1" s="1"/>
  <c r="AJ403" i="1"/>
  <c r="AI312" i="1"/>
  <c r="AK312" i="1" s="1"/>
  <c r="AJ313" i="1"/>
  <c r="AI420" i="1"/>
  <c r="AK420" i="1" s="1"/>
  <c r="AJ421" i="1"/>
  <c r="AI384" i="1"/>
  <c r="AK384" i="1" s="1"/>
  <c r="AJ385" i="1"/>
  <c r="AI414" i="1"/>
  <c r="AK414" i="1" s="1"/>
  <c r="AJ415" i="1"/>
  <c r="AI480" i="1"/>
  <c r="AK480" i="1" s="1"/>
  <c r="AJ481" i="1"/>
  <c r="AI528" i="1"/>
  <c r="AK528" i="1" s="1"/>
  <c r="AJ529" i="1"/>
  <c r="AI294" i="1"/>
  <c r="AK294" i="1" s="1"/>
  <c r="AJ295" i="1"/>
  <c r="AI270" i="1"/>
  <c r="AK270" i="1" s="1"/>
  <c r="AJ271" i="1"/>
  <c r="AI252" i="1"/>
  <c r="AK252" i="1" s="1"/>
  <c r="AJ253" i="1"/>
  <c r="AI288" i="1"/>
  <c r="AK288" i="1" s="1"/>
  <c r="AJ289" i="1"/>
  <c r="AI276" i="1"/>
  <c r="AK276" i="1" s="1"/>
  <c r="AJ277" i="1"/>
  <c r="AJ259" i="1"/>
  <c r="AI258" i="1"/>
  <c r="AK258" i="1" s="1"/>
  <c r="AJ283" i="1"/>
  <c r="AI282" i="1"/>
  <c r="AK282" i="1" s="1"/>
  <c r="AI264" i="1"/>
  <c r="AK264" i="1" s="1"/>
  <c r="AJ265" i="1"/>
  <c r="AI246" i="1"/>
  <c r="AK246" i="1" s="1"/>
  <c r="AJ247" i="1"/>
  <c r="AI210" i="1"/>
  <c r="AK210" i="1" s="1"/>
  <c r="AJ211" i="1"/>
  <c r="AI228" i="1"/>
  <c r="AK228" i="1" s="1"/>
  <c r="AJ229" i="1"/>
  <c r="AJ235" i="1"/>
  <c r="AI234" i="1"/>
  <c r="AK234" i="1" s="1"/>
  <c r="AI216" i="1"/>
  <c r="AK216" i="1" s="1"/>
  <c r="AJ217" i="1"/>
  <c r="AI198" i="1"/>
  <c r="AK198" i="1" s="1"/>
  <c r="AJ199" i="1"/>
  <c r="AJ241" i="1"/>
  <c r="AI240" i="1"/>
  <c r="AK240" i="1" s="1"/>
  <c r="AI186" i="1"/>
  <c r="AK186" i="1" s="1"/>
  <c r="AJ187" i="1"/>
  <c r="AI222" i="1"/>
  <c r="AK222" i="1" s="1"/>
  <c r="AJ223" i="1"/>
  <c r="AJ193" i="1"/>
  <c r="AI192" i="1"/>
  <c r="AK192" i="1" s="1"/>
  <c r="AI204" i="1"/>
  <c r="AK204" i="1" s="1"/>
  <c r="AJ205" i="1"/>
  <c r="AI168" i="1"/>
  <c r="AK168" i="1" s="1"/>
  <c r="AJ169" i="1"/>
  <c r="AI174" i="1"/>
  <c r="AK174" i="1" s="1"/>
  <c r="AJ175" i="1"/>
  <c r="AI180" i="1"/>
  <c r="AK180" i="1" s="1"/>
  <c r="AJ181" i="1"/>
  <c r="AI162" i="1"/>
  <c r="AK162" i="1" s="1"/>
  <c r="AJ163" i="1"/>
  <c r="AI156" i="1"/>
  <c r="AK156" i="1" s="1"/>
  <c r="AJ157" i="1"/>
  <c r="AI144" i="1"/>
  <c r="AK144" i="1" s="1"/>
  <c r="AJ145" i="1"/>
  <c r="AJ127" i="1"/>
  <c r="AI126" i="1"/>
  <c r="AK126" i="1" s="1"/>
  <c r="AI150" i="1"/>
  <c r="AK150" i="1" s="1"/>
  <c r="AJ151" i="1"/>
  <c r="AJ133" i="1"/>
  <c r="AI132" i="1"/>
  <c r="AK132" i="1" s="1"/>
  <c r="AI138" i="1"/>
  <c r="AK138" i="1" s="1"/>
  <c r="AJ139" i="1"/>
  <c r="AI120" i="1"/>
  <c r="AK120" i="1" s="1"/>
  <c r="AJ121" i="1"/>
  <c r="AI98" i="1"/>
  <c r="AK98" i="1" s="1"/>
  <c r="AJ99" i="1"/>
  <c r="P41" i="19"/>
  <c r="AJ109" i="1"/>
  <c r="AI108" i="1"/>
  <c r="AK108" i="1" s="1"/>
  <c r="V51" i="19"/>
  <c r="AI114" i="1"/>
  <c r="AK114" i="1" s="1"/>
  <c r="AJ115" i="1"/>
  <c r="J21" i="19"/>
  <c r="AB11" i="19"/>
  <c r="AI92" i="1"/>
  <c r="AK92" i="1" s="1"/>
  <c r="AJ93" i="1"/>
  <c r="AI87" i="1"/>
  <c r="AK87" i="1" s="1"/>
  <c r="AJ88" i="1"/>
  <c r="J43" i="19"/>
  <c r="AB53" i="19"/>
  <c r="J31" i="19"/>
  <c r="AH11" i="19"/>
  <c r="P39" i="19"/>
  <c r="J41" i="19"/>
  <c r="AH53" i="19"/>
  <c r="P19" i="19"/>
  <c r="V19" i="19"/>
  <c r="J9" i="19"/>
  <c r="AB29" i="19"/>
  <c r="P9" i="19"/>
  <c r="J29" i="19"/>
  <c r="AH29" i="19"/>
  <c r="AH39" i="19"/>
  <c r="AB9" i="19"/>
  <c r="AB39" i="19"/>
  <c r="P49" i="19"/>
  <c r="V49" i="19"/>
  <c r="V39" i="19"/>
  <c r="AB14" i="19"/>
  <c r="AH24" i="19"/>
  <c r="J49" i="19"/>
  <c r="J54" i="19"/>
  <c r="AH19" i="19"/>
  <c r="J19" i="19"/>
  <c r="AB49" i="19"/>
  <c r="AB41" i="19"/>
  <c r="AH21" i="19"/>
  <c r="V31" i="19"/>
  <c r="P11" i="19"/>
  <c r="J51" i="19"/>
  <c r="P10" i="19"/>
  <c r="V30" i="19"/>
  <c r="J23" i="19"/>
  <c r="AH20" i="19"/>
  <c r="AH13" i="19"/>
  <c r="P50" i="19"/>
  <c r="P23" i="19"/>
  <c r="J39" i="19"/>
  <c r="V50" i="19"/>
  <c r="P33" i="19"/>
  <c r="AB19" i="19"/>
  <c r="P29" i="19"/>
  <c r="AH28" i="19"/>
  <c r="AB40" i="19"/>
  <c r="AH54" i="19"/>
  <c r="AB35" i="19"/>
  <c r="J38" i="19"/>
  <c r="AB20" i="19"/>
  <c r="V23" i="19"/>
  <c r="P30" i="19"/>
  <c r="AH30" i="19"/>
  <c r="J30" i="19"/>
  <c r="AH25" i="19"/>
  <c r="P38" i="19"/>
  <c r="V9" i="19"/>
  <c r="V29" i="19"/>
  <c r="AH9" i="19"/>
  <c r="AH49" i="19"/>
  <c r="AB43" i="19"/>
  <c r="AH48" i="19"/>
  <c r="AB13" i="19"/>
  <c r="P51" i="19"/>
  <c r="P21" i="19"/>
  <c r="AB50" i="19"/>
  <c r="P8" i="19"/>
  <c r="J53" i="19"/>
  <c r="V53" i="19"/>
  <c r="V48" i="19"/>
  <c r="J11" i="19"/>
  <c r="AH41" i="19"/>
  <c r="J50" i="19"/>
  <c r="V28" i="19"/>
  <c r="P13" i="19"/>
  <c r="AH51" i="19"/>
  <c r="AB31" i="19"/>
  <c r="AH50" i="19"/>
  <c r="AB38" i="19"/>
  <c r="AH23" i="19"/>
  <c r="P31" i="19"/>
  <c r="AB10" i="19"/>
  <c r="J20" i="19"/>
  <c r="V38" i="19"/>
  <c r="AB23" i="19"/>
  <c r="AH31" i="19"/>
  <c r="P40" i="19"/>
  <c r="V10" i="19"/>
  <c r="AB48" i="19"/>
  <c r="P53" i="19"/>
  <c r="P48" i="19"/>
  <c r="V13" i="19"/>
  <c r="V21" i="19"/>
  <c r="P20" i="19"/>
  <c r="V40" i="19"/>
  <c r="AB18" i="19"/>
  <c r="V43" i="19"/>
  <c r="V11" i="19"/>
  <c r="J10" i="19"/>
  <c r="AB30" i="19"/>
  <c r="J28" i="19"/>
  <c r="AH43" i="19"/>
  <c r="V41" i="19"/>
  <c r="V20" i="19"/>
  <c r="AH40" i="19"/>
  <c r="P18" i="19"/>
  <c r="J13" i="19"/>
  <c r="AB51" i="19"/>
  <c r="AB21" i="19"/>
  <c r="AH10" i="19"/>
  <c r="J40" i="19"/>
  <c r="J33" i="19"/>
  <c r="P43" i="19"/>
  <c r="J48" i="19"/>
  <c r="V8" i="19"/>
  <c r="V18" i="19"/>
  <c r="AH38" i="19"/>
  <c r="AH18" i="19"/>
  <c r="AB8" i="19"/>
  <c r="V33" i="19"/>
  <c r="J18" i="19"/>
  <c r="AB28" i="19"/>
  <c r="AH8" i="19"/>
  <c r="AB33" i="19"/>
  <c r="J35" i="19"/>
  <c r="AB15" i="19"/>
  <c r="AB45" i="19"/>
  <c r="J22" i="19"/>
  <c r="AH33" i="19"/>
  <c r="V55" i="19"/>
  <c r="P35" i="19"/>
  <c r="V34" i="19"/>
  <c r="AB44" i="19"/>
  <c r="AH52" i="19"/>
  <c r="V14" i="19"/>
  <c r="AB54" i="19"/>
  <c r="V35" i="19"/>
  <c r="P42" i="19"/>
  <c r="P24" i="19"/>
  <c r="AH34" i="19"/>
  <c r="V44" i="19"/>
  <c r="P55" i="19"/>
  <c r="AB34" i="19"/>
  <c r="AH44" i="19"/>
  <c r="V32" i="19"/>
  <c r="AH15" i="19"/>
  <c r="AH14" i="19"/>
  <c r="J34" i="19"/>
  <c r="P14" i="19"/>
  <c r="J15" i="19"/>
  <c r="J55" i="19"/>
  <c r="P25" i="19"/>
  <c r="V54" i="19"/>
  <c r="P45" i="19"/>
  <c r="AH55" i="19"/>
  <c r="P44" i="19"/>
  <c r="AH45" i="19"/>
  <c r="J45" i="19"/>
  <c r="AB24" i="19"/>
  <c r="V25" i="19"/>
  <c r="V24" i="19"/>
  <c r="AB55" i="19"/>
  <c r="V45" i="19"/>
  <c r="P34" i="19"/>
  <c r="P15" i="19"/>
  <c r="J25" i="19"/>
  <c r="P54" i="19"/>
  <c r="J44" i="19"/>
  <c r="AH35" i="19"/>
  <c r="AB25" i="19"/>
  <c r="V15" i="19"/>
  <c r="J24" i="19"/>
  <c r="J14" i="19"/>
  <c r="J42" i="19"/>
  <c r="V42" i="19"/>
  <c r="AB52" i="19"/>
  <c r="AH32" i="19"/>
  <c r="AB12" i="19"/>
  <c r="P22" i="19"/>
  <c r="P12" i="19"/>
  <c r="AB22" i="19"/>
  <c r="J52" i="19"/>
  <c r="J12" i="19"/>
  <c r="AH12" i="19"/>
  <c r="J32" i="19"/>
  <c r="V22" i="19"/>
  <c r="AH42" i="19"/>
  <c r="P32" i="19"/>
  <c r="AB42" i="19"/>
  <c r="V12" i="19"/>
  <c r="V52" i="19"/>
  <c r="AB32" i="19"/>
  <c r="P52" i="19"/>
  <c r="AH22" i="19"/>
  <c r="AJ69" i="1"/>
  <c r="AI68" i="1"/>
  <c r="AJ51" i="1"/>
  <c r="AI50" i="1"/>
  <c r="AJ75" i="1"/>
  <c r="AI74" i="1"/>
  <c r="AK74" i="1" s="1"/>
  <c r="AJ33" i="1"/>
  <c r="AI32" i="1"/>
  <c r="AJ45" i="1"/>
  <c r="AI44" i="1"/>
  <c r="AJ39" i="1"/>
  <c r="AI38" i="1"/>
  <c r="P28" i="19"/>
  <c r="AJ57" i="1"/>
  <c r="AI56" i="1"/>
  <c r="J8" i="19"/>
  <c r="AI81" i="1"/>
  <c r="AK81" i="1" s="1"/>
  <c r="AJ82" i="1"/>
  <c r="AJ63" i="1"/>
  <c r="AI62" i="1"/>
  <c r="AJ21" i="1"/>
  <c r="AI20" i="1"/>
  <c r="AK20" i="1" s="1"/>
  <c r="AI26" i="1"/>
  <c r="AJ27" i="1"/>
  <c r="P17" i="19"/>
  <c r="AB27" i="19"/>
  <c r="J47" i="19"/>
  <c r="V27" i="19"/>
  <c r="AH47" i="19"/>
  <c r="AB47" i="19"/>
  <c r="P47" i="19"/>
  <c r="P7" i="19"/>
  <c r="AH7" i="19"/>
  <c r="V37" i="19"/>
  <c r="AB17" i="19"/>
  <c r="V7" i="19"/>
  <c r="AH37" i="19"/>
  <c r="AH17" i="19"/>
  <c r="J7" i="19"/>
  <c r="AH27" i="19"/>
  <c r="J37" i="19"/>
  <c r="J17" i="19"/>
  <c r="AB7" i="19"/>
  <c r="AB37" i="19"/>
  <c r="V17" i="19"/>
  <c r="J27" i="19"/>
  <c r="P27" i="19"/>
  <c r="V47" i="19"/>
  <c r="P37" i="19"/>
  <c r="P16" i="19"/>
  <c r="AG30" i="1" l="1"/>
  <c r="AH30" i="1"/>
  <c r="AH66" i="1"/>
  <c r="AG66" i="1"/>
  <c r="AH48" i="1"/>
  <c r="AG48" i="1"/>
  <c r="AH36" i="1"/>
  <c r="AG36" i="1"/>
  <c r="AG60" i="1"/>
  <c r="AH60" i="1"/>
  <c r="AG72" i="1"/>
  <c r="AH72" i="1"/>
  <c r="AH54" i="1"/>
  <c r="AG54" i="1"/>
  <c r="AG42" i="1"/>
  <c r="AH42" i="1"/>
  <c r="AG24" i="1"/>
  <c r="AH24" i="1"/>
  <c r="AI541" i="1"/>
  <c r="AK541" i="1" s="1"/>
  <c r="AJ542" i="1"/>
  <c r="AI403" i="1"/>
  <c r="AK403" i="1" s="1"/>
  <c r="AJ404" i="1"/>
  <c r="AI523" i="1"/>
  <c r="AK523" i="1" s="1"/>
  <c r="AJ524" i="1"/>
  <c r="AI433" i="1"/>
  <c r="AK433" i="1" s="1"/>
  <c r="AJ434" i="1"/>
  <c r="AI409" i="1"/>
  <c r="AK409" i="1" s="1"/>
  <c r="AJ410" i="1"/>
  <c r="AI313" i="1"/>
  <c r="AK313" i="1" s="1"/>
  <c r="AJ314" i="1"/>
  <c r="AI343" i="1"/>
  <c r="AK343" i="1" s="1"/>
  <c r="AJ344" i="1"/>
  <c r="AJ476" i="1"/>
  <c r="AI475" i="1"/>
  <c r="AK475" i="1" s="1"/>
  <c r="AI295" i="1"/>
  <c r="AK295" i="1" s="1"/>
  <c r="AJ296" i="1"/>
  <c r="AI427" i="1"/>
  <c r="AK427" i="1" s="1"/>
  <c r="AJ428" i="1"/>
  <c r="AI391" i="1"/>
  <c r="AK391" i="1" s="1"/>
  <c r="AJ392" i="1"/>
  <c r="AJ332" i="1"/>
  <c r="AI331" i="1"/>
  <c r="AK331" i="1" s="1"/>
  <c r="AI349" i="1"/>
  <c r="AK349" i="1" s="1"/>
  <c r="AJ350" i="1"/>
  <c r="AI445" i="1"/>
  <c r="AK445" i="1" s="1"/>
  <c r="AJ446" i="1"/>
  <c r="AJ530" i="1"/>
  <c r="AI529" i="1"/>
  <c r="AK529" i="1" s="1"/>
  <c r="AI355" i="1"/>
  <c r="AK355" i="1" s="1"/>
  <c r="AJ356" i="1"/>
  <c r="AI547" i="1"/>
  <c r="AK547" i="1" s="1"/>
  <c r="AJ548" i="1"/>
  <c r="AI463" i="1"/>
  <c r="AK463" i="1" s="1"/>
  <c r="AJ464" i="1"/>
  <c r="AI367" i="1"/>
  <c r="AK367" i="1" s="1"/>
  <c r="AJ368" i="1"/>
  <c r="AI307" i="1"/>
  <c r="AK307" i="1" s="1"/>
  <c r="AJ308" i="1"/>
  <c r="AI481" i="1"/>
  <c r="AK481" i="1" s="1"/>
  <c r="AJ482" i="1"/>
  <c r="AI325" i="1"/>
  <c r="AK325" i="1" s="1"/>
  <c r="AJ326" i="1"/>
  <c r="AJ500" i="1"/>
  <c r="AI499" i="1"/>
  <c r="AK499" i="1" s="1"/>
  <c r="AJ536" i="1"/>
  <c r="AI535" i="1"/>
  <c r="AK535" i="1" s="1"/>
  <c r="AJ470" i="1"/>
  <c r="AI469" i="1"/>
  <c r="AK469" i="1" s="1"/>
  <c r="AI301" i="1"/>
  <c r="AK301" i="1" s="1"/>
  <c r="AJ302" i="1"/>
  <c r="AI511" i="1"/>
  <c r="AK511" i="1" s="1"/>
  <c r="AJ512" i="1"/>
  <c r="AI415" i="1"/>
  <c r="AK415" i="1" s="1"/>
  <c r="AJ416" i="1"/>
  <c r="AI397" i="1"/>
  <c r="AK397" i="1" s="1"/>
  <c r="AJ398" i="1"/>
  <c r="AI361" i="1"/>
  <c r="AK361" i="1" s="1"/>
  <c r="AJ362" i="1"/>
  <c r="AJ338" i="1"/>
  <c r="AI337" i="1"/>
  <c r="AK337" i="1" s="1"/>
  <c r="AI319" i="1"/>
  <c r="AK319" i="1" s="1"/>
  <c r="AJ320" i="1"/>
  <c r="AI505" i="1"/>
  <c r="AK505" i="1" s="1"/>
  <c r="AJ506" i="1"/>
  <c r="AI385" i="1"/>
  <c r="AK385" i="1" s="1"/>
  <c r="AJ386" i="1"/>
  <c r="AI379" i="1"/>
  <c r="AK379" i="1" s="1"/>
  <c r="AJ380" i="1"/>
  <c r="AI553" i="1"/>
  <c r="AK553" i="1" s="1"/>
  <c r="AJ554" i="1"/>
  <c r="AI451" i="1"/>
  <c r="AK451" i="1" s="1"/>
  <c r="AJ452" i="1"/>
  <c r="AI493" i="1"/>
  <c r="AK493" i="1" s="1"/>
  <c r="AJ494" i="1"/>
  <c r="AI421" i="1"/>
  <c r="AK421" i="1" s="1"/>
  <c r="AJ422" i="1"/>
  <c r="AI439" i="1"/>
  <c r="AK439" i="1" s="1"/>
  <c r="AJ440" i="1"/>
  <c r="AJ374" i="1"/>
  <c r="AI373" i="1"/>
  <c r="AK373" i="1" s="1"/>
  <c r="AI517" i="1"/>
  <c r="AK517" i="1" s="1"/>
  <c r="AJ518" i="1"/>
  <c r="AI487" i="1"/>
  <c r="AK487" i="1" s="1"/>
  <c r="AJ488" i="1"/>
  <c r="AI457" i="1"/>
  <c r="AK457" i="1" s="1"/>
  <c r="AJ458" i="1"/>
  <c r="AI265" i="1"/>
  <c r="AK265" i="1" s="1"/>
  <c r="AJ266" i="1"/>
  <c r="AI283" i="1"/>
  <c r="AK283" i="1" s="1"/>
  <c r="AJ284" i="1"/>
  <c r="AI259" i="1"/>
  <c r="AK259" i="1" s="1"/>
  <c r="AJ260" i="1"/>
  <c r="AI277" i="1"/>
  <c r="AK277" i="1" s="1"/>
  <c r="AJ278" i="1"/>
  <c r="AJ290" i="1"/>
  <c r="AI289" i="1"/>
  <c r="AK289" i="1" s="1"/>
  <c r="AI247" i="1"/>
  <c r="AK247" i="1" s="1"/>
  <c r="AJ248" i="1"/>
  <c r="AJ254" i="1"/>
  <c r="AI253" i="1"/>
  <c r="AK253" i="1" s="1"/>
  <c r="AI271" i="1"/>
  <c r="AK271" i="1" s="1"/>
  <c r="AJ272" i="1"/>
  <c r="AI187" i="1"/>
  <c r="AK187" i="1" s="1"/>
  <c r="AJ188" i="1"/>
  <c r="AI223" i="1"/>
  <c r="AK223" i="1" s="1"/>
  <c r="AJ224" i="1"/>
  <c r="AI241" i="1"/>
  <c r="AK241" i="1" s="1"/>
  <c r="AJ242" i="1"/>
  <c r="AI199" i="1"/>
  <c r="AK199" i="1" s="1"/>
  <c r="AJ200" i="1"/>
  <c r="AI217" i="1"/>
  <c r="AK217" i="1" s="1"/>
  <c r="AJ218" i="1"/>
  <c r="AI235" i="1"/>
  <c r="AK235" i="1" s="1"/>
  <c r="AJ236" i="1"/>
  <c r="AI205" i="1"/>
  <c r="AK205" i="1" s="1"/>
  <c r="AJ206" i="1"/>
  <c r="AI229" i="1"/>
  <c r="AK229" i="1" s="1"/>
  <c r="AJ230" i="1"/>
  <c r="AJ212" i="1"/>
  <c r="AI211" i="1"/>
  <c r="AK211" i="1" s="1"/>
  <c r="AI193" i="1"/>
  <c r="AK193" i="1" s="1"/>
  <c r="AJ194" i="1"/>
  <c r="AI163" i="1"/>
  <c r="AK163" i="1" s="1"/>
  <c r="AJ164" i="1"/>
  <c r="AJ182" i="1"/>
  <c r="AI181" i="1"/>
  <c r="AK181" i="1" s="1"/>
  <c r="AI175" i="1"/>
  <c r="AK175" i="1" s="1"/>
  <c r="AJ176" i="1"/>
  <c r="AI169" i="1"/>
  <c r="AK169" i="1" s="1"/>
  <c r="AJ170" i="1"/>
  <c r="AI121" i="1"/>
  <c r="AK121" i="1" s="1"/>
  <c r="AJ122" i="1"/>
  <c r="AI139" i="1"/>
  <c r="AK139" i="1" s="1"/>
  <c r="AJ140" i="1"/>
  <c r="AI133" i="1"/>
  <c r="AK133" i="1" s="1"/>
  <c r="AJ134" i="1"/>
  <c r="AI151" i="1"/>
  <c r="AK151" i="1" s="1"/>
  <c r="AJ152" i="1"/>
  <c r="AI127" i="1"/>
  <c r="AK127" i="1" s="1"/>
  <c r="AJ128" i="1"/>
  <c r="AI145" i="1"/>
  <c r="AK145" i="1" s="1"/>
  <c r="AJ146" i="1"/>
  <c r="AI157" i="1"/>
  <c r="AK157" i="1" s="1"/>
  <c r="AJ158" i="1"/>
  <c r="AI93" i="1"/>
  <c r="AK93" i="1" s="1"/>
  <c r="AJ94" i="1"/>
  <c r="AI115" i="1"/>
  <c r="AK115" i="1" s="1"/>
  <c r="AJ116" i="1"/>
  <c r="AI109" i="1"/>
  <c r="AK109" i="1" s="1"/>
  <c r="AJ110" i="1"/>
  <c r="AI99" i="1"/>
  <c r="AK99" i="1" s="1"/>
  <c r="AJ100" i="1"/>
  <c r="AI88" i="1"/>
  <c r="AK88" i="1" s="1"/>
  <c r="AJ89" i="1"/>
  <c r="AI47" i="19"/>
  <c r="AI17" i="19"/>
  <c r="W47" i="19"/>
  <c r="K17" i="19"/>
  <c r="AI37" i="19"/>
  <c r="AI7" i="19"/>
  <c r="AI27" i="19"/>
  <c r="AC37" i="19"/>
  <c r="K47" i="19"/>
  <c r="AC17" i="19"/>
  <c r="W7" i="19"/>
  <c r="Q47" i="19"/>
  <c r="W17" i="19"/>
  <c r="AC47" i="19"/>
  <c r="AK56" i="1"/>
  <c r="AI23" i="19"/>
  <c r="Q33" i="19"/>
  <c r="AC43" i="19"/>
  <c r="W43" i="19"/>
  <c r="W23" i="19"/>
  <c r="K23" i="19"/>
  <c r="AI33" i="19"/>
  <c r="AC23" i="19"/>
  <c r="Q53" i="19"/>
  <c r="Q13" i="19"/>
  <c r="AC13" i="19"/>
  <c r="K13" i="19"/>
  <c r="Q43" i="19"/>
  <c r="AI43" i="19"/>
  <c r="K33" i="19"/>
  <c r="AC33" i="19"/>
  <c r="W33" i="19"/>
  <c r="W13" i="19"/>
  <c r="AI53" i="19"/>
  <c r="AI13" i="19"/>
  <c r="W53" i="19"/>
  <c r="AC53" i="19"/>
  <c r="Q23" i="19"/>
  <c r="K53" i="19"/>
  <c r="K43" i="19"/>
  <c r="AI57" i="1"/>
  <c r="AJ58" i="1"/>
  <c r="AK38" i="1"/>
  <c r="AC10" i="19"/>
  <c r="W10" i="19"/>
  <c r="W40" i="19"/>
  <c r="AI30" i="19"/>
  <c r="W30" i="19"/>
  <c r="Q20" i="19"/>
  <c r="Q40" i="19"/>
  <c r="AC50" i="19"/>
  <c r="AI50" i="19"/>
  <c r="K10" i="19"/>
  <c r="AC20" i="19"/>
  <c r="Q50" i="19"/>
  <c r="W50" i="19"/>
  <c r="AI20" i="19"/>
  <c r="AC30" i="19"/>
  <c r="Q30" i="19"/>
  <c r="K30" i="19"/>
  <c r="K20" i="19"/>
  <c r="W20" i="19"/>
  <c r="Q10" i="19"/>
  <c r="AI40" i="19"/>
  <c r="AC40" i="19"/>
  <c r="K50" i="19"/>
  <c r="AI10" i="19"/>
  <c r="K40" i="19"/>
  <c r="AI39" i="1"/>
  <c r="AJ40" i="1"/>
  <c r="AK44" i="1"/>
  <c r="Q31" i="19"/>
  <c r="K41" i="19"/>
  <c r="AI31" i="19"/>
  <c r="AI51" i="19"/>
  <c r="K11" i="19"/>
  <c r="Q21" i="19"/>
  <c r="K21" i="19"/>
  <c r="W51" i="19"/>
  <c r="AI41" i="19"/>
  <c r="AI11" i="19"/>
  <c r="W31" i="19"/>
  <c r="Q41" i="19"/>
  <c r="AI21" i="19"/>
  <c r="W11" i="19"/>
  <c r="Q11" i="19"/>
  <c r="AC31" i="19"/>
  <c r="AC41" i="19"/>
  <c r="AC11" i="19"/>
  <c r="K31" i="19"/>
  <c r="Q51" i="19"/>
  <c r="W41" i="19"/>
  <c r="K51" i="19"/>
  <c r="AC21" i="19"/>
  <c r="W21" i="19"/>
  <c r="AC51" i="19"/>
  <c r="AI45" i="1"/>
  <c r="AJ46" i="1"/>
  <c r="AK32" i="1"/>
  <c r="AI49" i="19"/>
  <c r="AC39" i="19"/>
  <c r="AC29" i="19"/>
  <c r="K9" i="19"/>
  <c r="K29" i="19"/>
  <c r="W49" i="19"/>
  <c r="W39" i="19"/>
  <c r="Q9" i="19"/>
  <c r="K19" i="19"/>
  <c r="K49" i="19"/>
  <c r="AC9" i="19"/>
  <c r="AI19" i="19"/>
  <c r="AI39" i="19"/>
  <c r="Q19" i="19"/>
  <c r="Q39" i="19"/>
  <c r="AC19" i="19"/>
  <c r="Q49" i="19"/>
  <c r="W9" i="19"/>
  <c r="AI9" i="19"/>
  <c r="W29" i="19"/>
  <c r="AI29" i="19"/>
  <c r="K39" i="19"/>
  <c r="AC49" i="19"/>
  <c r="Q29" i="19"/>
  <c r="W19" i="19"/>
  <c r="Q17" i="19"/>
  <c r="AI33" i="1"/>
  <c r="AJ34" i="1"/>
  <c r="K37" i="19"/>
  <c r="Q7" i="19"/>
  <c r="AI75" i="1"/>
  <c r="AK75" i="1" s="1"/>
  <c r="AJ76" i="1"/>
  <c r="K27" i="19"/>
  <c r="W27" i="19"/>
  <c r="K7" i="19"/>
  <c r="Q37" i="19"/>
  <c r="AK62" i="1"/>
  <c r="AC34" i="19"/>
  <c r="W54" i="19"/>
  <c r="K24" i="19"/>
  <c r="W24" i="19"/>
  <c r="AC54" i="19"/>
  <c r="AC44" i="19"/>
  <c r="Q54" i="19"/>
  <c r="AI24" i="19"/>
  <c r="AI34" i="19"/>
  <c r="Q14" i="19"/>
  <c r="Q24" i="19"/>
  <c r="K44" i="19"/>
  <c r="W14" i="19"/>
  <c r="Q34" i="19"/>
  <c r="K34" i="19"/>
  <c r="K14" i="19"/>
  <c r="AI44" i="19"/>
  <c r="AI14" i="19"/>
  <c r="AC24" i="19"/>
  <c r="AI54" i="19"/>
  <c r="W34" i="19"/>
  <c r="K54" i="19"/>
  <c r="W44" i="19"/>
  <c r="AC14" i="19"/>
  <c r="Q44" i="19"/>
  <c r="AK50" i="1"/>
  <c r="K32" i="19"/>
  <c r="AC32" i="19"/>
  <c r="K12" i="19"/>
  <c r="AC12" i="19"/>
  <c r="Q22" i="19"/>
  <c r="AI52" i="19"/>
  <c r="Q12" i="19"/>
  <c r="W42" i="19"/>
  <c r="K42" i="19"/>
  <c r="Q32" i="19"/>
  <c r="W32" i="19"/>
  <c r="AI32" i="19"/>
  <c r="W52" i="19"/>
  <c r="K22" i="19"/>
  <c r="W12" i="19"/>
  <c r="AI22" i="19"/>
  <c r="AC22" i="19"/>
  <c r="AC52" i="19"/>
  <c r="AI12" i="19"/>
  <c r="K52" i="19"/>
  <c r="W22" i="19"/>
  <c r="Q52" i="19"/>
  <c r="AC42" i="19"/>
  <c r="Q42" i="19"/>
  <c r="AI42" i="19"/>
  <c r="Q27" i="19"/>
  <c r="W37" i="19"/>
  <c r="AI63" i="1"/>
  <c r="AJ64" i="1"/>
  <c r="AI51" i="1"/>
  <c r="AJ52" i="1"/>
  <c r="AC7" i="19"/>
  <c r="AC27" i="19"/>
  <c r="AI82" i="1"/>
  <c r="AK82" i="1" s="1"/>
  <c r="AJ83" i="1"/>
  <c r="AK68" i="1"/>
  <c r="Q35" i="19"/>
  <c r="AC35" i="19"/>
  <c r="W15" i="19"/>
  <c r="AI45" i="19"/>
  <c r="K15" i="19"/>
  <c r="W35" i="19"/>
  <c r="K25" i="19"/>
  <c r="Q15" i="19"/>
  <c r="AI25" i="19"/>
  <c r="Q55" i="19"/>
  <c r="AI55" i="19"/>
  <c r="AC25" i="19"/>
  <c r="K55" i="19"/>
  <c r="AI15" i="19"/>
  <c r="AC15" i="19"/>
  <c r="K35" i="19"/>
  <c r="W45" i="19"/>
  <c r="AC55" i="19"/>
  <c r="Q25" i="19"/>
  <c r="AC45" i="19"/>
  <c r="K45" i="19"/>
  <c r="W25" i="19"/>
  <c r="AI35" i="19"/>
  <c r="Q45" i="19"/>
  <c r="W55" i="19"/>
  <c r="AI69" i="1"/>
  <c r="AJ70" i="1"/>
  <c r="AI27" i="1"/>
  <c r="AJ28" i="1"/>
  <c r="AK26" i="1"/>
  <c r="AC28" i="19"/>
  <c r="AI28" i="19"/>
  <c r="Q28" i="19"/>
  <c r="AI8" i="19"/>
  <c r="K28" i="19"/>
  <c r="AI18" i="19"/>
  <c r="AC48" i="19"/>
  <c r="Q48" i="19"/>
  <c r="AI38" i="19"/>
  <c r="K18" i="19"/>
  <c r="W8" i="19"/>
  <c r="AC8" i="19"/>
  <c r="AC18" i="19"/>
  <c r="Q18" i="19"/>
  <c r="W38" i="19"/>
  <c r="AC38" i="19"/>
  <c r="W48" i="19"/>
  <c r="W18" i="19"/>
  <c r="AI48" i="19"/>
  <c r="Q8" i="19"/>
  <c r="Q38" i="19"/>
  <c r="K38" i="19"/>
  <c r="W28" i="19"/>
  <c r="K8" i="19"/>
  <c r="K48" i="19"/>
  <c r="AI21" i="1"/>
  <c r="AJ22" i="1"/>
  <c r="V46" i="19"/>
  <c r="AB46" i="19"/>
  <c r="J46" i="19"/>
  <c r="V36" i="19"/>
  <c r="P46" i="19"/>
  <c r="J16" i="19"/>
  <c r="AH16" i="19"/>
  <c r="AB26" i="19"/>
  <c r="J6" i="19"/>
  <c r="J26" i="19"/>
  <c r="V16" i="19"/>
  <c r="J36" i="19"/>
  <c r="P26" i="19"/>
  <c r="V6" i="19"/>
  <c r="AB6" i="19"/>
  <c r="P6" i="19"/>
  <c r="AB36" i="19"/>
  <c r="AH36" i="19"/>
  <c r="AB16" i="19"/>
  <c r="AH6" i="19"/>
  <c r="AH26" i="19"/>
  <c r="V26" i="19"/>
  <c r="AH46" i="19"/>
  <c r="P36" i="19"/>
  <c r="S16" i="19"/>
  <c r="AC6" i="19"/>
  <c r="AI338" i="1" l="1"/>
  <c r="AK338" i="1" s="1"/>
  <c r="AJ339" i="1"/>
  <c r="AI500" i="1"/>
  <c r="AK500" i="1" s="1"/>
  <c r="AJ501" i="1"/>
  <c r="AJ531" i="1"/>
  <c r="AI530" i="1"/>
  <c r="AK530" i="1" s="1"/>
  <c r="AI476" i="1"/>
  <c r="AK476" i="1" s="1"/>
  <c r="AJ477" i="1"/>
  <c r="AI494" i="1"/>
  <c r="AK494" i="1" s="1"/>
  <c r="AJ495" i="1"/>
  <c r="AJ363" i="1"/>
  <c r="AI362" i="1"/>
  <c r="AK362" i="1" s="1"/>
  <c r="AI326" i="1"/>
  <c r="AK326" i="1" s="1"/>
  <c r="AJ327" i="1"/>
  <c r="AI446" i="1"/>
  <c r="AK446" i="1" s="1"/>
  <c r="AJ447" i="1"/>
  <c r="AI344" i="1"/>
  <c r="AK344" i="1" s="1"/>
  <c r="AJ345" i="1"/>
  <c r="AI458" i="1"/>
  <c r="AK458" i="1" s="1"/>
  <c r="AJ459" i="1"/>
  <c r="AI452" i="1"/>
  <c r="AK452" i="1" s="1"/>
  <c r="AJ453" i="1"/>
  <c r="AI398" i="1"/>
  <c r="AK398" i="1" s="1"/>
  <c r="AJ399" i="1"/>
  <c r="AI482" i="1"/>
  <c r="AK482" i="1" s="1"/>
  <c r="AJ483" i="1"/>
  <c r="AI350" i="1"/>
  <c r="AK350" i="1" s="1"/>
  <c r="AJ351" i="1"/>
  <c r="AI314" i="1"/>
  <c r="AK314" i="1" s="1"/>
  <c r="AJ315" i="1"/>
  <c r="AI488" i="1"/>
  <c r="AK488" i="1" s="1"/>
  <c r="AJ489" i="1"/>
  <c r="AI554" i="1"/>
  <c r="AK554" i="1" s="1"/>
  <c r="AJ555" i="1"/>
  <c r="AI416" i="1"/>
  <c r="AK416" i="1" s="1"/>
  <c r="AJ417" i="1"/>
  <c r="AJ309" i="1"/>
  <c r="AI308" i="1"/>
  <c r="AK308" i="1" s="1"/>
  <c r="AI410" i="1"/>
  <c r="AK410" i="1" s="1"/>
  <c r="AJ411" i="1"/>
  <c r="AI332" i="1"/>
  <c r="AK332" i="1" s="1"/>
  <c r="AJ333" i="1"/>
  <c r="AI518" i="1"/>
  <c r="AK518" i="1" s="1"/>
  <c r="AJ519" i="1"/>
  <c r="AI380" i="1"/>
  <c r="AK380" i="1" s="1"/>
  <c r="AJ381" i="1"/>
  <c r="AI512" i="1"/>
  <c r="AK512" i="1" s="1"/>
  <c r="AJ513" i="1"/>
  <c r="AJ369" i="1"/>
  <c r="AI368" i="1"/>
  <c r="AK368" i="1" s="1"/>
  <c r="AI392" i="1"/>
  <c r="AK392" i="1" s="1"/>
  <c r="AJ393" i="1"/>
  <c r="AJ435" i="1"/>
  <c r="AI434" i="1"/>
  <c r="AK434" i="1" s="1"/>
  <c r="AI386" i="1"/>
  <c r="AK386" i="1" s="1"/>
  <c r="AJ387" i="1"/>
  <c r="AI302" i="1"/>
  <c r="AK302" i="1" s="1"/>
  <c r="AJ303" i="1"/>
  <c r="AI464" i="1"/>
  <c r="AK464" i="1" s="1"/>
  <c r="AJ465" i="1"/>
  <c r="AI524" i="1"/>
  <c r="AK524" i="1" s="1"/>
  <c r="AJ525" i="1"/>
  <c r="AI374" i="1"/>
  <c r="AK374" i="1" s="1"/>
  <c r="AJ375" i="1"/>
  <c r="AI440" i="1"/>
  <c r="AK440" i="1" s="1"/>
  <c r="AJ441" i="1"/>
  <c r="AJ507" i="1"/>
  <c r="AI506" i="1"/>
  <c r="AK506" i="1" s="1"/>
  <c r="AI548" i="1"/>
  <c r="AK548" i="1" s="1"/>
  <c r="AJ549" i="1"/>
  <c r="AI428" i="1"/>
  <c r="AK428" i="1" s="1"/>
  <c r="AJ429" i="1"/>
  <c r="AJ405" i="1"/>
  <c r="AI404" i="1"/>
  <c r="AK404" i="1" s="1"/>
  <c r="AI470" i="1"/>
  <c r="AK470" i="1" s="1"/>
  <c r="AJ471" i="1"/>
  <c r="AI422" i="1"/>
  <c r="AK422" i="1" s="1"/>
  <c r="AJ423" i="1"/>
  <c r="AI320" i="1"/>
  <c r="AK320" i="1" s="1"/>
  <c r="AJ321" i="1"/>
  <c r="AI356" i="1"/>
  <c r="AK356" i="1" s="1"/>
  <c r="AJ357" i="1"/>
  <c r="AI296" i="1"/>
  <c r="AK296" i="1" s="1"/>
  <c r="AJ297" i="1"/>
  <c r="AI542" i="1"/>
  <c r="AK542" i="1" s="1"/>
  <c r="AJ543" i="1"/>
  <c r="AI536" i="1"/>
  <c r="AK536" i="1" s="1"/>
  <c r="AJ537" i="1"/>
  <c r="AI254" i="1"/>
  <c r="AK254" i="1" s="1"/>
  <c r="AJ255" i="1"/>
  <c r="AJ249" i="1"/>
  <c r="AI248" i="1"/>
  <c r="AK248" i="1" s="1"/>
  <c r="AI272" i="1"/>
  <c r="AK272" i="1" s="1"/>
  <c r="AJ273" i="1"/>
  <c r="AI290" i="1"/>
  <c r="AK290" i="1" s="1"/>
  <c r="AJ291" i="1"/>
  <c r="AI278" i="1"/>
  <c r="AK278" i="1" s="1"/>
  <c r="AJ279" i="1"/>
  <c r="AI260" i="1"/>
  <c r="AK260" i="1" s="1"/>
  <c r="AJ261" i="1"/>
  <c r="AJ285" i="1"/>
  <c r="AI284" i="1"/>
  <c r="AK284" i="1" s="1"/>
  <c r="AI266" i="1"/>
  <c r="AK266" i="1" s="1"/>
  <c r="AJ267" i="1"/>
  <c r="AJ207" i="1"/>
  <c r="AI206" i="1"/>
  <c r="AK206" i="1" s="1"/>
  <c r="AI236" i="1"/>
  <c r="AK236" i="1" s="1"/>
  <c r="AJ237" i="1"/>
  <c r="AI218" i="1"/>
  <c r="AK218" i="1" s="1"/>
  <c r="AJ219" i="1"/>
  <c r="AJ201" i="1"/>
  <c r="AI200" i="1"/>
  <c r="AK200" i="1" s="1"/>
  <c r="AI230" i="1"/>
  <c r="AK230" i="1" s="1"/>
  <c r="AJ231" i="1"/>
  <c r="AJ243" i="1"/>
  <c r="AI242" i="1"/>
  <c r="AK242" i="1" s="1"/>
  <c r="AI194" i="1"/>
  <c r="AK194" i="1" s="1"/>
  <c r="AJ195" i="1"/>
  <c r="AI224" i="1"/>
  <c r="AK224" i="1" s="1"/>
  <c r="AJ225" i="1"/>
  <c r="AI188" i="1"/>
  <c r="AK188" i="1" s="1"/>
  <c r="AJ189" i="1"/>
  <c r="AI212" i="1"/>
  <c r="AK212" i="1" s="1"/>
  <c r="AJ213" i="1"/>
  <c r="AI170" i="1"/>
  <c r="AK170" i="1" s="1"/>
  <c r="AJ171" i="1"/>
  <c r="AJ177" i="1"/>
  <c r="AI176" i="1"/>
  <c r="AK176" i="1" s="1"/>
  <c r="AJ183" i="1"/>
  <c r="AI182" i="1"/>
  <c r="AK182" i="1" s="1"/>
  <c r="AJ165" i="1"/>
  <c r="AI164" i="1"/>
  <c r="AK164" i="1" s="1"/>
  <c r="AI158" i="1"/>
  <c r="AK158" i="1" s="1"/>
  <c r="AJ159" i="1"/>
  <c r="AI146" i="1"/>
  <c r="AK146" i="1" s="1"/>
  <c r="AJ147" i="1"/>
  <c r="AJ129" i="1"/>
  <c r="AI128" i="1"/>
  <c r="AK128" i="1" s="1"/>
  <c r="AI152" i="1"/>
  <c r="AK152" i="1" s="1"/>
  <c r="AJ153" i="1"/>
  <c r="AJ135" i="1"/>
  <c r="AI134" i="1"/>
  <c r="AK134" i="1" s="1"/>
  <c r="AI140" i="1"/>
  <c r="AK140" i="1" s="1"/>
  <c r="AJ141" i="1"/>
  <c r="AI122" i="1"/>
  <c r="AK122" i="1" s="1"/>
  <c r="AJ123" i="1"/>
  <c r="AI100" i="1"/>
  <c r="AK100" i="1" s="1"/>
  <c r="AJ101" i="1"/>
  <c r="AJ111" i="1"/>
  <c r="AI110" i="1"/>
  <c r="AK110" i="1" s="1"/>
  <c r="AI116" i="1"/>
  <c r="AK116" i="1" s="1"/>
  <c r="AJ117" i="1"/>
  <c r="AI94" i="1"/>
  <c r="AK94" i="1" s="1"/>
  <c r="AJ95" i="1"/>
  <c r="AI89" i="1"/>
  <c r="AK89" i="1" s="1"/>
  <c r="AJ90" i="1"/>
  <c r="AI90" i="1" s="1"/>
  <c r="AK90" i="1" s="1"/>
  <c r="AJ59" i="1"/>
  <c r="AI58" i="1"/>
  <c r="AK57" i="1"/>
  <c r="AJ33" i="19"/>
  <c r="AD13" i="19"/>
  <c r="L13" i="19"/>
  <c r="AJ23" i="19"/>
  <c r="R23" i="19"/>
  <c r="AJ43" i="19"/>
  <c r="AJ53" i="19"/>
  <c r="R53" i="19"/>
  <c r="R33" i="19"/>
  <c r="L43" i="19"/>
  <c r="L33" i="19"/>
  <c r="X53" i="19"/>
  <c r="AD33" i="19"/>
  <c r="X33" i="19"/>
  <c r="R43" i="19"/>
  <c r="AD43" i="19"/>
  <c r="AD23" i="19"/>
  <c r="AD53" i="19"/>
  <c r="X43" i="19"/>
  <c r="X13" i="19"/>
  <c r="L53" i="19"/>
  <c r="R13" i="19"/>
  <c r="L23" i="19"/>
  <c r="X23" i="19"/>
  <c r="AJ13" i="19"/>
  <c r="AK33" i="1"/>
  <c r="X49" i="19"/>
  <c r="AD39" i="19"/>
  <c r="L39" i="19"/>
  <c r="R29" i="19"/>
  <c r="AD49" i="19"/>
  <c r="AJ39" i="19"/>
  <c r="L19" i="19"/>
  <c r="AD29" i="19"/>
  <c r="AD9" i="19"/>
  <c r="R49" i="19"/>
  <c r="X39" i="19"/>
  <c r="X29" i="19"/>
  <c r="L49" i="19"/>
  <c r="AD19" i="19"/>
  <c r="L9" i="19"/>
  <c r="AJ9" i="19"/>
  <c r="AJ29" i="19"/>
  <c r="AJ49" i="19"/>
  <c r="R9" i="19"/>
  <c r="L29" i="19"/>
  <c r="X19" i="19"/>
  <c r="R39" i="19"/>
  <c r="X9" i="19"/>
  <c r="AJ19" i="19"/>
  <c r="R19" i="19"/>
  <c r="AJ41" i="1"/>
  <c r="AI40" i="1"/>
  <c r="AI83" i="1"/>
  <c r="AK83" i="1" s="1"/>
  <c r="AJ84" i="1"/>
  <c r="AI84" i="1" s="1"/>
  <c r="AK84" i="1" s="1"/>
  <c r="AK39" i="1"/>
  <c r="AD20" i="19"/>
  <c r="R50" i="19"/>
  <c r="X30" i="19"/>
  <c r="R20" i="19"/>
  <c r="R30" i="19"/>
  <c r="AD10" i="19"/>
  <c r="R40" i="19"/>
  <c r="L50" i="19"/>
  <c r="X50" i="19"/>
  <c r="AD40" i="19"/>
  <c r="L10" i="19"/>
  <c r="L20" i="19"/>
  <c r="AJ50" i="19"/>
  <c r="R10" i="19"/>
  <c r="AJ30" i="19"/>
  <c r="L30" i="19"/>
  <c r="L40" i="19"/>
  <c r="X40" i="19"/>
  <c r="AJ20" i="19"/>
  <c r="AD30" i="19"/>
  <c r="AD50" i="19"/>
  <c r="X20" i="19"/>
  <c r="AJ10" i="19"/>
  <c r="X10" i="19"/>
  <c r="AJ40" i="19"/>
  <c r="AI76" i="1"/>
  <c r="AK76" i="1" s="1"/>
  <c r="AJ77" i="1"/>
  <c r="AK63" i="1"/>
  <c r="L34" i="19"/>
  <c r="AD44" i="19"/>
  <c r="AJ24" i="19"/>
  <c r="R54" i="19"/>
  <c r="AD54" i="19"/>
  <c r="AD14" i="19"/>
  <c r="R14" i="19"/>
  <c r="L44" i="19"/>
  <c r="L24" i="19"/>
  <c r="X24" i="19"/>
  <c r="R24" i="19"/>
  <c r="X44" i="19"/>
  <c r="X34" i="19"/>
  <c r="AD34" i="19"/>
  <c r="X54" i="19"/>
  <c r="L54" i="19"/>
  <c r="R34" i="19"/>
  <c r="AJ14" i="19"/>
  <c r="AJ34" i="19"/>
  <c r="L14" i="19"/>
  <c r="AJ54" i="19"/>
  <c r="AD24" i="19"/>
  <c r="AJ44" i="19"/>
  <c r="X14" i="19"/>
  <c r="R44" i="19"/>
  <c r="AJ47" i="1"/>
  <c r="AI46" i="1"/>
  <c r="AJ71" i="1"/>
  <c r="AI70" i="1"/>
  <c r="AJ53" i="1"/>
  <c r="AI52" i="1"/>
  <c r="AK45" i="1"/>
  <c r="AJ51" i="19"/>
  <c r="AJ21" i="19"/>
  <c r="L21" i="19"/>
  <c r="X51" i="19"/>
  <c r="L11" i="19"/>
  <c r="AD21" i="19"/>
  <c r="R11" i="19"/>
  <c r="X31" i="19"/>
  <c r="AJ31" i="19"/>
  <c r="X11" i="19"/>
  <c r="AD41" i="19"/>
  <c r="AJ41" i="19"/>
  <c r="AJ11" i="19"/>
  <c r="X41" i="19"/>
  <c r="AD51" i="19"/>
  <c r="AD31" i="19"/>
  <c r="AD11" i="19"/>
  <c r="R51" i="19"/>
  <c r="R21" i="19"/>
  <c r="L41" i="19"/>
  <c r="L31" i="19"/>
  <c r="X21" i="19"/>
  <c r="R31" i="19"/>
  <c r="R41" i="19"/>
  <c r="L51" i="19"/>
  <c r="AK69" i="1"/>
  <c r="AD25" i="19"/>
  <c r="L15" i="19"/>
  <c r="L55" i="19"/>
  <c r="AD35" i="19"/>
  <c r="X55" i="19"/>
  <c r="AJ25" i="19"/>
  <c r="AD15" i="19"/>
  <c r="AJ55" i="19"/>
  <c r="R35" i="19"/>
  <c r="AD55" i="19"/>
  <c r="X35" i="19"/>
  <c r="R25" i="19"/>
  <c r="R15" i="19"/>
  <c r="AJ35" i="19"/>
  <c r="R45" i="19"/>
  <c r="L35" i="19"/>
  <c r="AJ15" i="19"/>
  <c r="L45" i="19"/>
  <c r="AJ45" i="19"/>
  <c r="X15" i="19"/>
  <c r="R55" i="19"/>
  <c r="X25" i="19"/>
  <c r="AD45" i="19"/>
  <c r="X45" i="19"/>
  <c r="L25" i="19"/>
  <c r="AK51" i="1"/>
  <c r="R42" i="19"/>
  <c r="AD22" i="19"/>
  <c r="AJ52" i="19"/>
  <c r="AD42" i="19"/>
  <c r="AJ12" i="19"/>
  <c r="AJ32" i="19"/>
  <c r="R12" i="19"/>
  <c r="R32" i="19"/>
  <c r="L42" i="19"/>
  <c r="X32" i="19"/>
  <c r="AJ22" i="19"/>
  <c r="L52" i="19"/>
  <c r="X12" i="19"/>
  <c r="R52" i="19"/>
  <c r="AD52" i="19"/>
  <c r="X52" i="19"/>
  <c r="L22" i="19"/>
  <c r="AD12" i="19"/>
  <c r="AJ42" i="19"/>
  <c r="X22" i="19"/>
  <c r="L32" i="19"/>
  <c r="R22" i="19"/>
  <c r="X42" i="19"/>
  <c r="AD32" i="19"/>
  <c r="L12" i="19"/>
  <c r="AJ65" i="1"/>
  <c r="AI64" i="1"/>
  <c r="AJ35" i="1"/>
  <c r="AI34" i="1"/>
  <c r="AJ23" i="1"/>
  <c r="AI22" i="1"/>
  <c r="AK21" i="1"/>
  <c r="X7" i="19"/>
  <c r="L7" i="19"/>
  <c r="AD47" i="19"/>
  <c r="AJ17" i="19"/>
  <c r="R27" i="19"/>
  <c r="R17" i="19"/>
  <c r="AJ7" i="19"/>
  <c r="R37" i="19"/>
  <c r="AJ27" i="19"/>
  <c r="AJ47" i="19"/>
  <c r="X47" i="19"/>
  <c r="L47" i="19"/>
  <c r="X27" i="19"/>
  <c r="AJ37" i="19"/>
  <c r="L37" i="19"/>
  <c r="X17" i="19"/>
  <c r="R7" i="19"/>
  <c r="R47" i="19"/>
  <c r="AD7" i="19"/>
  <c r="AD27" i="19"/>
  <c r="L17" i="19"/>
  <c r="AD37" i="19"/>
  <c r="L27" i="19"/>
  <c r="X37" i="19"/>
  <c r="AD17" i="19"/>
  <c r="AJ29" i="1"/>
  <c r="AI28" i="1"/>
  <c r="AK27" i="1"/>
  <c r="X18" i="19"/>
  <c r="AJ48" i="19"/>
  <c r="AJ8" i="19"/>
  <c r="X48" i="19"/>
  <c r="AJ38" i="19"/>
  <c r="R48" i="19"/>
  <c r="AD18" i="19"/>
  <c r="L18" i="19"/>
  <c r="AD38" i="19"/>
  <c r="AJ18" i="19"/>
  <c r="X8" i="19"/>
  <c r="X28" i="19"/>
  <c r="R28" i="19"/>
  <c r="L38" i="19"/>
  <c r="AJ28" i="19"/>
  <c r="L48" i="19"/>
  <c r="R18" i="19"/>
  <c r="R38" i="19"/>
  <c r="AD28" i="19"/>
  <c r="AD48" i="19"/>
  <c r="AD8" i="19"/>
  <c r="X38" i="19"/>
  <c r="R8" i="19"/>
  <c r="L28" i="19"/>
  <c r="L8" i="19"/>
  <c r="AK16" i="19"/>
  <c r="AK26" i="19"/>
  <c r="M36" i="19"/>
  <c r="Y36" i="19"/>
  <c r="S46" i="19"/>
  <c r="M6" i="19"/>
  <c r="M46" i="19"/>
  <c r="AK6" i="19"/>
  <c r="AE26" i="19"/>
  <c r="AE46" i="19"/>
  <c r="Y46" i="19"/>
  <c r="Y6" i="19"/>
  <c r="M26" i="19"/>
  <c r="S36" i="19"/>
  <c r="AK46" i="19"/>
  <c r="AE16" i="19"/>
  <c r="S6" i="19"/>
  <c r="AE36" i="19"/>
  <c r="M16" i="19"/>
  <c r="AE6" i="19"/>
  <c r="AK36" i="19"/>
  <c r="Y26" i="19"/>
  <c r="S26" i="19"/>
  <c r="T16" i="19"/>
  <c r="Y16" i="19"/>
  <c r="W26" i="19"/>
  <c r="AI36" i="19"/>
  <c r="AC46" i="19"/>
  <c r="W46" i="19"/>
  <c r="Q16" i="19"/>
  <c r="W36" i="19"/>
  <c r="Q26" i="19"/>
  <c r="AI26" i="19"/>
  <c r="K36" i="19"/>
  <c r="AI46" i="19"/>
  <c r="Q36" i="19"/>
  <c r="W6" i="19"/>
  <c r="K26" i="19"/>
  <c r="K46" i="19"/>
  <c r="AC26" i="19"/>
  <c r="AI6" i="19"/>
  <c r="W16" i="19"/>
  <c r="AC16" i="19"/>
  <c r="K16" i="19"/>
  <c r="AI16" i="19"/>
  <c r="AC36" i="19"/>
  <c r="K6" i="19"/>
  <c r="Q6" i="19"/>
  <c r="Q46" i="19"/>
  <c r="AD46" i="19"/>
  <c r="X16" i="19"/>
  <c r="R6" i="19"/>
  <c r="L6" i="19"/>
  <c r="L16" i="19"/>
  <c r="AD36" i="19"/>
  <c r="AJ46" i="19"/>
  <c r="X26" i="19"/>
  <c r="X36" i="19"/>
  <c r="AD6" i="19"/>
  <c r="L26" i="19"/>
  <c r="AJ36" i="19"/>
  <c r="L46" i="19"/>
  <c r="X6" i="19"/>
  <c r="R16" i="19"/>
  <c r="AD16" i="19"/>
  <c r="R26" i="19"/>
  <c r="R36" i="19"/>
  <c r="X46" i="19"/>
  <c r="AJ6" i="19"/>
  <c r="AJ26" i="19"/>
  <c r="R46" i="19"/>
  <c r="L36" i="19"/>
  <c r="AJ16" i="19"/>
  <c r="AD26" i="19"/>
  <c r="AJ466" i="1" l="1"/>
  <c r="AI466" i="1" s="1"/>
  <c r="AK466" i="1" s="1"/>
  <c r="AI465" i="1"/>
  <c r="AK465" i="1" s="1"/>
  <c r="AI519" i="1"/>
  <c r="AK519" i="1" s="1"/>
  <c r="AJ520" i="1"/>
  <c r="AI520" i="1" s="1"/>
  <c r="AK520" i="1" s="1"/>
  <c r="AI351" i="1"/>
  <c r="AK351" i="1" s="1"/>
  <c r="AJ352" i="1"/>
  <c r="AI352" i="1" s="1"/>
  <c r="AK352" i="1" s="1"/>
  <c r="AI327" i="1"/>
  <c r="AK327" i="1" s="1"/>
  <c r="AJ328" i="1"/>
  <c r="AI328" i="1" s="1"/>
  <c r="AK328" i="1" s="1"/>
  <c r="AI405" i="1"/>
  <c r="AK405" i="1" s="1"/>
  <c r="AJ406" i="1"/>
  <c r="AI406" i="1" s="1"/>
  <c r="AK406" i="1" s="1"/>
  <c r="AJ538" i="1"/>
  <c r="AI538" i="1" s="1"/>
  <c r="AK538" i="1" s="1"/>
  <c r="AI537" i="1"/>
  <c r="AK537" i="1" s="1"/>
  <c r="AI429" i="1"/>
  <c r="AK429" i="1" s="1"/>
  <c r="AJ430" i="1"/>
  <c r="AI430" i="1" s="1"/>
  <c r="AK430" i="1" s="1"/>
  <c r="AJ304" i="1"/>
  <c r="AI304" i="1" s="1"/>
  <c r="AK304" i="1" s="1"/>
  <c r="AI303" i="1"/>
  <c r="AK303" i="1" s="1"/>
  <c r="AI333" i="1"/>
  <c r="AK333" i="1" s="1"/>
  <c r="AJ334" i="1"/>
  <c r="AI334" i="1" s="1"/>
  <c r="AK334" i="1" s="1"/>
  <c r="AI483" i="1"/>
  <c r="AK483" i="1" s="1"/>
  <c r="AJ484" i="1"/>
  <c r="AI484" i="1" s="1"/>
  <c r="AK484" i="1" s="1"/>
  <c r="AI363" i="1"/>
  <c r="AK363" i="1" s="1"/>
  <c r="AJ364" i="1"/>
  <c r="AI364" i="1" s="1"/>
  <c r="AK364" i="1" s="1"/>
  <c r="AI381" i="1"/>
  <c r="AK381" i="1" s="1"/>
  <c r="AJ382" i="1"/>
  <c r="AI382" i="1" s="1"/>
  <c r="AK382" i="1" s="1"/>
  <c r="AI543" i="1"/>
  <c r="AK543" i="1" s="1"/>
  <c r="AJ544" i="1"/>
  <c r="AI544" i="1" s="1"/>
  <c r="AK544" i="1" s="1"/>
  <c r="AI549" i="1"/>
  <c r="AK549" i="1" s="1"/>
  <c r="AJ550" i="1"/>
  <c r="AI550" i="1" s="1"/>
  <c r="AK550" i="1" s="1"/>
  <c r="AI387" i="1"/>
  <c r="AK387" i="1" s="1"/>
  <c r="AJ388" i="1"/>
  <c r="AI388" i="1" s="1"/>
  <c r="AK388" i="1" s="1"/>
  <c r="AI411" i="1"/>
  <c r="AK411" i="1" s="1"/>
  <c r="AJ412" i="1"/>
  <c r="AI412" i="1" s="1"/>
  <c r="AK412" i="1" s="1"/>
  <c r="AI399" i="1"/>
  <c r="AK399" i="1" s="1"/>
  <c r="AJ400" i="1"/>
  <c r="AI400" i="1" s="1"/>
  <c r="AK400" i="1" s="1"/>
  <c r="AI495" i="1"/>
  <c r="AK495" i="1" s="1"/>
  <c r="AJ496" i="1"/>
  <c r="AI496" i="1" s="1"/>
  <c r="AK496" i="1" s="1"/>
  <c r="AJ298" i="1"/>
  <c r="AI298" i="1" s="1"/>
  <c r="AK298" i="1" s="1"/>
  <c r="AI297" i="1"/>
  <c r="AK297" i="1" s="1"/>
  <c r="AI453" i="1"/>
  <c r="AK453" i="1" s="1"/>
  <c r="AJ454" i="1"/>
  <c r="AI454" i="1" s="1"/>
  <c r="AK454" i="1" s="1"/>
  <c r="AI477" i="1"/>
  <c r="AK477" i="1" s="1"/>
  <c r="AJ478" i="1"/>
  <c r="AI478" i="1" s="1"/>
  <c r="AK478" i="1" s="1"/>
  <c r="AI435" i="1"/>
  <c r="AK435" i="1" s="1"/>
  <c r="AJ436" i="1"/>
  <c r="AI436" i="1" s="1"/>
  <c r="AK436" i="1" s="1"/>
  <c r="AI309" i="1"/>
  <c r="AK309" i="1" s="1"/>
  <c r="AJ310" i="1"/>
  <c r="AI310" i="1" s="1"/>
  <c r="AK310" i="1" s="1"/>
  <c r="AI507" i="1"/>
  <c r="AK507" i="1" s="1"/>
  <c r="AJ508" i="1"/>
  <c r="AI508" i="1" s="1"/>
  <c r="AK508" i="1" s="1"/>
  <c r="AI357" i="1"/>
  <c r="AK357" i="1" s="1"/>
  <c r="AJ358" i="1"/>
  <c r="AI358" i="1" s="1"/>
  <c r="AK358" i="1" s="1"/>
  <c r="AI441" i="1"/>
  <c r="AK441" i="1" s="1"/>
  <c r="AJ442" i="1"/>
  <c r="AI442" i="1" s="1"/>
  <c r="AK442" i="1" s="1"/>
  <c r="AJ394" i="1"/>
  <c r="AI394" i="1" s="1"/>
  <c r="AK394" i="1" s="1"/>
  <c r="AI393" i="1"/>
  <c r="AK393" i="1" s="1"/>
  <c r="AI417" i="1"/>
  <c r="AK417" i="1" s="1"/>
  <c r="AJ418" i="1"/>
  <c r="AI418" i="1" s="1"/>
  <c r="AK418" i="1" s="1"/>
  <c r="AI459" i="1"/>
  <c r="AK459" i="1" s="1"/>
  <c r="AJ460" i="1"/>
  <c r="AI460" i="1" s="1"/>
  <c r="AK460" i="1" s="1"/>
  <c r="AI531" i="1"/>
  <c r="AK531" i="1" s="1"/>
  <c r="AJ532" i="1"/>
  <c r="AI532" i="1" s="1"/>
  <c r="AK532" i="1" s="1"/>
  <c r="AI315" i="1"/>
  <c r="AK315" i="1" s="1"/>
  <c r="AJ316" i="1"/>
  <c r="AI316" i="1" s="1"/>
  <c r="AK316" i="1" s="1"/>
  <c r="AI321" i="1"/>
  <c r="AK321" i="1" s="1"/>
  <c r="AJ322" i="1"/>
  <c r="AI322" i="1" s="1"/>
  <c r="AK322" i="1" s="1"/>
  <c r="AI375" i="1"/>
  <c r="AK375" i="1" s="1"/>
  <c r="AJ376" i="1"/>
  <c r="AI376" i="1" s="1"/>
  <c r="AK376" i="1" s="1"/>
  <c r="AI555" i="1"/>
  <c r="AK555" i="1" s="1"/>
  <c r="AJ556" i="1"/>
  <c r="AI556" i="1" s="1"/>
  <c r="AK556" i="1" s="1"/>
  <c r="AJ502" i="1"/>
  <c r="AI502" i="1" s="1"/>
  <c r="AK502" i="1" s="1"/>
  <c r="AI501" i="1"/>
  <c r="AK501" i="1" s="1"/>
  <c r="AI471" i="1"/>
  <c r="AK471" i="1" s="1"/>
  <c r="AJ472" i="1"/>
  <c r="AI472" i="1" s="1"/>
  <c r="AK472" i="1" s="1"/>
  <c r="AI369" i="1"/>
  <c r="AK369" i="1" s="1"/>
  <c r="AJ370" i="1"/>
  <c r="AI370" i="1" s="1"/>
  <c r="AK370" i="1" s="1"/>
  <c r="AI447" i="1"/>
  <c r="AK447" i="1" s="1"/>
  <c r="AJ448" i="1"/>
  <c r="AI448" i="1" s="1"/>
  <c r="AK448" i="1" s="1"/>
  <c r="AI423" i="1"/>
  <c r="AK423" i="1" s="1"/>
  <c r="AJ424" i="1"/>
  <c r="AI424" i="1" s="1"/>
  <c r="AK424" i="1" s="1"/>
  <c r="AI525" i="1"/>
  <c r="AK525" i="1" s="1"/>
  <c r="AJ526" i="1"/>
  <c r="AI526" i="1" s="1"/>
  <c r="AK526" i="1" s="1"/>
  <c r="AI513" i="1"/>
  <c r="AK513" i="1" s="1"/>
  <c r="AJ514" i="1"/>
  <c r="AI514" i="1" s="1"/>
  <c r="AK514" i="1" s="1"/>
  <c r="AI489" i="1"/>
  <c r="AK489" i="1" s="1"/>
  <c r="AJ490" i="1"/>
  <c r="AI490" i="1" s="1"/>
  <c r="AK490" i="1" s="1"/>
  <c r="AI345" i="1"/>
  <c r="AK345" i="1" s="1"/>
  <c r="AJ346" i="1"/>
  <c r="AI346" i="1" s="1"/>
  <c r="AK346" i="1" s="1"/>
  <c r="AJ340" i="1"/>
  <c r="AI340" i="1" s="1"/>
  <c r="AK340" i="1" s="1"/>
  <c r="AI339" i="1"/>
  <c r="AK339" i="1" s="1"/>
  <c r="AI267" i="1"/>
  <c r="AK267" i="1" s="1"/>
  <c r="AJ268" i="1"/>
  <c r="AI268" i="1" s="1"/>
  <c r="AK268" i="1" s="1"/>
  <c r="AI285" i="1"/>
  <c r="AK285" i="1" s="1"/>
  <c r="AJ286" i="1"/>
  <c r="AI286" i="1" s="1"/>
  <c r="AK286" i="1" s="1"/>
  <c r="AI261" i="1"/>
  <c r="AK261" i="1" s="1"/>
  <c r="AJ262" i="1"/>
  <c r="AI262" i="1" s="1"/>
  <c r="AK262" i="1" s="1"/>
  <c r="AJ280" i="1"/>
  <c r="AI280" i="1" s="1"/>
  <c r="AK280" i="1" s="1"/>
  <c r="AI279" i="1"/>
  <c r="AK279" i="1" s="1"/>
  <c r="AI291" i="1"/>
  <c r="AK291" i="1" s="1"/>
  <c r="AJ292" i="1"/>
  <c r="AI292" i="1" s="1"/>
  <c r="AK292" i="1" s="1"/>
  <c r="AI273" i="1"/>
  <c r="AK273" i="1" s="1"/>
  <c r="AJ274" i="1"/>
  <c r="AI274" i="1" s="1"/>
  <c r="AK274" i="1" s="1"/>
  <c r="AI249" i="1"/>
  <c r="AK249" i="1" s="1"/>
  <c r="AJ250" i="1"/>
  <c r="AI250" i="1" s="1"/>
  <c r="AK250" i="1" s="1"/>
  <c r="AJ256" i="1"/>
  <c r="AI256" i="1" s="1"/>
  <c r="AK256" i="1" s="1"/>
  <c r="AI255" i="1"/>
  <c r="AK255" i="1" s="1"/>
  <c r="AI225" i="1"/>
  <c r="AK225" i="1" s="1"/>
  <c r="AJ226" i="1"/>
  <c r="AI226" i="1" s="1"/>
  <c r="AK226" i="1" s="1"/>
  <c r="AI243" i="1"/>
  <c r="AK243" i="1" s="1"/>
  <c r="AJ244" i="1"/>
  <c r="AI244" i="1" s="1"/>
  <c r="AK244" i="1" s="1"/>
  <c r="AJ232" i="1"/>
  <c r="AI232" i="1" s="1"/>
  <c r="AK232" i="1" s="1"/>
  <c r="AI231" i="1"/>
  <c r="AK231" i="1" s="1"/>
  <c r="AI195" i="1"/>
  <c r="AK195" i="1" s="1"/>
  <c r="AJ196" i="1"/>
  <c r="AI196" i="1" s="1"/>
  <c r="AK196" i="1" s="1"/>
  <c r="AI201" i="1"/>
  <c r="AK201" i="1" s="1"/>
  <c r="AJ202" i="1"/>
  <c r="AI202" i="1" s="1"/>
  <c r="AK202" i="1" s="1"/>
  <c r="AI219" i="1"/>
  <c r="AK219" i="1" s="1"/>
  <c r="AJ220" i="1"/>
  <c r="AI220" i="1" s="1"/>
  <c r="AK220" i="1" s="1"/>
  <c r="AI213" i="1"/>
  <c r="AK213" i="1" s="1"/>
  <c r="AJ214" i="1"/>
  <c r="AI214" i="1" s="1"/>
  <c r="AK214" i="1" s="1"/>
  <c r="AJ238" i="1"/>
  <c r="AI238" i="1" s="1"/>
  <c r="AK238" i="1" s="1"/>
  <c r="AI237" i="1"/>
  <c r="AK237" i="1" s="1"/>
  <c r="AI189" i="1"/>
  <c r="AK189" i="1" s="1"/>
  <c r="AJ190" i="1"/>
  <c r="AI190" i="1" s="1"/>
  <c r="AK190" i="1" s="1"/>
  <c r="AI207" i="1"/>
  <c r="AK207" i="1" s="1"/>
  <c r="AJ208" i="1"/>
  <c r="AI208" i="1" s="1"/>
  <c r="AK208" i="1" s="1"/>
  <c r="AI165" i="1"/>
  <c r="AK165" i="1" s="1"/>
  <c r="AJ166" i="1"/>
  <c r="AI166" i="1" s="1"/>
  <c r="AK166" i="1" s="1"/>
  <c r="AI183" i="1"/>
  <c r="AK183" i="1" s="1"/>
  <c r="AJ184" i="1"/>
  <c r="AI184" i="1" s="1"/>
  <c r="AK184" i="1" s="1"/>
  <c r="AI177" i="1"/>
  <c r="AK177" i="1" s="1"/>
  <c r="AJ178" i="1"/>
  <c r="AI178" i="1" s="1"/>
  <c r="AK178" i="1" s="1"/>
  <c r="AI171" i="1"/>
  <c r="AK171" i="1" s="1"/>
  <c r="AJ172" i="1"/>
  <c r="AI172" i="1" s="1"/>
  <c r="AK172" i="1" s="1"/>
  <c r="AJ124" i="1"/>
  <c r="AI124" i="1" s="1"/>
  <c r="AK124" i="1" s="1"/>
  <c r="AI123" i="1"/>
  <c r="AK123" i="1" s="1"/>
  <c r="AI141" i="1"/>
  <c r="AK141" i="1" s="1"/>
  <c r="AJ142" i="1"/>
  <c r="AI142" i="1" s="1"/>
  <c r="AK142" i="1" s="1"/>
  <c r="AI135" i="1"/>
  <c r="AK135" i="1" s="1"/>
  <c r="AJ136" i="1"/>
  <c r="AI136" i="1" s="1"/>
  <c r="AK136" i="1" s="1"/>
  <c r="AI153" i="1"/>
  <c r="AK153" i="1" s="1"/>
  <c r="AJ154" i="1"/>
  <c r="AI154" i="1" s="1"/>
  <c r="AK154" i="1" s="1"/>
  <c r="AJ130" i="1"/>
  <c r="AI130" i="1" s="1"/>
  <c r="AK130" i="1" s="1"/>
  <c r="AI129" i="1"/>
  <c r="AK129" i="1" s="1"/>
  <c r="AI147" i="1"/>
  <c r="AK147" i="1" s="1"/>
  <c r="AJ148" i="1"/>
  <c r="AI148" i="1" s="1"/>
  <c r="AK148" i="1" s="1"/>
  <c r="AI159" i="1"/>
  <c r="AK159" i="1" s="1"/>
  <c r="AJ160" i="1"/>
  <c r="AI160" i="1" s="1"/>
  <c r="AK160" i="1" s="1"/>
  <c r="AI95" i="1"/>
  <c r="AK95" i="1" s="1"/>
  <c r="AJ96" i="1"/>
  <c r="AI96" i="1" s="1"/>
  <c r="AK96" i="1" s="1"/>
  <c r="AI117" i="1"/>
  <c r="AK117" i="1" s="1"/>
  <c r="AJ118" i="1"/>
  <c r="AI118" i="1" s="1"/>
  <c r="AK118" i="1" s="1"/>
  <c r="AI111" i="1"/>
  <c r="AK111" i="1" s="1"/>
  <c r="AJ112" i="1"/>
  <c r="AI112" i="1" s="1"/>
  <c r="AK112" i="1" s="1"/>
  <c r="AJ102" i="1"/>
  <c r="AI102" i="1" s="1"/>
  <c r="AK102" i="1" s="1"/>
  <c r="AI101" i="1"/>
  <c r="AK101" i="1" s="1"/>
  <c r="AK34" i="1"/>
  <c r="Y29" i="19"/>
  <c r="S19" i="19"/>
  <c r="M49" i="19"/>
  <c r="S9" i="19"/>
  <c r="Y49" i="19"/>
  <c r="Y19" i="19"/>
  <c r="AK49" i="19"/>
  <c r="M19" i="19"/>
  <c r="AK39" i="19"/>
  <c r="M9" i="19"/>
  <c r="M29" i="19"/>
  <c r="Y39" i="19"/>
  <c r="AK9" i="19"/>
  <c r="AE9" i="19"/>
  <c r="AK29" i="19"/>
  <c r="M39" i="19"/>
  <c r="S49" i="19"/>
  <c r="AK19" i="19"/>
  <c r="AE49" i="19"/>
  <c r="AE29" i="19"/>
  <c r="AE39" i="19"/>
  <c r="S39" i="19"/>
  <c r="S29" i="19"/>
  <c r="AE19" i="19"/>
  <c r="Y9" i="19"/>
  <c r="AK40" i="1"/>
  <c r="S30" i="19"/>
  <c r="M30" i="19"/>
  <c r="AK30" i="19"/>
  <c r="Y50" i="19"/>
  <c r="AE10" i="19"/>
  <c r="AE30" i="19"/>
  <c r="AK10" i="19"/>
  <c r="M40" i="19"/>
  <c r="Y30" i="19"/>
  <c r="S10" i="19"/>
  <c r="Y10" i="19"/>
  <c r="AE40" i="19"/>
  <c r="M10" i="19"/>
  <c r="M50" i="19"/>
  <c r="Y40" i="19"/>
  <c r="S50" i="19"/>
  <c r="AK50" i="19"/>
  <c r="S20" i="19"/>
  <c r="S40" i="19"/>
  <c r="AE50" i="19"/>
  <c r="Y20" i="19"/>
  <c r="AK20" i="19"/>
  <c r="M20" i="19"/>
  <c r="AE20" i="19"/>
  <c r="AK40" i="19"/>
  <c r="AI35" i="1"/>
  <c r="AJ36" i="1"/>
  <c r="AI36" i="1" s="1"/>
  <c r="AI41" i="1"/>
  <c r="AJ42" i="1"/>
  <c r="AI42" i="1" s="1"/>
  <c r="AK64" i="1"/>
  <c r="AE54" i="19"/>
  <c r="Y44" i="19"/>
  <c r="S54" i="19"/>
  <c r="AE24" i="19"/>
  <c r="S14" i="19"/>
  <c r="AE34" i="19"/>
  <c r="Y24" i="19"/>
  <c r="AE44" i="19"/>
  <c r="Y14" i="19"/>
  <c r="AK54" i="19"/>
  <c r="AK14" i="19"/>
  <c r="S24" i="19"/>
  <c r="Y54" i="19"/>
  <c r="AK24" i="19"/>
  <c r="AK34" i="19"/>
  <c r="S34" i="19"/>
  <c r="S44" i="19"/>
  <c r="M24" i="19"/>
  <c r="AK44" i="19"/>
  <c r="AE14" i="19"/>
  <c r="M44" i="19"/>
  <c r="Y34" i="19"/>
  <c r="M54" i="19"/>
  <c r="M34" i="19"/>
  <c r="M14" i="19"/>
  <c r="AK52" i="1"/>
  <c r="AK12" i="19"/>
  <c r="AK22" i="19"/>
  <c r="M52" i="19"/>
  <c r="S12" i="19"/>
  <c r="AE52" i="19"/>
  <c r="S22" i="19"/>
  <c r="M42" i="19"/>
  <c r="S32" i="19"/>
  <c r="AE22" i="19"/>
  <c r="Y22" i="19"/>
  <c r="Y32" i="19"/>
  <c r="AE12" i="19"/>
  <c r="AK52" i="19"/>
  <c r="Y42" i="19"/>
  <c r="AK42" i="19"/>
  <c r="AE42" i="19"/>
  <c r="S42" i="19"/>
  <c r="M12" i="19"/>
  <c r="Y12" i="19"/>
  <c r="M22" i="19"/>
  <c r="AE32" i="19"/>
  <c r="Y52" i="19"/>
  <c r="S52" i="19"/>
  <c r="M32" i="19"/>
  <c r="AK32" i="19"/>
  <c r="AI77" i="1"/>
  <c r="AK77" i="1" s="1"/>
  <c r="AJ78" i="1"/>
  <c r="AI78" i="1" s="1"/>
  <c r="AK78" i="1" s="1"/>
  <c r="AI65" i="1"/>
  <c r="AJ66" i="1"/>
  <c r="AI66" i="1" s="1"/>
  <c r="AI53" i="1"/>
  <c r="AJ54" i="1"/>
  <c r="AI54" i="1" s="1"/>
  <c r="AK70" i="1"/>
  <c r="AK15" i="19"/>
  <c r="S55" i="19"/>
  <c r="S15" i="19"/>
  <c r="M35" i="19"/>
  <c r="M15" i="19"/>
  <c r="Y35" i="19"/>
  <c r="AK25" i="19"/>
  <c r="M55" i="19"/>
  <c r="AE15" i="19"/>
  <c r="Y45" i="19"/>
  <c r="Y55" i="19"/>
  <c r="AK45" i="19"/>
  <c r="S45" i="19"/>
  <c r="AE45" i="19"/>
  <c r="M25" i="19"/>
  <c r="AE25" i="19"/>
  <c r="S35" i="19"/>
  <c r="AE55" i="19"/>
  <c r="AK55" i="19"/>
  <c r="Y15" i="19"/>
  <c r="AE35" i="19"/>
  <c r="Y25" i="19"/>
  <c r="AK35" i="19"/>
  <c r="M45" i="19"/>
  <c r="S25" i="19"/>
  <c r="AI71" i="1"/>
  <c r="AJ72" i="1"/>
  <c r="AI72" i="1" s="1"/>
  <c r="AK46" i="1"/>
  <c r="M31" i="19"/>
  <c r="M41" i="19"/>
  <c r="Y31" i="19"/>
  <c r="Y11" i="19"/>
  <c r="Y41" i="19"/>
  <c r="AE51" i="19"/>
  <c r="AE11" i="19"/>
  <c r="AK51" i="19"/>
  <c r="AE41" i="19"/>
  <c r="AK41" i="19"/>
  <c r="S51" i="19"/>
  <c r="Y51" i="19"/>
  <c r="AK31" i="19"/>
  <c r="AE31" i="19"/>
  <c r="Y21" i="19"/>
  <c r="S11" i="19"/>
  <c r="S31" i="19"/>
  <c r="AE21" i="19"/>
  <c r="S41" i="19"/>
  <c r="M51" i="19"/>
  <c r="M21" i="19"/>
  <c r="M11" i="19"/>
  <c r="AK21" i="19"/>
  <c r="AK11" i="19"/>
  <c r="S21" i="19"/>
  <c r="AK58" i="1"/>
  <c r="AE13" i="19"/>
  <c r="S23" i="19"/>
  <c r="AK33" i="19"/>
  <c r="Y33" i="19"/>
  <c r="M33" i="19"/>
  <c r="AK43" i="19"/>
  <c r="AE43" i="19"/>
  <c r="S53" i="19"/>
  <c r="M43" i="19"/>
  <c r="M13" i="19"/>
  <c r="S13" i="19"/>
  <c r="AE33" i="19"/>
  <c r="Y53" i="19"/>
  <c r="S33" i="19"/>
  <c r="M53" i="19"/>
  <c r="AK13" i="19"/>
  <c r="Y23" i="19"/>
  <c r="S43" i="19"/>
  <c r="Y43" i="19"/>
  <c r="M23" i="19"/>
  <c r="AE23" i="19"/>
  <c r="AK53" i="19"/>
  <c r="AE53" i="19"/>
  <c r="Y13" i="19"/>
  <c r="AK23" i="19"/>
  <c r="AI47" i="1"/>
  <c r="AJ48" i="1"/>
  <c r="AI48" i="1" s="1"/>
  <c r="AI59" i="1"/>
  <c r="AJ60" i="1"/>
  <c r="AI60" i="1" s="1"/>
  <c r="AK28" i="1"/>
  <c r="M38" i="19"/>
  <c r="AK48" i="19"/>
  <c r="Y48" i="19"/>
  <c r="M28" i="19"/>
  <c r="Y8" i="19"/>
  <c r="Y38" i="19"/>
  <c r="M18" i="19"/>
  <c r="AK18" i="19"/>
  <c r="AE18" i="19"/>
  <c r="AK28" i="19"/>
  <c r="M8" i="19"/>
  <c r="M48" i="19"/>
  <c r="S8" i="19"/>
  <c r="AK38" i="19"/>
  <c r="AE38" i="19"/>
  <c r="Y18" i="19"/>
  <c r="AE28" i="19"/>
  <c r="AK8" i="19"/>
  <c r="S48" i="19"/>
  <c r="AE48" i="19"/>
  <c r="AE8" i="19"/>
  <c r="S28" i="19"/>
  <c r="Y28" i="19"/>
  <c r="S18" i="19"/>
  <c r="S38" i="19"/>
  <c r="AI29" i="1"/>
  <c r="AJ30" i="1"/>
  <c r="AI30" i="1" s="1"/>
  <c r="AK22" i="1"/>
  <c r="M27" i="19"/>
  <c r="AE47" i="19"/>
  <c r="S47" i="19"/>
  <c r="Y17" i="19"/>
  <c r="Y37" i="19"/>
  <c r="AK47" i="19"/>
  <c r="S7" i="19"/>
  <c r="Y27" i="19"/>
  <c r="S17" i="19"/>
  <c r="M17" i="19"/>
  <c r="M37" i="19"/>
  <c r="S27" i="19"/>
  <c r="AE17" i="19"/>
  <c r="AK37" i="19"/>
  <c r="AK7" i="19"/>
  <c r="AK27" i="19"/>
  <c r="AE27" i="19"/>
  <c r="M7" i="19"/>
  <c r="Y7" i="19"/>
  <c r="AE37" i="19"/>
  <c r="Y47" i="19"/>
  <c r="S37" i="19"/>
  <c r="AK17" i="19"/>
  <c r="M47" i="19"/>
  <c r="AE7" i="19"/>
  <c r="AI23" i="1"/>
  <c r="AJ24" i="1"/>
  <c r="AI24" i="1" s="1"/>
  <c r="N6" i="19"/>
  <c r="AF36" i="19"/>
  <c r="Z26" i="19"/>
  <c r="N36" i="19"/>
  <c r="AL16" i="19"/>
  <c r="N16" i="19"/>
  <c r="Z36" i="19"/>
  <c r="Z6" i="19"/>
  <c r="AF26" i="19"/>
  <c r="AF6" i="19"/>
  <c r="T46" i="19"/>
  <c r="T26" i="19"/>
  <c r="N46" i="19"/>
  <c r="T6" i="19"/>
  <c r="Z46" i="19"/>
  <c r="AF46" i="19"/>
  <c r="AL46" i="19"/>
  <c r="N26" i="19"/>
  <c r="T36" i="19"/>
  <c r="Z16" i="19"/>
  <c r="AF16" i="19"/>
  <c r="AL6" i="19"/>
  <c r="AL26" i="19"/>
  <c r="AL36" i="19"/>
  <c r="AM16" i="19"/>
  <c r="AA26" i="19"/>
  <c r="O46" i="19"/>
  <c r="AG46" i="19"/>
  <c r="AG26" i="19"/>
  <c r="O16" i="19"/>
  <c r="AM26" i="19"/>
  <c r="AM46" i="19"/>
  <c r="AG6" i="19"/>
  <c r="U16" i="19"/>
  <c r="O26" i="19"/>
  <c r="AM6" i="19"/>
  <c r="AA16" i="19"/>
  <c r="AA6" i="19"/>
  <c r="AA46" i="19"/>
  <c r="U26" i="19"/>
  <c r="O36" i="19"/>
  <c r="AM36" i="19"/>
  <c r="O6" i="19"/>
  <c r="U6" i="19"/>
  <c r="U36" i="19"/>
  <c r="U46" i="19"/>
  <c r="AG16" i="19"/>
  <c r="AG36" i="19"/>
  <c r="AA36" i="19"/>
  <c r="AK66" i="1" l="1"/>
  <c r="AM24" i="19"/>
  <c r="AA24" i="19"/>
  <c r="U54" i="19"/>
  <c r="AA44" i="19"/>
  <c r="AM54" i="19"/>
  <c r="O14" i="19"/>
  <c r="AA14" i="19"/>
  <c r="O54" i="19"/>
  <c r="AM44" i="19"/>
  <c r="U14" i="19"/>
  <c r="O34" i="19"/>
  <c r="AG24" i="19"/>
  <c r="AG14" i="19"/>
  <c r="AM14" i="19"/>
  <c r="AG54" i="19"/>
  <c r="O24" i="19"/>
  <c r="U34" i="19"/>
  <c r="AG34" i="19"/>
  <c r="AG44" i="19"/>
  <c r="AA34" i="19"/>
  <c r="U24" i="19"/>
  <c r="AM34" i="19"/>
  <c r="U44" i="19"/>
  <c r="O44" i="19"/>
  <c r="AA54" i="19"/>
  <c r="AK72" i="1"/>
  <c r="O35" i="19"/>
  <c r="AM35" i="19"/>
  <c r="AA25" i="19"/>
  <c r="O45" i="19"/>
  <c r="AM25" i="19"/>
  <c r="AM45" i="19"/>
  <c r="AA35" i="19"/>
  <c r="AG55" i="19"/>
  <c r="AG25" i="19"/>
  <c r="AM55" i="19"/>
  <c r="AA15" i="19"/>
  <c r="AM15" i="19"/>
  <c r="U35" i="19"/>
  <c r="O15" i="19"/>
  <c r="O55" i="19"/>
  <c r="AA55" i="19"/>
  <c r="U45" i="19"/>
  <c r="O25" i="19"/>
  <c r="AG15" i="19"/>
  <c r="U15" i="19"/>
  <c r="AG35" i="19"/>
  <c r="U55" i="19"/>
  <c r="U25" i="19"/>
  <c r="AG45" i="19"/>
  <c r="AA45" i="19"/>
  <c r="AK71" i="1"/>
  <c r="N45" i="19"/>
  <c r="Z45" i="19"/>
  <c r="N35" i="19"/>
  <c r="N55" i="19"/>
  <c r="AL25" i="19"/>
  <c r="AF25" i="19"/>
  <c r="N15" i="19"/>
  <c r="AL45" i="19"/>
  <c r="AF55" i="19"/>
  <c r="T15" i="19"/>
  <c r="AF35" i="19"/>
  <c r="Z35" i="19"/>
  <c r="T25" i="19"/>
  <c r="AF45" i="19"/>
  <c r="T55" i="19"/>
  <c r="T45" i="19"/>
  <c r="T35" i="19"/>
  <c r="AL55" i="19"/>
  <c r="AL15" i="19"/>
  <c r="N25" i="19"/>
  <c r="Z25" i="19"/>
  <c r="Z15" i="19"/>
  <c r="AL35" i="19"/>
  <c r="AF15" i="19"/>
  <c r="Z55" i="19"/>
  <c r="AK42" i="1"/>
  <c r="O40" i="19"/>
  <c r="AM40" i="19"/>
  <c r="AM20" i="19"/>
  <c r="AG10" i="19"/>
  <c r="U40" i="19"/>
  <c r="AA50" i="19"/>
  <c r="O50" i="19"/>
  <c r="AG40" i="19"/>
  <c r="U20" i="19"/>
  <c r="O20" i="19"/>
  <c r="AA30" i="19"/>
  <c r="AM10" i="19"/>
  <c r="AG20" i="19"/>
  <c r="AA40" i="19"/>
  <c r="AG50" i="19"/>
  <c r="AA10" i="19"/>
  <c r="AM30" i="19"/>
  <c r="O30" i="19"/>
  <c r="O10" i="19"/>
  <c r="U30" i="19"/>
  <c r="U50" i="19"/>
  <c r="AM50" i="19"/>
  <c r="AG30" i="19"/>
  <c r="AA20" i="19"/>
  <c r="U10" i="19"/>
  <c r="AK41" i="1"/>
  <c r="T50" i="19"/>
  <c r="N20" i="19"/>
  <c r="N50" i="19"/>
  <c r="N40" i="19"/>
  <c r="AL40" i="19"/>
  <c r="AF40" i="19"/>
  <c r="T20" i="19"/>
  <c r="Z20" i="19"/>
  <c r="AL50" i="19"/>
  <c r="N10" i="19"/>
  <c r="T10" i="19"/>
  <c r="AL10" i="19"/>
  <c r="AL30" i="19"/>
  <c r="Z40" i="19"/>
  <c r="N30" i="19"/>
  <c r="AF30" i="19"/>
  <c r="T40" i="19"/>
  <c r="T30" i="19"/>
  <c r="Z10" i="19"/>
  <c r="AF10" i="19"/>
  <c r="Z30" i="19"/>
  <c r="AF20" i="19"/>
  <c r="AF50" i="19"/>
  <c r="Z50" i="19"/>
  <c r="AL20" i="19"/>
  <c r="AK60" i="1"/>
  <c r="AA23" i="19"/>
  <c r="AM23" i="19"/>
  <c r="O33" i="19"/>
  <c r="AG13" i="19"/>
  <c r="AM53" i="19"/>
  <c r="AA53" i="19"/>
  <c r="O53" i="19"/>
  <c r="AM43" i="19"/>
  <c r="AG33" i="19"/>
  <c r="U33" i="19"/>
  <c r="U13" i="19"/>
  <c r="O23" i="19"/>
  <c r="O43" i="19"/>
  <c r="AM13" i="19"/>
  <c r="AA13" i="19"/>
  <c r="AG23" i="19"/>
  <c r="AM33" i="19"/>
  <c r="AG43" i="19"/>
  <c r="AA43" i="19"/>
  <c r="AA33" i="19"/>
  <c r="U53" i="19"/>
  <c r="U23" i="19"/>
  <c r="O13" i="19"/>
  <c r="AG53" i="19"/>
  <c r="U43" i="19"/>
  <c r="AK36" i="1"/>
  <c r="AA39" i="19"/>
  <c r="O39" i="19"/>
  <c r="AG9" i="19"/>
  <c r="AG29" i="19"/>
  <c r="AM49" i="19"/>
  <c r="O29" i="19"/>
  <c r="U9" i="19"/>
  <c r="AA9" i="19"/>
  <c r="O9" i="19"/>
  <c r="AM39" i="19"/>
  <c r="U39" i="19"/>
  <c r="U19" i="19"/>
  <c r="AG19" i="19"/>
  <c r="AG49" i="19"/>
  <c r="AM19" i="19"/>
  <c r="AG39" i="19"/>
  <c r="AA29" i="19"/>
  <c r="AM9" i="19"/>
  <c r="O49" i="19"/>
  <c r="AM29" i="19"/>
  <c r="U49" i="19"/>
  <c r="O19" i="19"/>
  <c r="AA19" i="19"/>
  <c r="U29" i="19"/>
  <c r="AA49" i="19"/>
  <c r="AK65" i="1"/>
  <c r="T44" i="19"/>
  <c r="T54" i="19"/>
  <c r="AF34" i="19"/>
  <c r="Z34" i="19"/>
  <c r="AL24" i="19"/>
  <c r="AF44" i="19"/>
  <c r="Z44" i="19"/>
  <c r="AL34" i="19"/>
  <c r="N34" i="19"/>
  <c r="N44" i="19"/>
  <c r="AL14" i="19"/>
  <c r="Z14" i="19"/>
  <c r="AF54" i="19"/>
  <c r="T14" i="19"/>
  <c r="N14" i="19"/>
  <c r="Z54" i="19"/>
  <c r="AL54" i="19"/>
  <c r="N54" i="19"/>
  <c r="AF14" i="19"/>
  <c r="T24" i="19"/>
  <c r="Z24" i="19"/>
  <c r="AF24" i="19"/>
  <c r="AL44" i="19"/>
  <c r="N24" i="19"/>
  <c r="T34" i="19"/>
  <c r="AK59" i="1"/>
  <c r="AL13" i="19"/>
  <c r="AF33" i="19"/>
  <c r="AF23" i="19"/>
  <c r="Z13" i="19"/>
  <c r="N23" i="19"/>
  <c r="AF53" i="19"/>
  <c r="T53" i="19"/>
  <c r="Z33" i="19"/>
  <c r="Z43" i="19"/>
  <c r="Z53" i="19"/>
  <c r="T33" i="19"/>
  <c r="Z23" i="19"/>
  <c r="AL23" i="19"/>
  <c r="N53" i="19"/>
  <c r="N33" i="19"/>
  <c r="AL43" i="19"/>
  <c r="T43" i="19"/>
  <c r="T23" i="19"/>
  <c r="AF43" i="19"/>
  <c r="AL33" i="19"/>
  <c r="N13" i="19"/>
  <c r="T13" i="19"/>
  <c r="AL53" i="19"/>
  <c r="N43" i="19"/>
  <c r="AF13" i="19"/>
  <c r="AK35" i="1"/>
  <c r="N49" i="19"/>
  <c r="T9" i="19"/>
  <c r="N9" i="19"/>
  <c r="AF39" i="19"/>
  <c r="T49" i="19"/>
  <c r="AL49" i="19"/>
  <c r="T19" i="19"/>
  <c r="AL19" i="19"/>
  <c r="AL9" i="19"/>
  <c r="Z49" i="19"/>
  <c r="Z39" i="19"/>
  <c r="AF29" i="19"/>
  <c r="T29" i="19"/>
  <c r="AF49" i="19"/>
  <c r="Z19" i="19"/>
  <c r="AL29" i="19"/>
  <c r="AL39" i="19"/>
  <c r="N39" i="19"/>
  <c r="AF19" i="19"/>
  <c r="Z9" i="19"/>
  <c r="T39" i="19"/>
  <c r="Z29" i="19"/>
  <c r="N29" i="19"/>
  <c r="AF9" i="19"/>
  <c r="N19" i="19"/>
  <c r="AK48" i="1"/>
  <c r="AM21" i="19"/>
  <c r="U51" i="19"/>
  <c r="AM11" i="19"/>
  <c r="O11" i="19"/>
  <c r="AA31" i="19"/>
  <c r="U11" i="19"/>
  <c r="U41" i="19"/>
  <c r="AG41" i="19"/>
  <c r="AA41" i="19"/>
  <c r="AA11" i="19"/>
  <c r="O21" i="19"/>
  <c r="AA21" i="19"/>
  <c r="AG11" i="19"/>
  <c r="AM31" i="19"/>
  <c r="AA51" i="19"/>
  <c r="U21" i="19"/>
  <c r="AG51" i="19"/>
  <c r="AG31" i="19"/>
  <c r="O51" i="19"/>
  <c r="O41" i="19"/>
  <c r="AM51" i="19"/>
  <c r="AM41" i="19"/>
  <c r="AG21" i="19"/>
  <c r="U31" i="19"/>
  <c r="O31" i="19"/>
  <c r="AK47" i="1"/>
  <c r="T51" i="19"/>
  <c r="Z51" i="19"/>
  <c r="AL41" i="19"/>
  <c r="T41" i="19"/>
  <c r="Z11" i="19"/>
  <c r="T21" i="19"/>
  <c r="AL51" i="19"/>
  <c r="Z31" i="19"/>
  <c r="AF11" i="19"/>
  <c r="AL11" i="19"/>
  <c r="AL31" i="19"/>
  <c r="N11" i="19"/>
  <c r="AF51" i="19"/>
  <c r="N51" i="19"/>
  <c r="Z21" i="19"/>
  <c r="T31" i="19"/>
  <c r="AF21" i="19"/>
  <c r="N31" i="19"/>
  <c r="T11" i="19"/>
  <c r="N21" i="19"/>
  <c r="AF41" i="19"/>
  <c r="AL21" i="19"/>
  <c r="AF31" i="19"/>
  <c r="N41" i="19"/>
  <c r="Z41" i="19"/>
  <c r="AK54" i="1"/>
  <c r="U32" i="19"/>
  <c r="O52" i="19"/>
  <c r="AM12" i="19"/>
  <c r="AM42" i="19"/>
  <c r="U42" i="19"/>
  <c r="AG22" i="19"/>
  <c r="AM32" i="19"/>
  <c r="AG52" i="19"/>
  <c r="O32" i="19"/>
  <c r="AA22" i="19"/>
  <c r="AG12" i="19"/>
  <c r="AG32" i="19"/>
  <c r="U52" i="19"/>
  <c r="AA42" i="19"/>
  <c r="AA12" i="19"/>
  <c r="O42" i="19"/>
  <c r="U12" i="19"/>
  <c r="O12" i="19"/>
  <c r="AA32" i="19"/>
  <c r="U22" i="19"/>
  <c r="AM52" i="19"/>
  <c r="AM22" i="19"/>
  <c r="AG42" i="19"/>
  <c r="AA52" i="19"/>
  <c r="O22" i="19"/>
  <c r="AK53" i="1"/>
  <c r="T52" i="19"/>
  <c r="N42" i="19"/>
  <c r="N32" i="19"/>
  <c r="Z32" i="19"/>
  <c r="Z22" i="19"/>
  <c r="AL32" i="19"/>
  <c r="T12" i="19"/>
  <c r="Z42" i="19"/>
  <c r="AF52" i="19"/>
  <c r="Z52" i="19"/>
  <c r="N52" i="19"/>
  <c r="T32" i="19"/>
  <c r="AF42" i="19"/>
  <c r="AL52" i="19"/>
  <c r="T42" i="19"/>
  <c r="AF22" i="19"/>
  <c r="N22" i="19"/>
  <c r="AL12" i="19"/>
  <c r="Z12" i="19"/>
  <c r="AF32" i="19"/>
  <c r="N12" i="19"/>
  <c r="T22" i="19"/>
  <c r="AF12" i="19"/>
  <c r="AL42" i="19"/>
  <c r="AL22" i="19"/>
  <c r="AK30" i="1"/>
  <c r="AG28" i="19"/>
  <c r="AA8" i="19"/>
  <c r="AG38" i="19"/>
  <c r="AA28" i="19"/>
  <c r="AG8" i="19"/>
  <c r="AA18" i="19"/>
  <c r="U38" i="19"/>
  <c r="AG18" i="19"/>
  <c r="AM28" i="19"/>
  <c r="U8" i="19"/>
  <c r="U48" i="19"/>
  <c r="AA38" i="19"/>
  <c r="AM8" i="19"/>
  <c r="O8" i="19"/>
  <c r="AM48" i="19"/>
  <c r="AA48" i="19"/>
  <c r="O48" i="19"/>
  <c r="U28" i="19"/>
  <c r="U18" i="19"/>
  <c r="AM38" i="19"/>
  <c r="O18" i="19"/>
  <c r="AM18" i="19"/>
  <c r="O38" i="19"/>
  <c r="AG48" i="19"/>
  <c r="O28" i="19"/>
  <c r="AK29" i="1"/>
  <c r="T18" i="19"/>
  <c r="AF18" i="19"/>
  <c r="AF48" i="19"/>
  <c r="Z38" i="19"/>
  <c r="N8" i="19"/>
  <c r="T8" i="19"/>
  <c r="T48" i="19"/>
  <c r="N28" i="19"/>
  <c r="T38" i="19"/>
  <c r="Z28" i="19"/>
  <c r="AF38" i="19"/>
  <c r="AL28" i="19"/>
  <c r="N18" i="19"/>
  <c r="AL38" i="19"/>
  <c r="Z48" i="19"/>
  <c r="AF8" i="19"/>
  <c r="AF28" i="19"/>
  <c r="N48" i="19"/>
  <c r="Z18" i="19"/>
  <c r="Z8" i="19"/>
  <c r="N38" i="19"/>
  <c r="AL18" i="19"/>
  <c r="AL48" i="19"/>
  <c r="AL8" i="19"/>
  <c r="T28" i="19"/>
  <c r="AK24" i="1"/>
  <c r="AG47" i="19"/>
  <c r="O17" i="19"/>
  <c r="AA47" i="19"/>
  <c r="AG27" i="19"/>
  <c r="O7" i="19"/>
  <c r="U37" i="19"/>
  <c r="AG17" i="19"/>
  <c r="AM7" i="19"/>
  <c r="U27" i="19"/>
  <c r="AA7" i="19"/>
  <c r="U17" i="19"/>
  <c r="O27" i="19"/>
  <c r="AA17" i="19"/>
  <c r="AM37" i="19"/>
  <c r="AM17" i="19"/>
  <c r="U47" i="19"/>
  <c r="O37" i="19"/>
  <c r="U7" i="19"/>
  <c r="AA37" i="19"/>
  <c r="O47" i="19"/>
  <c r="AM27" i="19"/>
  <c r="AA27" i="19"/>
  <c r="AG7" i="19"/>
  <c r="AG37" i="19"/>
  <c r="AM47" i="19"/>
  <c r="AK23" i="1"/>
  <c r="N7" i="19"/>
  <c r="AL27" i="19"/>
  <c r="AL7" i="19"/>
  <c r="T47" i="19"/>
  <c r="Z27" i="19"/>
  <c r="AL17" i="19"/>
  <c r="T27" i="19"/>
  <c r="Z37" i="19"/>
  <c r="AF37" i="19"/>
  <c r="AF47" i="19"/>
  <c r="Z17" i="19"/>
  <c r="AF17" i="19"/>
  <c r="AL47" i="19"/>
  <c r="N47" i="19"/>
  <c r="Z47" i="19"/>
  <c r="AF7" i="19"/>
  <c r="T37" i="19"/>
  <c r="N17" i="19"/>
  <c r="AF27" i="19"/>
  <c r="N37" i="19"/>
  <c r="Z7" i="19"/>
  <c r="T7" i="19"/>
  <c r="T17" i="19"/>
  <c r="AL37" i="19"/>
  <c r="N27" i="19"/>
</calcChain>
</file>

<file path=xl/comments1.xml><?xml version="1.0" encoding="utf-8"?>
<comments xmlns="http://schemas.openxmlformats.org/spreadsheetml/2006/main">
  <authors>
    <author>Nicolas Corredor</author>
  </authors>
  <commentList>
    <comment ref="E11" authorId="0" shapeId="0">
      <text>
        <r>
          <rPr>
            <b/>
            <sz val="9"/>
            <color indexed="81"/>
            <rFont val="Tahoma"/>
            <family val="2"/>
          </rPr>
          <t>¿QUÉ?</t>
        </r>
      </text>
    </comment>
    <comment ref="F11" authorId="0" shapeId="0">
      <text>
        <r>
          <rPr>
            <b/>
            <sz val="9"/>
            <color indexed="81"/>
            <rFont val="Tahoma"/>
            <family val="2"/>
          </rPr>
          <t>¿CÓMO?</t>
        </r>
      </text>
    </comment>
    <comment ref="G11" authorId="0" shapeId="0">
      <text>
        <r>
          <rPr>
            <b/>
            <sz val="9"/>
            <color indexed="81"/>
            <rFont val="Tahoma"/>
            <family val="2"/>
          </rPr>
          <t>¿POR QUÉ?</t>
        </r>
        <r>
          <rPr>
            <sz val="9"/>
            <color indexed="81"/>
            <rFont val="Tahoma"/>
            <family val="2"/>
          </rPr>
          <t xml:space="preserve">
</t>
        </r>
      </text>
    </comment>
    <comment ref="D455" authorId="0" shapeId="0">
      <text>
        <r>
          <rPr>
            <b/>
            <sz val="9"/>
            <color indexed="81"/>
            <rFont val="Tahoma"/>
            <family val="2"/>
          </rPr>
          <t>Nicolas Corredor:</t>
        </r>
        <r>
          <rPr>
            <sz val="9"/>
            <color indexed="81"/>
            <rFont val="Tahoma"/>
            <family val="2"/>
          </rPr>
          <t xml:space="preserve">
</t>
        </r>
      </text>
    </comment>
  </commentList>
</comments>
</file>

<file path=xl/comments2.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3.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4.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5.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6.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sharedStrings.xml><?xml version="1.0" encoding="utf-8"?>
<sst xmlns="http://schemas.openxmlformats.org/spreadsheetml/2006/main" count="3658" uniqueCount="1192">
  <si>
    <t>Matriz Mapa de Riesgos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</si>
  <si>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indexed="5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</si>
  <si>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</si>
  <si>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indexed="53"/>
        <rFont val="Arial Narrow"/>
        <family val="2"/>
      </rPr>
      <t>Paso 2: identificación del riesgo</t>
    </r>
    <r>
      <rPr>
        <sz val="11"/>
        <rFont val="Arial Narrow"/>
        <family val="2"/>
      </rPr>
      <t xml:space="preserve">, donde se explica ampliamente las bases para adelanter este análisis.
Así mismo, considere en el </t>
    </r>
    <r>
      <rPr>
        <b/>
        <sz val="11"/>
        <color indexed="5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indexed="53"/>
        <rFont val="Arial Narrow"/>
        <family val="2"/>
      </rPr>
      <t>NOTA:</t>
    </r>
    <r>
      <rPr>
        <sz val="11"/>
        <rFont val="Arial Narrow"/>
        <family val="2"/>
      </rPr>
      <t xml:space="preserve"> Si lo considera pertinente, es posible agregar hojas de trabajo adicionales al presente formato que permitan incluir la traza de estos análisis.</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</si>
  <si>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</si>
  <si>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</si>
  <si>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</si>
  <si>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</si>
  <si>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</si>
  <si>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</si>
  <si>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</si>
  <si>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</si>
  <si>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</si>
  <si>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</si>
  <si>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</si>
  <si>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</si>
  <si>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</si>
  <si>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</si>
  <si>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</si>
  <si>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</si>
  <si>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</si>
  <si>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</si>
  <si>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indexed="5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</si>
  <si>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</si>
  <si>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</si>
  <si>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</si>
  <si>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</si>
  <si>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</si>
  <si>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</si>
  <si>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</si>
  <si>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</si>
  <si>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</si>
  <si>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indexed="5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</si>
  <si>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</si>
  <si>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</si>
  <si>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</si>
  <si>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</si>
  <si>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</si>
  <si>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</si>
  <si>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</si>
  <si>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</si>
  <si>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</si>
  <si>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</si>
  <si>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</si>
  <si>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</si>
  <si>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</si>
  <si>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</si>
  <si>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</si>
  <si>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indexed="5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</si>
  <si>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</si>
  <si>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</si>
  <si>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</si>
  <si>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</si>
  <si>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</si>
  <si>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</si>
  <si>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</si>
  <si>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</si>
  <si>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</si>
  <si>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</si>
  <si>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</si>
  <si>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t>HOSPITAL MILITAR CENTRAL</t>
  </si>
  <si>
    <t>FORMATO: MAPA DE RIESGOS POR PROCESO</t>
  </si>
  <si>
    <t>CÓDIGO: PL-OAPL-PR-05-FT-02</t>
  </si>
  <si>
    <t>OFICINA: ASESORA DE PLANEACION</t>
  </si>
  <si>
    <t>FECHA DE EMISIÓN: 12-08-2022</t>
  </si>
  <si>
    <t>PROCESO: PLANEACION</t>
  </si>
  <si>
    <t>VERSIÓN: 08</t>
  </si>
  <si>
    <t>SISTEMA DE GESTION INTEGRADO SGI</t>
  </si>
  <si>
    <t>Página 1 de 1</t>
  </si>
  <si>
    <t>Proceso:</t>
  </si>
  <si>
    <t>Objetivo:</t>
  </si>
  <si>
    <t>Alcance:</t>
  </si>
  <si>
    <t>Identificación del riesgo</t>
  </si>
  <si>
    <t>Análisis del riesgo inherente</t>
  </si>
  <si>
    <t>Evaluación del riesgo - Valoración de los controles</t>
  </si>
  <si>
    <t>Evaluación del riesgo - Nivel del riesgo residual</t>
  </si>
  <si>
    <t>Plan de Acción</t>
  </si>
  <si>
    <t xml:space="preserve">Referencia </t>
  </si>
  <si>
    <t>Código Único
(iD)</t>
  </si>
  <si>
    <t>Área responsable</t>
  </si>
  <si>
    <t>Definición Riesgos de Corrupción
Marcar con una ( X )</t>
  </si>
  <si>
    <t>Activo de la Información (Seguridad Digital)</t>
  </si>
  <si>
    <t>Frecuencia con la cual se realiza la actividad</t>
  </si>
  <si>
    <t>Probabilidad Inherente</t>
  </si>
  <si>
    <t>%</t>
  </si>
  <si>
    <t>Criterios de impacto</t>
  </si>
  <si>
    <t>Observación de criterio</t>
  </si>
  <si>
    <t>Impacto 
Inherente</t>
  </si>
  <si>
    <t>No. Control</t>
  </si>
  <si>
    <t xml:space="preserve">Descripción del Control
(Propósito, forma como se realiza, responsable, periodicidad,  </t>
  </si>
  <si>
    <t>Atributos</t>
  </si>
  <si>
    <t>Probabilidad Residual</t>
  </si>
  <si>
    <t>Probabilidad Residual Final</t>
  </si>
  <si>
    <t>Impacto Residual Final</t>
  </si>
  <si>
    <t>Zona de Riesgo Final</t>
  </si>
  <si>
    <t>Responsable</t>
  </si>
  <si>
    <t>Fecha Implementación</t>
  </si>
  <si>
    <t>Fecha Seguimiento</t>
  </si>
  <si>
    <t>Seguimiento</t>
  </si>
  <si>
    <t>Acción u Omisión</t>
  </si>
  <si>
    <t>Uso del Poder</t>
  </si>
  <si>
    <t>Desviar la Gestión 
de lo Público</t>
  </si>
  <si>
    <t xml:space="preserve">Beneficio Privado </t>
  </si>
  <si>
    <t>Tipo</t>
  </si>
  <si>
    <t>Implementación</t>
  </si>
  <si>
    <t>Calificación</t>
  </si>
  <si>
    <t>Documentación</t>
  </si>
  <si>
    <t>Frecuencia</t>
  </si>
  <si>
    <t>Evidencia</t>
  </si>
  <si>
    <t>FORMATO: SEGUIMIENTOS Y MONITOREO MAPA DE RIESGOS</t>
  </si>
  <si>
    <t>CÓDIGO: PL-OAPL-PR-05-FT-01</t>
  </si>
  <si>
    <t>VERSIÓN: 06</t>
  </si>
  <si>
    <t>FECHA DEL REPORTE DEL MONITOREO</t>
  </si>
  <si>
    <t>INFORMACIÓN DEL RIESGO</t>
  </si>
  <si>
    <r>
      <t xml:space="preserve">SEGUIMIENTO DE CONTROLES - LÍDERES DE PROCESO
ACCIONES DE AUTOCONTROL
</t>
    </r>
    <r>
      <rPr>
        <b/>
        <i/>
        <sz val="26"/>
        <color theme="1"/>
        <rFont val="Arial Narrow"/>
        <family val="2"/>
      </rPr>
      <t>(Describa las acciones de autocontrol realizadas para mitigar el riesgo)</t>
    </r>
  </si>
  <si>
    <t>¿SE MATERIALIZÓ EL RIESGO?</t>
  </si>
  <si>
    <t>PLAN DE MANEJO Y/O MITIGACIÓN DEL RIESGO 
(Diligencie en caso de haberse materializado el riesgo)</t>
  </si>
  <si>
    <t>No</t>
  </si>
  <si>
    <t xml:space="preserve"> Describa brevemente el hecho y especifique el área y/o servicio en donde tuvo lugar</t>
  </si>
  <si>
    <r>
      <t xml:space="preserve">¿Cuántos hechos se presentaron?
</t>
    </r>
    <r>
      <rPr>
        <b/>
        <i/>
        <sz val="26"/>
        <color theme="1"/>
        <rFont val="Arial Narrow"/>
        <family val="2"/>
      </rPr>
      <t>(Descripción numérica)</t>
    </r>
  </si>
  <si>
    <t>Realizó Análisis 
Causa -Raiz</t>
  </si>
  <si>
    <t>Describa el Análisis Causa - Raíz.</t>
  </si>
  <si>
    <t>Acciones desarrolladas para 
mitigar el riesgo</t>
  </si>
  <si>
    <t xml:space="preserve">Plazo de ejecución </t>
  </si>
  <si>
    <t>Registros / Evidencias</t>
  </si>
  <si>
    <r>
      <t xml:space="preserve">SEGUIMIENTO DE CONTROLES - LÍDERES DE PROCESO
ACCIONES DE AUTOCONTROL
</t>
    </r>
    <r>
      <rPr>
        <b/>
        <i/>
        <sz val="26"/>
        <color theme="1"/>
        <rFont val="Arial Narrow"/>
        <family val="2"/>
      </rPr>
      <t>(Describa las acciones de control realizadas para mitigar el riesgo)</t>
    </r>
  </si>
  <si>
    <r>
      <t>¿Cuántos hechos se presentaron?
(</t>
    </r>
    <r>
      <rPr>
        <b/>
        <i/>
        <sz val="26"/>
        <color theme="1"/>
        <rFont val="Arial Narrow"/>
        <family val="2"/>
      </rPr>
      <t>Descripción numérica)</t>
    </r>
  </si>
  <si>
    <t>Acciones desarrolladas para mitigar el riesgo</t>
  </si>
  <si>
    <t>MATRIZ DE MONITOREO DE RIESGOS 2 CORTE 
(ABRIL - JUNIO)</t>
  </si>
  <si>
    <t>Realizó Análisis Causa -Raiz</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</si>
  <si>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</si>
  <si>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</si>
  <si>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</si>
  <si>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</si>
  <si>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</si>
  <si>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</si>
  <si>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</si>
  <si>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</si>
  <si>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</si>
  <si>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</si>
  <si>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</si>
  <si>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</si>
  <si>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</si>
  <si>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</si>
  <si>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</si>
  <si>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</si>
  <si>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</si>
  <si>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</si>
  <si>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</si>
  <si>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</si>
  <si>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</si>
  <si>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</si>
  <si>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</si>
  <si>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</si>
  <si>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</si>
  <si>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</si>
  <si>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</si>
  <si>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</si>
  <si>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</si>
  <si>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Describa el Análisis Causa - Raíz</t>
  </si>
  <si>
    <t>MATRIZ DE MONITOREO DE RIESGOS DE CORRUPCIÓN
 (ENERO - DICIEMBRE)</t>
  </si>
  <si>
    <t>MES DE REPORTE 
DEL MONITOREO</t>
  </si>
  <si>
    <r>
      <t xml:space="preserve">SEGUIMIENTO DE CONTROLES - LÍDERES DE PROCESO
ACCIONES DE AUTOCONTROL
</t>
    </r>
    <r>
      <rPr>
        <b/>
        <i/>
        <sz val="26"/>
        <color theme="1"/>
        <rFont val="Arial Narrow"/>
        <family val="2"/>
      </rPr>
      <t>(Describa las acciones de autocontrol realizadas para mitigar el riesgo)</t>
    </r>
  </si>
  <si>
    <t>Describa brevemente el hecho y especifique el área y/o servicio en donde tuvo lugar</t>
  </si>
  <si>
    <t>¿Realizó Análisis Causa -Raiz?</t>
  </si>
  <si>
    <t xml:space="preserve">Describa el Análisis Causa - Raíz. </t>
  </si>
  <si>
    <t>ENERO</t>
  </si>
  <si>
    <t>FEBRERO</t>
  </si>
  <si>
    <t>MARZO</t>
  </si>
  <si>
    <t>ABRIL</t>
  </si>
  <si>
    <t>MAYO</t>
  </si>
  <si>
    <t>JUNIO</t>
  </si>
  <si>
    <t>JULIO</t>
  </si>
  <si>
    <t>AGOSTO</t>
  </si>
  <si>
    <t>SEPTIEMBRE</t>
  </si>
  <si>
    <t>OCTUBRE</t>
  </si>
  <si>
    <t>NOVIEMBRE</t>
  </si>
  <si>
    <t>DICIEMBRE</t>
  </si>
  <si>
    <t>Tabla Criterios para definir el nivel de impacto</t>
  </si>
  <si>
    <t>Insignificante</t>
  </si>
  <si>
    <t>Menor</t>
  </si>
  <si>
    <t>Mayor</t>
  </si>
  <si>
    <t>Catastrófico</t>
  </si>
  <si>
    <t>Afectación Económica (o presupuestal)</t>
  </si>
  <si>
    <t>Pérdida Reputacional</t>
  </si>
  <si>
    <t>Leve 20%</t>
  </si>
  <si>
    <t xml:space="preserve">Afectación menor a 10 SMLMV </t>
  </si>
  <si>
    <t>El riesgo afecta la imagen de alguna área de la organización</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</si>
  <si>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</si>
  <si>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</si>
  <si>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</si>
  <si>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</si>
  <si>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</si>
  <si>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</si>
  <si>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 80%</t>
  </si>
  <si>
    <t xml:space="preserve">Entre 100 y 500 SMLMV </t>
  </si>
  <si>
    <t>El riesgo afecta la imagen de de la entidad con efecto publicitario sostenido a nivel de sector administrativo, nivel departamental o municipal</t>
  </si>
  <si>
    <t>Catastrófico 100%</t>
  </si>
  <si>
    <t xml:space="preserve">Mayor a 500 SMLMV </t>
  </si>
  <si>
    <t>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</si>
  <si>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</si>
  <si>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</si>
  <si>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</si>
  <si>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</si>
  <si>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</si>
  <si>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</si>
  <si>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</si>
  <si>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</si>
  <si>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</si>
  <si>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</si>
  <si>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</si>
  <si>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</si>
  <si>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</si>
  <si>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</si>
  <si>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</si>
  <si>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</si>
  <si>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</si>
  <si>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</si>
  <si>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</si>
  <si>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</si>
  <si>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</si>
  <si>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indexed="53"/>
        <rFont val="Arial Narrow"/>
        <family val="2"/>
      </rPr>
      <t>*</t>
    </r>
    <r>
      <rPr>
        <b/>
        <sz val="12"/>
        <rFont val="Arial Narrow"/>
        <family val="2"/>
      </rPr>
      <t>Atributos de</t>
    </r>
    <r>
      <rPr>
        <b/>
        <sz val="12"/>
        <color indexed="53"/>
        <rFont val="Arial Narrow"/>
        <family val="2"/>
      </rPr>
      <t xml:space="preserve"> </t>
    </r>
    <r>
      <rPr>
        <b/>
        <sz val="12"/>
        <color indexed="8"/>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</si>
  <si>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</si>
  <si>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</si>
  <si>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</si>
  <si>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</si>
  <si>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</si>
  <si>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</si>
  <si>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</si>
  <si>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</si>
  <si>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</si>
  <si>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</si>
  <si>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</si>
  <si>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</si>
  <si>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</si>
  <si>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indexed="53"/>
        <rFont val="Arial Narrow"/>
        <family val="2"/>
      </rPr>
      <t>*Nota 1:</t>
    </r>
    <r>
      <rPr>
        <sz val="12"/>
        <color indexed="8"/>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</si>
  <si>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IMPACTO</t>
  </si>
  <si>
    <t>CALIFICACIÓN DEL RIESGO</t>
  </si>
  <si>
    <t>CRITERIOS DE IMPACTO</t>
  </si>
  <si>
    <t>Económico</t>
  </si>
  <si>
    <t>Daños Activos Físicos</t>
  </si>
  <si>
    <t>Reputacional</t>
  </si>
  <si>
    <t>Ejecución y Administración de procesos</t>
  </si>
  <si>
    <t>Económico y Reputacional</t>
  </si>
  <si>
    <t>Talento Humano (Posibles comportamientos no éticos de los funcionarios)</t>
  </si>
  <si>
    <t>Fallas Tecnológicas</t>
  </si>
  <si>
    <t>Fraude Externo</t>
  </si>
  <si>
    <t>Fraude Interno</t>
  </si>
  <si>
    <t>Relaciones Laborales</t>
  </si>
  <si>
    <t>Usuarios, productos y practicas , organizacionales</t>
  </si>
  <si>
    <t>Pérdida Reputacional.</t>
  </si>
  <si>
    <t>Seguridad Digital</t>
  </si>
  <si>
    <t>Pérdida de Disponibilidad</t>
  </si>
  <si>
    <t>Pérdida de Confidencialidad</t>
  </si>
  <si>
    <t>Pérdida de la Integridad</t>
  </si>
  <si>
    <t>OPCIONES DE TRATAMIENTO</t>
  </si>
  <si>
    <t>PLAN DE ACCIÓN (SOLO PARA LA OPCIÓN DE REDUCIR)</t>
  </si>
  <si>
    <t>EL RIESGO SE MATERIALIZÓ</t>
  </si>
  <si>
    <t>Aceptar</t>
  </si>
  <si>
    <t>Finalizado</t>
  </si>
  <si>
    <t>SI</t>
  </si>
  <si>
    <t>Evitar</t>
  </si>
  <si>
    <t>En curso</t>
  </si>
  <si>
    <t>NO</t>
  </si>
  <si>
    <t>Reducir (compartir)</t>
  </si>
  <si>
    <t>Reducir (mitigar)</t>
  </si>
  <si>
    <t>REALIZÓ ANÁLISIS CAUSA - RAÍZ</t>
  </si>
  <si>
    <t>PROCESOS</t>
  </si>
  <si>
    <t>Gerencia y Buen Gobierno</t>
  </si>
  <si>
    <t>Planeación</t>
  </si>
  <si>
    <t>Tecnologías de la Información</t>
  </si>
  <si>
    <t>Comunicaciones y Atención al Usuario</t>
  </si>
  <si>
    <t>Gestión Apoyo Asistencial y Farmacéutico</t>
  </si>
  <si>
    <t>Plan de acción (solo para la opción reducir)</t>
  </si>
  <si>
    <t>Atención Ambulatoria</t>
  </si>
  <si>
    <t>Atención Hospitalaria</t>
  </si>
  <si>
    <t>Gestión del Conocimiento</t>
  </si>
  <si>
    <t>Gestión Humana</t>
  </si>
  <si>
    <t>Gestión Jurídica</t>
  </si>
  <si>
    <t>Gestión Logística</t>
  </si>
  <si>
    <t>Gestión de Adquisiciones</t>
  </si>
  <si>
    <t>Gestión Financiera</t>
  </si>
  <si>
    <t>Gestión Documental</t>
  </si>
  <si>
    <t>Evaluación, mejoramiento y seguimiento</t>
  </si>
  <si>
    <t>Registro Sustancial</t>
  </si>
  <si>
    <t>Registro Material</t>
  </si>
  <si>
    <t>Sin registro</t>
  </si>
  <si>
    <t>Reducir</t>
  </si>
  <si>
    <t>Informe de compatibilidad para Mapa de Riesgos HOMIL V3.xls</t>
  </si>
  <si>
    <t>Ejecutar el 11/08/2021 9:44</t>
  </si>
  <si>
    <t>Si el libro se guarda o se abre en un formato de archivo de una versión anterior de Microsoft Excel, las características indicadas no estarán disponibles.</t>
  </si>
  <si>
    <t>Pérdida significativa de funcionalidad</t>
  </si>
  <si>
    <t>Nº de apariciones</t>
  </si>
  <si>
    <t>Versión</t>
  </si>
  <si>
    <t>Una o varias funciones del libro no están disponibles en versiones anteriores a Excel 2007. Al volver a calcularlas en versiones anteriores, estas funciones devolverán un error #NAME? en lugar de los resultados actuales.</t>
  </si>
  <si>
    <t>Mapa final'!Z10:AA10</t>
  </si>
  <si>
    <t>Excel 97-2003</t>
  </si>
  <si>
    <t>Mapa final'!AC10:AE10</t>
  </si>
  <si>
    <t>Mapa final'!Z11:AA11</t>
  </si>
  <si>
    <t>Mapa final'!AC11:AE11</t>
  </si>
  <si>
    <t>Mapa final'!Z12:AA12</t>
  </si>
  <si>
    <t>Mapa final'!AC12:AE12</t>
  </si>
  <si>
    <t>Mapa final'!Z13:AA13</t>
  </si>
  <si>
    <t>Mapa final'!AC13:AE13</t>
  </si>
  <si>
    <t>Mapa final'!Z14:AA14</t>
  </si>
  <si>
    <t>Mapa final'!AC14:AE14</t>
  </si>
  <si>
    <t>Mapa final'!Z15:AA15</t>
  </si>
  <si>
    <t>Mapa final'!AC15:AE15</t>
  </si>
  <si>
    <t>Mapa final'!Z16:AA16</t>
  </si>
  <si>
    <t>Mapa final'!AC16:AE16</t>
  </si>
  <si>
    <t>Mapa final'!Z17:AA17</t>
  </si>
  <si>
    <t>Mapa final'!AC17:AE17</t>
  </si>
  <si>
    <t>Mapa final'!Z18:AA18</t>
  </si>
  <si>
    <t>Mapa final'!AC18:AE18</t>
  </si>
  <si>
    <t>Mapa final'!Z19:AA19</t>
  </si>
  <si>
    <t>Mapa final'!AC19:AE19</t>
  </si>
  <si>
    <t>Mapa final'!Z20:AA20</t>
  </si>
  <si>
    <t>Mapa final'!AC20:AE20</t>
  </si>
  <si>
    <t>Mapa final'!Z21:AA21</t>
  </si>
  <si>
    <t>Mapa final'!AC21:AE21</t>
  </si>
  <si>
    <t>Mapa final'!Z22:AA22</t>
  </si>
  <si>
    <t>Mapa final'!AC22:AE22</t>
  </si>
  <si>
    <t>Mapa final'!Z23:AA23</t>
  </si>
  <si>
    <t>Mapa final'!AC23:AE23</t>
  </si>
  <si>
    <t>Mapa final'!Z24:AA24</t>
  </si>
  <si>
    <t>Mapa final'!AC24:AE24</t>
  </si>
  <si>
    <t>Mapa final'!Z25:AA25</t>
  </si>
  <si>
    <t>Mapa final'!AC25:AE25</t>
  </si>
  <si>
    <t>Mapa final'!Z26:AA26</t>
  </si>
  <si>
    <t>Mapa final'!AC26:AE26</t>
  </si>
  <si>
    <t>Mapa final'!Z27:AA27</t>
  </si>
  <si>
    <t>Mapa final'!AC27:AE27</t>
  </si>
  <si>
    <t>Mapa final'!Z28:AA28</t>
  </si>
  <si>
    <t>Mapa final'!AC28:AE28</t>
  </si>
  <si>
    <t>Mapa final'!Z29:AA29</t>
  </si>
  <si>
    <t>Mapa final'!AC29:AE29</t>
  </si>
  <si>
    <t>Mapa final'!Z30:AA30</t>
  </si>
  <si>
    <t>Mapa final'!AC30:AE30</t>
  </si>
  <si>
    <t>Mapa final'!Z31:AA31</t>
  </si>
  <si>
    <t>Mapa final'!AC31:AE31</t>
  </si>
  <si>
    <t>Mapa final'!Z32:AA32</t>
  </si>
  <si>
    <t>Mapa final'!AC32:AE32</t>
  </si>
  <si>
    <t>Mapa final'!Z33:AA33</t>
  </si>
  <si>
    <t>Mapa final'!AC33:AE33</t>
  </si>
  <si>
    <t>Mapa final'!Z34:AA34</t>
  </si>
  <si>
    <t>Mapa final'!AC34:AE34</t>
  </si>
  <si>
    <t>Mapa final'!Z35:AA35</t>
  </si>
  <si>
    <t>Mapa final'!AC35:AE35</t>
  </si>
  <si>
    <t>Mapa final'!Z36:AA36</t>
  </si>
  <si>
    <t>Mapa final'!AC36:AE36</t>
  </si>
  <si>
    <t>Mapa final'!Z37:AA37</t>
  </si>
  <si>
    <t>Mapa final'!AC37:AE37</t>
  </si>
  <si>
    <t>Mapa final'!Z38:AA38</t>
  </si>
  <si>
    <t>Mapa final'!AC38:AE38</t>
  </si>
  <si>
    <t>Mapa final'!Z39:AA39</t>
  </si>
  <si>
    <t>Mapa final'!AC39:AE39</t>
  </si>
  <si>
    <t>Mapa final'!Z40:AA40</t>
  </si>
  <si>
    <t>Mapa final'!AC40:AE40</t>
  </si>
  <si>
    <t>Mapa final'!Z41:AA41</t>
  </si>
  <si>
    <t>Mapa final'!AC41:AE41</t>
  </si>
  <si>
    <t>Mapa final'!Z42:AA42</t>
  </si>
  <si>
    <t>Mapa final'!AC42:AE42</t>
  </si>
  <si>
    <t>Mapa final'!Z43:AA43</t>
  </si>
  <si>
    <t>Mapa final'!AC43:AE43</t>
  </si>
  <si>
    <t>Mapa final'!Z44:AA44</t>
  </si>
  <si>
    <t>Mapa final'!AC44:AE44</t>
  </si>
  <si>
    <t>Mapa final'!Z45:AA45</t>
  </si>
  <si>
    <t>Mapa final'!AC45:AE45</t>
  </si>
  <si>
    <t>Mapa final'!Z46:AA46</t>
  </si>
  <si>
    <t>Mapa final'!AC46:AE46</t>
  </si>
  <si>
    <t>Mapa final'!Z47:AA47</t>
  </si>
  <si>
    <t>Mapa final'!AC47:AE47</t>
  </si>
  <si>
    <t>Mapa final'!Z48:AA48</t>
  </si>
  <si>
    <t>Mapa final'!AC48:AE48</t>
  </si>
  <si>
    <t>Mapa final'!Z49:AA49</t>
  </si>
  <si>
    <t>Mapa final'!AC49:AE49</t>
  </si>
  <si>
    <t>Mapa final'!Z50:AA50</t>
  </si>
  <si>
    <t>Mapa final'!AC50:AE50</t>
  </si>
  <si>
    <t>Mapa final'!Z51:AA51</t>
  </si>
  <si>
    <t>Mapa final'!AC51:AE51</t>
  </si>
  <si>
    <t>Mapa final'!Z52:AA52</t>
  </si>
  <si>
    <t>Mapa final'!AC52:AE52</t>
  </si>
  <si>
    <t>Mapa final'!Z53:AA53</t>
  </si>
  <si>
    <t>Mapa final'!AC53:AE53</t>
  </si>
  <si>
    <t>Mapa final'!Z54:AA54</t>
  </si>
  <si>
    <t>Mapa final'!AC54:AE54</t>
  </si>
  <si>
    <t>Mapa final'!Z55:AA55</t>
  </si>
  <si>
    <t>Mapa final'!AC55:AE55</t>
  </si>
  <si>
    <t>Mapa final'!Z56:AA56</t>
  </si>
  <si>
    <t>Mapa final'!AC56:AE56</t>
  </si>
  <si>
    <t>Mapa final'!Z57:AA57</t>
  </si>
  <si>
    <t>Mapa final'!AC57:AE57</t>
  </si>
  <si>
    <t>Mapa final'!Z58:AA58</t>
  </si>
  <si>
    <t>Mapa final'!AC58:AE58</t>
  </si>
  <si>
    <t>Mapa final'!Z59:AA59</t>
  </si>
  <si>
    <t>Mapa final'!AC59:AE59</t>
  </si>
  <si>
    <t>Mapa final'!Z60:AA60</t>
  </si>
  <si>
    <t>Mapa final'!AC60:AE60</t>
  </si>
  <si>
    <t>Mapa final'!Z61:AA61</t>
  </si>
  <si>
    <t>Mapa final'!AC61:AE61</t>
  </si>
  <si>
    <t>Mapa final'!Z62:AA62</t>
  </si>
  <si>
    <t>Mapa final'!AC62:AE62</t>
  </si>
  <si>
    <t>Mapa final'!Z63:AA63</t>
  </si>
  <si>
    <t>Mapa final'!AC63:AE63</t>
  </si>
  <si>
    <t>Mapa final'!Z64:AA64</t>
  </si>
  <si>
    <t>Mapa final'!AC64:AE64</t>
  </si>
  <si>
    <t>Mapa final'!Z65:AA65</t>
  </si>
  <si>
    <t>Mapa final'!AC65:AE65</t>
  </si>
  <si>
    <t>Mapa final'!Z66:AA66</t>
  </si>
  <si>
    <t>Mapa final'!AC66:AE66</t>
  </si>
  <si>
    <t>Mapa final'!Z67:AA67</t>
  </si>
  <si>
    <t>Mapa final'!AC67:AE67</t>
  </si>
  <si>
    <t>Mapa final'!Z68:AA68</t>
  </si>
  <si>
    <t>Mapa final'!AC68:AE68</t>
  </si>
  <si>
    <t>Mapa final'!Z69:AA69</t>
  </si>
  <si>
    <t>Mapa final'!AC69:AE69</t>
  </si>
  <si>
    <t>Algunas celdas contienen más formatos condicionales de los admitidos en el formato de archivo seleccionado. En las versiones anteriores de Microsoft Excel solamente se mostrarán las tres primeras condiciones.</t>
  </si>
  <si>
    <t>Mapa final'!J10</t>
  </si>
  <si>
    <t>Mapa final'!J16</t>
  </si>
  <si>
    <t>Mapa final'!N10</t>
  </si>
  <si>
    <t>Mapa final'!N22</t>
  </si>
  <si>
    <t>Mapa final'!N28</t>
  </si>
  <si>
    <t>Mapa final'!N34</t>
  </si>
  <si>
    <t>Mapa final'!N40</t>
  </si>
  <si>
    <t>Mapa final'!N46</t>
  </si>
  <si>
    <t>Mapa final'!N52</t>
  </si>
  <si>
    <t>Mapa final'!N58</t>
  </si>
  <si>
    <t>Mapa final'!N64</t>
  </si>
  <si>
    <t>Mapa final'!N16</t>
  </si>
  <si>
    <t>Mapa final'!P10</t>
  </si>
  <si>
    <t>Mapa final'!P22</t>
  </si>
  <si>
    <t>Mapa final'!P28</t>
  </si>
  <si>
    <t>Mapa final'!P34</t>
  </si>
  <si>
    <t>Mapa final'!P40</t>
  </si>
  <si>
    <t>Mapa final'!P46</t>
  </si>
  <si>
    <t>Mapa final'!P52</t>
  </si>
  <si>
    <t>Mapa final'!P58</t>
  </si>
  <si>
    <t>Mapa final'!P64</t>
  </si>
  <si>
    <t>Mapa final'!P16</t>
  </si>
  <si>
    <t>Mapa final'!AA10:AA69</t>
  </si>
  <si>
    <t>Mapa final'!AC10:AC69</t>
  </si>
  <si>
    <t>Mapa final'!AE10:AE69</t>
  </si>
  <si>
    <t>Mapa final'!J58</t>
  </si>
  <si>
    <t>Mapa final'!J22</t>
  </si>
  <si>
    <t>Mapa final'!J28</t>
  </si>
  <si>
    <t>Mapa final'!J34</t>
  </si>
  <si>
    <t>Mapa final'!J40</t>
  </si>
  <si>
    <t>Mapa final'!J46</t>
  </si>
  <si>
    <t>Mapa final'!J52</t>
  </si>
  <si>
    <t>Mapa final'!J64</t>
  </si>
  <si>
    <t>Algunas celdas contienen formato condicional con la opción 'Detener si es verdad' desactivada. Las versiones anteriores de Excel no reconocen esta opción y se detendrán después de la primera condición verdadera.</t>
  </si>
  <si>
    <t>Mapa final'!J10:J16</t>
  </si>
  <si>
    <t>Mapa final'!N10:N64</t>
  </si>
  <si>
    <t>Mapa final'!P10:P64</t>
  </si>
  <si>
    <t>Mapa final'!M10:M69</t>
  </si>
  <si>
    <t xml:space="preserve">Algunas celdas de este libro contienen reglas de validación de datos que hacen referencia a valores en otras hojas de cálculo. Estas reglas no se guardarán. </t>
  </si>
  <si>
    <t>Mapa final'!B10:B15</t>
  </si>
  <si>
    <t>Mapa final'!D10:D15</t>
  </si>
  <si>
    <t>Mapa final'!H10:H15</t>
  </si>
  <si>
    <t>Mapa final'!L10:L15</t>
  </si>
  <si>
    <t>Tabla Impacto'!G210</t>
  </si>
  <si>
    <t>Pérdida menor de fidelidad</t>
  </si>
  <si>
    <t>Hay un estilo de tabla aplicado a una tabla de este libro. El formato de estilo de tabla no se puede mostrar en versiones anteriores de Excel.</t>
  </si>
  <si>
    <t>Tabla Impacto'!B209:C219</t>
  </si>
  <si>
    <t>Hay un estilo de tabla dinámica aplicado a una tabla dinámica de este libro. El formato de estilo de tabla dinámica no se puede mostrar en versiones anteriores de Excel.</t>
  </si>
  <si>
    <t>Tabla Impacto'!D209:E221</t>
  </si>
  <si>
    <t>Este libro contiene una tabla dinámica que no funcionará en versiones anteriores a Excel 2007. Para que las tablas dinámicas funcionen en versiones anteriores de Excel, deben estar creadas en el modo de compatibilidad.</t>
  </si>
  <si>
    <t>Algunas celdas o estilos de este libro contienen un formato no admitido en el formato de archivo seleccionado. Estos formatos se convertirán al formato más cercano disponible.</t>
  </si>
  <si>
    <t>Salud</t>
  </si>
  <si>
    <t>Fiscal</t>
  </si>
  <si>
    <t>Actuarial</t>
  </si>
  <si>
    <t>Crédito</t>
  </si>
  <si>
    <t>Liquidez</t>
  </si>
  <si>
    <t>Sarlaft</t>
  </si>
  <si>
    <r>
      <rPr>
        <b/>
        <sz val="16"/>
        <color indexed="53"/>
        <rFont val="Arial Narrow"/>
        <family val="2"/>
      </rPr>
      <t xml:space="preserve">*Nota: </t>
    </r>
    <r>
      <rPr>
        <sz val="16"/>
        <color indexed="8"/>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</si>
  <si>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GBG_02</t>
  </si>
  <si>
    <t>Gestión Ética y Buen Gobierno
Administración de Personal
Selección y Contratación
Gestión Contratos</t>
  </si>
  <si>
    <t>Multas y Sanciones</t>
  </si>
  <si>
    <t>Vinculación de personas naturales y/o jurídicas, sin considerar los lineamientos contemplados relacionados con conflictos de interés. (Política de Integridad)</t>
  </si>
  <si>
    <r>
      <t xml:space="preserve">Posibilidad de afectación económica y reputacional por </t>
    </r>
    <r>
      <rPr>
        <u/>
        <sz val="16"/>
        <rFont val="Arial Narrow"/>
        <family val="2"/>
      </rPr>
      <t>multas y sanciones</t>
    </r>
    <r>
      <rPr>
        <sz val="16"/>
        <rFont val="Arial Narrow"/>
        <family val="2"/>
      </rPr>
      <t xml:space="preserve">, debido a la </t>
    </r>
    <r>
      <rPr>
        <u/>
        <sz val="16"/>
        <rFont val="Arial Narrow"/>
        <family val="2"/>
      </rPr>
      <t>vinculación de personas naturales y/o jurídicas, sin considerar los lineamientos contemplados relacionados con conflictos de interés</t>
    </r>
    <r>
      <rPr>
        <sz val="16"/>
        <rFont val="Arial Narrow"/>
        <family val="2"/>
      </rPr>
      <t>. (Política de Integridad).</t>
    </r>
  </si>
  <si>
    <t>N/A</t>
  </si>
  <si>
    <r>
      <rPr>
        <sz val="16"/>
        <rFont val="Arial Narrow"/>
        <family val="2"/>
      </rPr>
      <t>El profesional del área de Administración de personal, junto con el responsable de Selección y contratación de personal y el profesional</t>
    </r>
    <r>
      <rPr>
        <sz val="16"/>
        <color theme="1"/>
        <rFont val="Arial Narrow"/>
        <family val="2"/>
      </rPr>
      <t xml:space="preserve"> del área de Gestión contratos, garantizan cada vez que se requiere, el cumplimiento de la ley que exige el diligenciamiento del formato declaración de bienes y rentas y declaración de conflicto de interés y/o aplicativos de Ley 2013 de 2019, con el fin de acatar las disposiciones normativas vigentes. </t>
    </r>
  </si>
  <si>
    <t>El profesional del área de Administración de personal, junto con el responsable de Selección y contratación de personal y el profesional del área de Gestión contratos, verifican la información registrada en el  formato declaración de bienes y rentas y declaración de conflicto de interés y/o aplicativos de Ley 2013 de 2019 y posteriormente es actualizada la información en el aplicativo SIGEP.</t>
  </si>
  <si>
    <t>GBG_03</t>
  </si>
  <si>
    <t xml:space="preserve">Gestión Ética y Buen Gobierno
Responsables de los Grupos de trabajo
Presidentes de los comités institucionales. </t>
  </si>
  <si>
    <t>Demandas Legales y Sanciones</t>
  </si>
  <si>
    <t>Omitir la declaración de impedimento o recusación ante la posibilidad real o aparente de un conflicto de interés.</t>
  </si>
  <si>
    <r>
      <t xml:space="preserve">Posibilidad de afectación económica y reputacional por </t>
    </r>
    <r>
      <rPr>
        <u/>
        <sz val="16"/>
        <rFont val="Arial Narrow"/>
        <family val="2"/>
      </rPr>
      <t>demandas legales y sanciones</t>
    </r>
    <r>
      <rPr>
        <sz val="16"/>
        <rFont val="Arial Narrow"/>
        <family val="2"/>
      </rPr>
      <t xml:space="preserve">, debido a la </t>
    </r>
    <r>
      <rPr>
        <u/>
        <sz val="16"/>
        <rFont val="Arial Narrow"/>
        <family val="2"/>
      </rPr>
      <t>omisiòn de la declaración de impedimento o recusación ante la posibilidad real o aparente de un conflicto de interés</t>
    </r>
    <r>
      <rPr>
        <sz val="16"/>
        <rFont val="Arial Narrow"/>
        <family val="2"/>
      </rPr>
      <t>.</t>
    </r>
  </si>
  <si>
    <t xml:space="preserve">Los responsables de los grupos de trabajo realizan cada vez que se requiera el seguimiento a la presentación de posibles situaciones de conflicto de interés o recusación, con el fin de mitigar el riesgo. Realizan reporte trimestral al Grupo de integridad. </t>
  </si>
  <si>
    <t>Los presidentes o secretarios de los comités institucionales incluyen en el orden del día cada vez que se requiera, la pregunta sobre posible declaración de conflicto de interés o recusación a los miembros de cada comité, con el fin de mitigar el riesgo. Lo registran en actas y realizan reporte trimestral al Grupo Gestor de Integridad.</t>
  </si>
  <si>
    <t>40%</t>
  </si>
  <si>
    <t>OAP_01</t>
  </si>
  <si>
    <t xml:space="preserve">Oficina Asesora de Planeación </t>
  </si>
  <si>
    <t>No prestación en la atención integral de los servicios de salud a los usuarios del Subsistema de las Fuerzas Militares.</t>
  </si>
  <si>
    <t>Inadecuada identificación de necesidades para la adquisición de bienes y/o servicios.</t>
  </si>
  <si>
    <r>
      <t xml:space="preserve">Posibilidad de afectación económica por la </t>
    </r>
    <r>
      <rPr>
        <u/>
        <sz val="16"/>
        <rFont val="Arial Narrow"/>
        <family val="2"/>
      </rPr>
      <t>no prestación integral de los servicios de salud a los usuarios del  HOMIL</t>
    </r>
    <r>
      <rPr>
        <sz val="16"/>
        <rFont val="Arial Narrow"/>
        <family val="2"/>
      </rPr>
      <t xml:space="preserve">,  debido a la </t>
    </r>
    <r>
      <rPr>
        <u/>
        <sz val="16"/>
        <rFont val="Arial Narrow"/>
        <family val="2"/>
      </rPr>
      <t>inadecuada identificación de necesidades para la adquisición de bienes y/o servicios</t>
    </r>
    <r>
      <rPr>
        <sz val="16"/>
        <rFont val="Arial Narrow"/>
        <family val="2"/>
      </rPr>
      <t>.</t>
    </r>
  </si>
  <si>
    <t>El profesional de la Oficina Asesora de Planeación elabora la directiva y envía formato del Plan de Adquisiciones de manera anual a los Subdirectores, jefes de unidad, jefes de Oficina y demás responsables de áreas o servicios, con el fin de emitir los lineamientos para identificación y consolidación de necesidades de bienes y/o servicios a contratar en la siguiente vigencia.</t>
  </si>
  <si>
    <t>El profesional de la Oficina Asesora de Planeación desarrolla de manera anual mesas de trabajo con jefes de unidad, jefes de oficina y demás responsables de áreas y servicios, según cronograma establecido en la directiva del Plan anual de Adquisiciones, para realizar divulgación de los lineamientos definidos y brindar acompañamiento en la identificación y diligenciamiento de los formatos solicitados, así como para la validación y aprobación de las necesidades proyectadas por cada una de las unidades por parte de los Subdirectores.</t>
  </si>
  <si>
    <t>El profesional de la Oficina Asesora de Planeación convoca al Comité Institucional de Gestión y Desempeño de manera anual, para la presentación de la desagregación presupuestal según Decreto de Liquidación de la vigencia y aprobación del Plan de Adquisiciones consolidado.</t>
  </si>
  <si>
    <t>documentado</t>
  </si>
  <si>
    <t>Realización de mesa de trabajo para la Socialización de la Directiva y diligenciamiento del formato de requerimientos del Plan Anual de Adquisiciones</t>
  </si>
  <si>
    <t>Andrea Polanía González</t>
  </si>
  <si>
    <t>04 de Octubre</t>
  </si>
  <si>
    <t>Acta de reunión, listado de asistencia, envío de correo electrónico con documentos presentados en la socialización</t>
  </si>
  <si>
    <t>Realización de mesas de trabajo adicionales, para aquellas áreas y/o servicios en los que se hace necesario validar de manera detallada la información remitida o re-valiar requerimientos planteados</t>
  </si>
  <si>
    <t>30 de noviembre</t>
  </si>
  <si>
    <t>Acta de reunión, listado de asistencia, envío de correo electrónico con solicitud de ajustes</t>
  </si>
  <si>
    <t>OAP_02</t>
  </si>
  <si>
    <t xml:space="preserve">Multas, sanciones por parte de entes de control y desconfianza por parte de la ciudadanía, grupos de valor, usuarios internos y externos. </t>
  </si>
  <si>
    <t>Fallas en la verificación de la información reportada en el aplicativo (Suite Visión Empresarial) y errores en la transcripción y procesamiento de datos.</t>
  </si>
  <si>
    <r>
      <t xml:space="preserve">Posibilidad de afectación económica y reputacional por </t>
    </r>
    <r>
      <rPr>
        <u/>
        <sz val="16"/>
        <rFont val="Arial Narrow"/>
        <family val="2"/>
      </rPr>
      <t>multas, sanciones por parte de entes de control y desconfianza por parte de la ciudadanía, grupos de valor, usuarios internos y externos</t>
    </r>
    <r>
      <rPr>
        <sz val="16"/>
        <rFont val="Arial Narrow"/>
        <family val="2"/>
      </rPr>
      <t xml:space="preserve">, debido a </t>
    </r>
    <r>
      <rPr>
        <u/>
        <sz val="16"/>
        <rFont val="Arial Narrow"/>
        <family val="2"/>
      </rPr>
      <t>fallas en la verificación de la información reportada en el aplicativo (Suite Visión Empresarial) y errores en la transcripción y procesamiento de datos</t>
    </r>
    <r>
      <rPr>
        <sz val="16"/>
        <rFont val="Arial Narrow"/>
        <family val="2"/>
      </rPr>
      <t>.</t>
    </r>
  </si>
  <si>
    <t xml:space="preserve">El profesional de la Oficina Asesora de Planeación realiza trimestralmente la verificación de datos de los indicadores estratégicos, comparando lo reportado en el aplicativo (Suite Visión Empresarial) Vs el formato PL-OAPL-PR-09-FT-02, con el fin de cotejar la información suministrada por parte de las dependencias. </t>
  </si>
  <si>
    <t>El profesional de la Oficina Asesora de Planeación realiza mesas de trabajo de manera trimestral con subdirectores y jefes de unidad, con el fin de validar y verificar los resultados obtenidos en los indicadores y actividades estratégicas que conforman el Plan de Acción Institucional.</t>
  </si>
  <si>
    <t>30%</t>
  </si>
  <si>
    <t>OAP_03</t>
  </si>
  <si>
    <t>Pérdida de credibilidad y desconfianza por parte de la ciudadanía, grupos de valor y usuarios internos y externos.</t>
  </si>
  <si>
    <t xml:space="preserve">Respuestas inexactas  o sin soportes en el Formulario Único de Avances de la Gestión - FURAG, por parte de las áreas y servicios de la entidad.  </t>
  </si>
  <si>
    <r>
      <t xml:space="preserve">Posibilidad de afectación reputacional por </t>
    </r>
    <r>
      <rPr>
        <u/>
        <sz val="16"/>
        <rFont val="Arial Narrow"/>
        <family val="2"/>
      </rPr>
      <t>pérdida de credibilidad y desconfianza por parte de la ciudadanía, grupos de valor y usuarios internos y externos</t>
    </r>
    <r>
      <rPr>
        <sz val="16"/>
        <rFont val="Arial Narrow"/>
        <family val="2"/>
      </rPr>
      <t xml:space="preserve">, debido a </t>
    </r>
    <r>
      <rPr>
        <u/>
        <sz val="16"/>
        <rFont val="Arial Narrow"/>
        <family val="2"/>
      </rPr>
      <t>respuestas inexactas  o sin soportes en el Formulario Único de Avances de la Gestión - FURAG</t>
    </r>
    <r>
      <rPr>
        <sz val="16"/>
        <rFont val="Arial Narrow"/>
        <family val="2"/>
      </rPr>
      <t>, por parte de las áreas y servicios de la entidad.</t>
    </r>
  </si>
  <si>
    <t>El profesional de la Oficina Asesora de Planeación envía anualmente vía correo electrónico el Formulario Único de Reporte de Avances de la Gestión - Furag de la vigencia evaluada a los Jefes de Unidad, líderes de proceso y demás responsables del diligenciamiento del furag, con el fin de revisar y dar repuesta según corresponda a cada una de las diferentes políticas del Modelo Integrado de Planeación y Gestión.</t>
  </si>
  <si>
    <t>Los Jefes de Unidad, Líderes de Proceso y demás responsables del reporte del Formulario Único de Reporte de Avances de la Gestión, envían anualmente al Profesional de la Oficina Asesora de Planeación el Furag diligenciado según corresponda, junto con los soportes de respuesta de cada pregunta, con el fin de garantizar el total diligenciamiento y cumplimiento a la normatividad legal vigente aplicable a la entidad.</t>
  </si>
  <si>
    <t>El profesional de la Oficina Asesora de Planeación, diligencia anualmente la herramienta el línea del Formulario Único de Avances de la Gestión - FURAG, con el fin de dar cumplimiento a la normatividad vigente aplicable a la entidad.</t>
  </si>
  <si>
    <t>Validación de preguntas FURAG Vs soportes y/o evidencias entregados por los Jefes de Unidad y/o Jefes de Oficina.</t>
  </si>
  <si>
    <t>Nicolás Corredor Ramírez</t>
  </si>
  <si>
    <t>30 de Junio</t>
  </si>
  <si>
    <t>Repositorio Documental
(GoogleDrive)</t>
  </si>
  <si>
    <t>OAP_04</t>
  </si>
  <si>
    <t>Gestión de Calidad</t>
  </si>
  <si>
    <t>Desarticulación de las partes interesadas en el desarrollo e implementación del sistema de gestión basado en procesos</t>
  </si>
  <si>
    <t xml:space="preserve">Inadecuada administración
 del sistema de gestión de calidad.
(Planificación  de los procesos).
</t>
  </si>
  <si>
    <r>
      <t xml:space="preserve">Posibilidad de afectación económica y reputacional por </t>
    </r>
    <r>
      <rPr>
        <u/>
        <sz val="16"/>
        <rFont val="Arial Narrow"/>
        <family val="2"/>
      </rPr>
      <t>desarticulación de las partes interesadas en el desarrollo e implementación del sistema de gestión basado en procesos</t>
    </r>
    <r>
      <rPr>
        <sz val="16"/>
        <rFont val="Arial Narrow"/>
        <family val="2"/>
      </rPr>
      <t xml:space="preserve">, debido a la </t>
    </r>
    <r>
      <rPr>
        <u/>
        <sz val="16"/>
        <rFont val="Arial Narrow"/>
        <family val="2"/>
      </rPr>
      <t>no implantación de  los sistemas de gestión de calidad en la organización</t>
    </r>
    <r>
      <rPr>
        <sz val="16"/>
        <rFont val="Arial Narrow"/>
        <family val="2"/>
      </rPr>
      <t>.
Planificación  de los procesos.</t>
    </r>
  </si>
  <si>
    <t>El profesional del área de calidad verifica de manera mensual y trimestral el estado de vigencia de los documentos, realiza seguimiento a la implementación de los diferentes sistemas adoptados en la entidad y seguimiento a las acciones de mejora generadas en el sistema de gestión retroalimentando los resultados con el propósito de mantener articulado el sistema de gestión.
(Informe mensual de Documentos e indicador de proporción de actualización de documentos que componen SIG).</t>
  </si>
  <si>
    <t>El profesional del área de Calidad realiza mensualmente capacitaciones y socializaciones a las diferentes áreas de la entidad, con el fin de fortalecer el acompañamiento metodológico  requerido por las áreas. 
(Seguimiento a la implementación de los diferentes sistemas adoptados en la entidad y seguimiento a las acciones de mejora generadas se reporta con un informe de seguimiento de habilitación, BPE, BPM  estas últimas son de gases medicinales)</t>
  </si>
  <si>
    <t>OAP_05</t>
  </si>
  <si>
    <t>Incumplimiento normativo, multas y sanciones por parte de entes de control.</t>
  </si>
  <si>
    <t>Atenciones inseguras que generan percepción desfavorable de la entidad a los usuarios y los entes reguladores</t>
  </si>
  <si>
    <r>
      <t xml:space="preserve">Posibilidad de afectación económica y reputacional por </t>
    </r>
    <r>
      <rPr>
        <u/>
        <sz val="16"/>
        <rFont val="Arial Narrow"/>
        <family val="2"/>
      </rPr>
      <t>incumplimiento normativo, multas y sanciones por parte de entes de control</t>
    </r>
    <r>
      <rPr>
        <sz val="16"/>
        <rFont val="Arial Narrow"/>
        <family val="2"/>
      </rPr>
      <t xml:space="preserve">, debido a </t>
    </r>
    <r>
      <rPr>
        <u/>
        <sz val="16"/>
        <rFont val="Arial Narrow"/>
        <family val="2"/>
      </rPr>
      <t>atenciones inseguras que generan percepción desfavorable de la entidad a los usuarios y los entes reguladores</t>
    </r>
    <r>
      <rPr>
        <sz val="16"/>
        <rFont val="Arial Narrow"/>
        <family val="2"/>
      </rPr>
      <t xml:space="preserve">.
</t>
    </r>
  </si>
  <si>
    <t xml:space="preserve">El profesional del área de calidad, realiza semanalmente rondas de seguridad y aplicación de herramientas de evaluación de adherencia, con el fin de aplicar insumos metodológicos para fortalecer la cultura de seguridad en las diferentes áreas. </t>
  </si>
  <si>
    <t>El profesional del área de calidad, realiza trimestralmente capacitación en los paquetes instruccionales al personal asistencial y administrativo, con el fin de evaluar los resultados de la gestión segura en el Comité de seguridad del paciente.</t>
  </si>
  <si>
    <t>TIN_01</t>
  </si>
  <si>
    <t>Infraestructura y comunicaciones.
Gestión de Movilidad y Aplicaciones.
Mesa de Servicio de Tecnologías de la Información.</t>
  </si>
  <si>
    <t>Registro inoportuno en la Historia Clinica  del estado de salud y la atención brindada.</t>
  </si>
  <si>
    <t>Interrupción en la prestación de los servicios tecnológicos de la entidad.</t>
  </si>
  <si>
    <r>
      <t xml:space="preserve">Posibilidad de afectación económica y reputacional por </t>
    </r>
    <r>
      <rPr>
        <u/>
        <sz val="16"/>
        <rFont val="Arial Narrow"/>
        <family val="2"/>
      </rPr>
      <t>registro inoportuno en la Historia Clinica  del estado de salud y la atención brindada</t>
    </r>
    <r>
      <rPr>
        <sz val="16"/>
        <rFont val="Arial Narrow"/>
        <family val="2"/>
      </rPr>
      <t xml:space="preserve">, debido a la </t>
    </r>
    <r>
      <rPr>
        <u/>
        <sz val="16"/>
        <rFont val="Arial Narrow"/>
        <family val="2"/>
      </rPr>
      <t>interrupción en la prestación de los servicios tecnológicos de la entidad</t>
    </r>
    <r>
      <rPr>
        <sz val="16"/>
        <rFont val="Arial Narrow"/>
        <family val="2"/>
      </rPr>
      <t>.</t>
    </r>
  </si>
  <si>
    <t>Sistema de Información Dinámica Gerencial</t>
  </si>
  <si>
    <t>El líder del área de gestión de requerimientos e incidentes - GERE coordina y lidera el comité de cambios conforme  el procedimiento (GT-UNIN-PR-01) cada vez que se requiere un cambio de configuración en la infraestructura de redes y comunicaciones; se proyecta el minutograma y las actividades relacionadas con la ejecución del cambio en la infraestructura  de redes y comunicaciones que soporta los servicios tecnológicos de la entidad, a través de los formatos establecidos. Con el fin de planear e identificar los impactos que se puedan llegar a generar durante la ejecución.</t>
  </si>
  <si>
    <t>El área de Infraestructura y Comunicaciones - INCO, al menos una vez al año realiza un mantenimiento preventivo a la infraestructura de redes y comunicaciones que soporta los servicios tecnológicos, con el fin de asegurar el funcionamiento adecuado de la misma.</t>
  </si>
  <si>
    <t>El líder de la Mesa de Servicio de TI - MSTI, cada vez que se requiera realiza los mantenimientos  correctivos conforme al procedimiento (GT-GERE-PR-01) a los equipos de cómputo de los diferentes servicios asistenciales, con el fin de asegurar el funcionamiento adecuado de los mismos.</t>
  </si>
  <si>
    <t>}{}}El líder del área de Infraestructura y Comunicaciones - INCO realiza el  monitoreo 7*24*365  a través de las herramientas automatizadas de monitoreo (Network Operations Center - NOC) con el fin de verificar  el funcionamiento y el estado general de la infraestructura de redes y comunicaciones de la entidad para tomar acciones preventivas y/o correctivas.</t>
  </si>
  <si>
    <t>50%</t>
  </si>
  <si>
    <t>25%</t>
  </si>
  <si>
    <t>TIN_02</t>
  </si>
  <si>
    <t>Gestión de Seguridad Informática</t>
  </si>
  <si>
    <t xml:space="preserve">Acceso a información clínica clasificada o reservada de los usuarios del  HOMIL </t>
  </si>
  <si>
    <t>Falta de control del ciclo de vida de las credenciales de acceso a la infraestructura tecnológica de la entidad.</t>
  </si>
  <si>
    <r>
      <t xml:space="preserve">Posibilidad de afectación reputacional y perdida de la confidencialidad por el </t>
    </r>
    <r>
      <rPr>
        <u/>
        <sz val="16"/>
        <rFont val="Arial Narrow"/>
        <family val="2"/>
      </rPr>
      <t>acceso a  información clasificada o reservada de los usuarios</t>
    </r>
    <r>
      <rPr>
        <sz val="16"/>
        <rFont val="Arial Narrow"/>
        <family val="2"/>
      </rPr>
      <t xml:space="preserve"> del Homil, debido a </t>
    </r>
    <r>
      <rPr>
        <u/>
        <sz val="16"/>
        <rFont val="Arial Narrow"/>
        <family val="2"/>
      </rPr>
      <t>falta de control del ciclo de vida de las credenciales de acceso a la infraestructura tecnológica de la entidad</t>
    </r>
    <r>
      <rPr>
        <sz val="16"/>
        <rFont val="Arial Narrow"/>
        <family val="2"/>
      </rPr>
      <t xml:space="preserve">. </t>
    </r>
  </si>
  <si>
    <t xml:space="preserve">El  área de gestión de seguridad informática - GESU, mensualmente realiza campañas de sensibilización en temas de ciber seguridad. Con el fin de concientizar a los usuarios de los riesgos relacionados con el uso seguro de la infraestructura tecnológica que soporta la prestación de los servicios tecnológicos. </t>
  </si>
  <si>
    <t xml:space="preserve">El área de Gestión de Movilidad y Aplicaciones - GEAM informa mensualmente a los jefes de Unidad los usuarios activos en el sistema de Información Dinámica gerencial para recibir retroalimentación de la permanencia en los cargos de los profesionales de la salud. </t>
  </si>
  <si>
    <t>El área de Mesa de Servicio de TI - MSTI, solo crea las cuentas de acceso a las personas que alleguen 100% diligenciado el formato único de solicitud de acceso a servicios informáticos (TI-GESU-PR-01-FT-01)</t>
  </si>
  <si>
    <t xml:space="preserve">La Unidad de Talento Humano, reporta vía correo electrónico las novedades de personal (retiros) a fin de que se deshabiliten los accesos a los diferentes servicios tecnológicos. </t>
  </si>
  <si>
    <t>El área de Mesa de Servicio de TI - MSTI, configura la fecha de terminación del contrato relacionada en el formato único de solicitud de acceso a servicios informáticos (TI-GESU-PR-01-FT-01). Está configuración se realiza en el directorio activo para que se bloquee de manera automática el día que corresponda.</t>
  </si>
  <si>
    <t>El administrador de la base de datos del área de infraestructura y comunicaciones - INCO  configura un script automático para deshabilitar usuarios que lleven más de un mes sin ingresar al sistema de información Dinámica Gerencial.</t>
  </si>
  <si>
    <t>Campañas de concientización, simulacros sobre ataques cibernéticos</t>
  </si>
  <si>
    <t>Jefe Unidad de Informática</t>
  </si>
  <si>
    <t>Marzo de 2024</t>
  </si>
  <si>
    <t>Mensual</t>
  </si>
  <si>
    <t>Evidencias campañas</t>
  </si>
  <si>
    <t>Implementar dentro del proceso de pago de la última cuenta, factura o liquidación el paz y salvo de la Unidad Informática</t>
  </si>
  <si>
    <t>Paz y salvo UNIF</t>
  </si>
  <si>
    <t>TIN_03</t>
  </si>
  <si>
    <t>Infraestructura y comunicaciones.</t>
  </si>
  <si>
    <t xml:space="preserve">No disponibilidad de la información clínica  de los usuarios del  HOMIL </t>
  </si>
  <si>
    <t>Falta de respaldo (copias de seguridad) de la información.</t>
  </si>
  <si>
    <r>
      <t xml:space="preserve">Posibilidad de afectación económica por </t>
    </r>
    <r>
      <rPr>
        <u/>
        <sz val="16"/>
        <rFont val="Arial Narrow"/>
        <family val="2"/>
      </rPr>
      <t>no disponibilidad de la información clínica  de los usuarios del  HOMIL</t>
    </r>
    <r>
      <rPr>
        <sz val="16"/>
        <rFont val="Arial Narrow"/>
        <family val="2"/>
      </rPr>
      <t xml:space="preserve">, debido a </t>
    </r>
    <r>
      <rPr>
        <u/>
        <sz val="16"/>
        <rFont val="Arial Narrow"/>
        <family val="2"/>
      </rPr>
      <t>falta de respaldo (copias de seguridad) de la información</t>
    </r>
    <r>
      <rPr>
        <sz val="16"/>
        <rFont val="Arial Narrow"/>
        <family val="2"/>
      </rPr>
      <t>.</t>
    </r>
  </si>
  <si>
    <t>El líder del área de Infraestructura y Comunicaciones - INCO realiza el  monitoreo 7*24*365  a través de las herramientas de monitoreo (NOC) con el fin de verificar  el funcionamiento y el estado general de los equipos que soportan el servicio de backup de la entidad para tomar acciones preventivas y/o correctivas.</t>
  </si>
  <si>
    <t>El administrador de la base de datos del área de infraestructura y comunicaciones, verifica el log de eventos en la herramienta de backup de la entidad que indique la realización y terminación correcta de copias de datos. Con el fin de asegurarse que se tiene una copia de respaldo consistente y disponible para cuando se necesite.</t>
  </si>
  <si>
    <t>Probar la consistencia y efectividad de las copias de datos</t>
  </si>
  <si>
    <t>Trimestral</t>
  </si>
  <si>
    <t>Efectividad copia de datos</t>
  </si>
  <si>
    <t>El equipo de trabajo de gestión de movilidad de aplicaciones, realiza pruebas a cada uno de los módulos junto con los líderes funcionales de cada módulo en las compilaciones recién liberadas por SYAC.</t>
  </si>
  <si>
    <t>Pruebas en los módulos</t>
  </si>
  <si>
    <t>TIN_04</t>
  </si>
  <si>
    <t>Gestión de Movilidad y Aplicaciones</t>
  </si>
  <si>
    <t>Fallas en el funcionamiento del sistema de información clínico Dinámica Gerencial Hospitalaria</t>
  </si>
  <si>
    <t>Indebido control de cambios en la implementación de nuevas versiones del aplicativo.</t>
  </si>
  <si>
    <r>
      <t xml:space="preserve">Posibilidad de afectación económica y reputacional por </t>
    </r>
    <r>
      <rPr>
        <u/>
        <sz val="16"/>
        <rFont val="Arial Narrow"/>
        <family val="2"/>
      </rPr>
      <t>fallas en el funcionamiento del sistema de información clínico Dinámica Gerencial Hospitalaria</t>
    </r>
    <r>
      <rPr>
        <sz val="16"/>
        <rFont val="Arial Narrow"/>
        <family val="2"/>
      </rPr>
      <t xml:space="preserve"> generadas por el </t>
    </r>
    <r>
      <rPr>
        <u/>
        <sz val="16"/>
        <rFont val="Arial Narrow"/>
        <family val="2"/>
      </rPr>
      <t>indebido control de cambios en la implementación de nuevas versiones del aplicativo</t>
    </r>
    <r>
      <rPr>
        <sz val="16"/>
        <rFont val="Arial Narrow"/>
        <family val="2"/>
      </rPr>
      <t>.</t>
    </r>
  </si>
  <si>
    <t>Los líderes de módulos del aplicativo Dinámica Gerencial Hospitalaria del área de Gestión de requerimientos e incidentes - GERE, coordinan y lideran el comité de cambios conforme al procedimiento (GT-UNIN-PR-01) cada vez que se requiere un cambio en el aplicativo Dinámica Gerencial Hospitalaria; en el escenario de pruebas de la aplicación las actividades relacionadas en el protocolo de pruebas de nueva compilación, el cual incluye las pruebas técnicas realizadas por los líderes funcionales de cada proceso y el funcionamiento de las opciones de los diferentes módulos, en conjunto con los líderes funcionales en cada proceso; lo anterior con el fin de validar si estas tuvieron cambios de funcionamiento y/o funcionan de manera adecuada.</t>
  </si>
  <si>
    <t>El líder de la mesa de servicio TI de la Unidad Informática, una vez finalizada la actualización de la nueva versión de Dinámica Gerencial Hospitalaria, iniciará un recorrido preventivo por las áreasasistenciales (Desde el piso 12, hasta urgencias y salas de cirugía); revisando la funcionalidad y operatividad del sistema de información. El personal encargado del recorrido firmará la bitacora de recorridos de la UNIN.</t>
  </si>
  <si>
    <t>CAU_01</t>
  </si>
  <si>
    <t>Comunicaciones y Relaciones Públicas</t>
  </si>
  <si>
    <t>Pérdida de credibilidad e impacto negativo en la imagen de la entidad</t>
  </si>
  <si>
    <t>Publicaciones con datos erróneos o imprecisos en las piezas de comunicación e información dirigida a usuarios externos del HOMIL.</t>
  </si>
  <si>
    <r>
      <t xml:space="preserve">Posibilidad de afectación reputacional por </t>
    </r>
    <r>
      <rPr>
        <u/>
        <sz val="16"/>
        <rFont val="Arial Narrow"/>
        <family val="2"/>
      </rPr>
      <t>pérdida de credibilidad e impacto negativo en la imagen  de la entidad</t>
    </r>
    <r>
      <rPr>
        <sz val="16"/>
        <rFont val="Arial Narrow"/>
        <family val="2"/>
      </rPr>
      <t xml:space="preserve">, debido a </t>
    </r>
    <r>
      <rPr>
        <u/>
        <sz val="16"/>
        <rFont val="Arial Narrow"/>
        <family val="2"/>
      </rPr>
      <t>publicaciones con datos erróneos o imprecisos en las piezas de comunicación e información dirigida a usuarios externos del HOMIL</t>
    </r>
    <r>
      <rPr>
        <sz val="16"/>
        <rFont val="Arial Narrow"/>
        <family val="2"/>
      </rPr>
      <t>.</t>
    </r>
  </si>
  <si>
    <t>Cada vez que se requiera el responsable del Área de Comunicaciones y Relaciones Públicas envía a la fuente primaria (área solicitante) el producto comunicativo para validar su veracidad y claridad, posterior a ello envía al Subdirector de Docencia e Investigación Científica para su aprobación quien de acuerdo al nivel de complejidad del mismo envía a la Dirección General para obtener un tercer aval, posterior a este proceso se realiza la publicación de la información.</t>
  </si>
  <si>
    <t>CAU_02</t>
  </si>
  <si>
    <t>Publicaciones con datos erróneos o imprecisos en las piezas de comunicación e información dirigida a usuarios internos del HOMIL.</t>
  </si>
  <si>
    <r>
      <t xml:space="preserve">Posibilidad de afectación reputacional por </t>
    </r>
    <r>
      <rPr>
        <u/>
        <sz val="16"/>
        <rFont val="Arial Narrow"/>
        <family val="2"/>
      </rPr>
      <t>pérdida de credibilidad e impacto negativo en la imagen  de la entidad</t>
    </r>
    <r>
      <rPr>
        <sz val="16"/>
        <rFont val="Arial Narrow"/>
        <family val="2"/>
      </rPr>
      <t xml:space="preserve">, debido a </t>
    </r>
    <r>
      <rPr>
        <u/>
        <sz val="16"/>
        <rFont val="Arial Narrow"/>
        <family val="2"/>
      </rPr>
      <t>publicaciones con datos erróneos o imprecisos en las piezas de comunicación e información dirigida a usuarios internos del HOMIL</t>
    </r>
    <r>
      <rPr>
        <sz val="16"/>
        <rFont val="Arial Narrow"/>
        <family val="2"/>
      </rPr>
      <t>.</t>
    </r>
  </si>
  <si>
    <t>CAU_03</t>
  </si>
  <si>
    <t>Atención al Usuario</t>
  </si>
  <si>
    <t xml:space="preserve">Incumplimiento de los  tiempos de respuesta establecidos en la ley a las PQRS y posibles tutelas </t>
  </si>
  <si>
    <t>Demoras en las proyecciones de respuesta y/o respuesta superficiales por parte de los servicios, errores en el direccionamiento interno y recepción de peticiones incompletas o con falta de soportes para tramitarlas</t>
  </si>
  <si>
    <r>
      <t xml:space="preserve">Posibilidad de afectación reputacional por </t>
    </r>
    <r>
      <rPr>
        <u/>
        <sz val="16"/>
        <rFont val="Arial Narrow"/>
        <family val="2"/>
      </rPr>
      <t>incumplimiento de los periodos de tiempo de respuesta establecidos en la ley a las PQRS y posibles tutelas</t>
    </r>
    <r>
      <rPr>
        <sz val="16"/>
        <rFont val="Arial Narrow"/>
        <family val="2"/>
      </rPr>
      <t xml:space="preserve">, debido a </t>
    </r>
    <r>
      <rPr>
        <u/>
        <sz val="16"/>
        <rFont val="Arial Narrow"/>
        <family val="2"/>
      </rPr>
      <t>demoras en las proyecciones de respuesta y/o respuesta superficiales por parte de los servicios, errores en el direccionamiento interno y recepción de peticiones incompletas o con falta de soportes para tramitarlas.</t>
    </r>
  </si>
  <si>
    <r>
      <t xml:space="preserve">El responsable del área de Atención al Usuario, realiza apertura en el formato ficha de seguimiento PQRSDF  </t>
    </r>
    <r>
      <rPr>
        <b/>
        <sz val="16"/>
        <color theme="1"/>
        <rFont val="Arial Narrow"/>
        <family val="2"/>
      </rPr>
      <t xml:space="preserve">Cod. CA-AUIS-PR-03-FT-02, </t>
    </r>
    <r>
      <rPr>
        <sz val="16"/>
        <color theme="1"/>
        <rFont val="Arial Narrow"/>
        <family val="2"/>
      </rPr>
      <t>y a su vez se enviarán los requerimientos por Control Doc a los jefes de servicio. De forma semanal esta ficha es revisada con el objetivo de generar segundos y terceros requerimientos a los servicios  para obtener respuesta y así evitar el vencimiento de los tiempos de ley.</t>
    </r>
  </si>
  <si>
    <r>
      <t xml:space="preserve">El personal designado de cada farmacia realiza la recepción técnica en el momento del ingreso de medicamentos, reactivos e insumos mediante del formato </t>
    </r>
    <r>
      <rPr>
        <b/>
        <sz val="16"/>
        <color theme="1"/>
        <rFont val="Arial Narrow"/>
        <family val="2"/>
      </rPr>
      <t>AA-UNFA-PR-15-FT-0</t>
    </r>
    <r>
      <rPr>
        <sz val="16"/>
        <color theme="1"/>
        <rFont val="Arial Narrow"/>
        <family val="2"/>
      </rPr>
      <t>1, respectivamente,</t>
    </r>
    <r>
      <rPr>
        <sz val="16"/>
        <color rgb="FFFF0000"/>
        <rFont val="Arial Narrow"/>
        <family val="2"/>
      </rPr>
      <t xml:space="preserve"> </t>
    </r>
    <r>
      <rPr>
        <sz val="16"/>
        <color theme="1"/>
        <rFont val="Arial Narrow"/>
        <family val="2"/>
      </rPr>
      <t xml:space="preserve">con el fin de verificar que las cantidades y la información registrada coincidan con lo físico. </t>
    </r>
  </si>
  <si>
    <r>
      <t xml:space="preserve">El personal designado de cada farmacia realiza seguimiento semanal del inventario, con el fin de validar las cantidades físicas contra lo registrado en el sistema (Dinámica Gerencial Hospitalaria) En caso de encontrar diferencias se realizará el ajuste siguiendo la descripción de actividades en los numerales, 6, 7 y 8 correspondientes a "Determinar diferencias de inventario físico versus existencias en aplicativo de sistemas", "Determinar salidas por compensación"  y "Determinar entradas por compensación" respectivamente. Dando cumplimiento al Procedimiento: Ajuste de Inventarios luego de un inventario físico en una farmacia Cod. </t>
    </r>
    <r>
      <rPr>
        <b/>
        <sz val="16"/>
        <color theme="1"/>
        <rFont val="Arial Narrow"/>
        <family val="2"/>
      </rPr>
      <t xml:space="preserve">FR-UNFA-PR-01. </t>
    </r>
  </si>
  <si>
    <t xml:space="preserve">El personal designado por el jefe de la Unidad de Farmacia realiza mensualmente un reporte de acceso a las áreas de Farmacia Producción y Adecuación de Medicamentos . Con el fin de mitigar el riesgo de posibles pérdidas por hurto de medicamentos de alto costo debido al ingreso de personal externo en las áreas del almacén. </t>
  </si>
  <si>
    <t>El personal designado de cada farmacia dispensa a áreas o servicios cada vez que lo requieran, medicamentos e insumos para consumo, los cuales son entregados y soportados por medio de un documento que describe las características técnicas y orden de despacho, con el fin de garantizar la trazabilidad y control de inventarios de las farmacias.
(Todo movimiento en los inventarios, deberá ser realizado y soportado por Dinámica Gerencial Hospitalaria)</t>
  </si>
  <si>
    <r>
      <t>El personal designado de cada farmacia reportará mensualmente a l responsable de cada farmacia y al jjefe de Unidad, el listado de medicamentos y dispositivos con fechas de vencimiento menores a 6 meses, con el fin gestionar el riesgo de vencimiento y detrimento patrimonial. Siguiendo el procedimientos</t>
    </r>
    <r>
      <rPr>
        <b/>
        <sz val="16"/>
        <color theme="1"/>
        <rFont val="Arial Narrow"/>
        <family val="2"/>
      </rPr>
      <t xml:space="preserve"> PROCEDIMIENTO:  MANEJO DE PRODUCTOS PRÓXIMOS A VENCER, AVERIADOS Y VENCIDOS CÓDIGO: AA-UNFA-PR-20.</t>
    </r>
  </si>
  <si>
    <t xml:space="preserve">El personal designado por el jefe de la Unidad de Farmacia realizara seguimiento a las devoluciones en los diferentes servicios mediante el uso del Formato de devoluciones postuladas Vs Confirmadas a diario,  con el fin de garantizar la gestión oportuna y realización de las devoluciones. </t>
  </si>
  <si>
    <t>El personal designado por el jefe de la Unidad de Farmacia reportará mensualmente el FORMATO: CONTROL RECEPCION E INGRESO DE FACTURAS, REMISIONES Y URGENCIAS VITALES CÓDIGO: AA-FMTS-PR-01-FT-05, con el fin de tener la trazabilidad de cada uno de los ingresos de facturas y remisiones a la FTS.</t>
  </si>
  <si>
    <t>El personal designado por el jefe de la Unidad de Farmacia reportará mensualmente el FORMATO: INFORME APROVECHAMIENTO ONCOLOGÍA SEMANAL CÓDIGO: AA-PRFA-PR02-FT-15, con el fin de tener la trazabilidad y el control de los aprovechamientos generados en la CAM</t>
  </si>
  <si>
    <t>El personal designado por el jefe de la Unidad de Farmacia reportará mensualmente a travéz del FORMATO:  Registro y seguimiento de Préstamos interinstitucionales, con el fin de tener la trazabilidad de los prestamos generados a otras instituciones desde la fecha de inicio del prestamos, seuimiento y su cierre.</t>
  </si>
  <si>
    <t>El personal designado por el jefe de la Unidad de Farmacia reportará mensualmente el FORMATO: CONTROL DE MEDICAMENTOS/ INSUMOS  PENDIENTES POR DISPENSAR. CÓDIGO: AA-UNFA-PR-16-FT-04, con el fin de tener trazabilidad del proceso de la no entrega de medicamentos formulados a paciente hospitalizado.</t>
  </si>
  <si>
    <t>GAAF_01</t>
  </si>
  <si>
    <t xml:space="preserve">Farmacia Producción y Adecuación de Medicamentos
Farmacia Salas  de Cirugía.
Farmacia de Salas de Maternidad.
Farmacia Tecnologías en Salud
(Medicamentos, Insumos Médico Quirúrgicos
de diagnóstico y reactivos)
Unidad de Farmacia </t>
  </si>
  <si>
    <t>Pérdida de medicamentos, dispositivos médicos, reactivos e insumos</t>
  </si>
  <si>
    <t>Fallas en los procesos logísticos (recepción técnica, almacenamiento, distribución, control de inventarios y devoluciones), y registro inoportuno de la información en el sistema de información.</t>
  </si>
  <si>
    <t>Posibilidad de afectación económica por pérdida de medicamentos, dispositivos médicos, reactivos e insumos, debido a fallas en los procesos logísticos (recepción técnica, almacenamiento, distribución, control de inventarios y devoluciones) y registro inoportuno de la información en el sistema de información.</t>
  </si>
  <si>
    <t>GAAF_03</t>
  </si>
  <si>
    <t>Farmacia Producción y Adecuación de Medicamentos
Farmacia Salas  de Cirugía.
Farmacia de Salas de Maternidad.</t>
  </si>
  <si>
    <t>Falta de oportunidad en el inicio o continuidad de la farmacoterapia a los usuarios atendidos por el HOMIL</t>
  </si>
  <si>
    <t>No disponibilidad de los medicamentos, por incumplimiento del contratista que provee los mismos.</t>
  </si>
  <si>
    <r>
      <t xml:space="preserve">Posibilidad de afectación reputacional por la </t>
    </r>
    <r>
      <rPr>
        <u/>
        <sz val="16"/>
        <rFont val="Arial Narrow"/>
        <family val="2"/>
      </rPr>
      <t>falta de oportunidad en el inicio o continuidad de la farmacoterapia</t>
    </r>
    <r>
      <rPr>
        <sz val="16"/>
        <rFont val="Arial Narrow"/>
        <family val="2"/>
      </rPr>
      <t xml:space="preserve"> a los usuarios atendidos por el HOMIL, debido a la </t>
    </r>
    <r>
      <rPr>
        <u/>
        <sz val="16"/>
        <rFont val="Arial Narrow"/>
        <family val="2"/>
      </rPr>
      <t>no disponibilidad de los medicamentos, por incumplimiento del contratista que provee los mismos</t>
    </r>
    <r>
      <rPr>
        <sz val="16"/>
        <rFont val="Arial Narrow"/>
        <family val="2"/>
      </rPr>
      <t xml:space="preserve">.
</t>
    </r>
  </si>
  <si>
    <t>El responsable de cada farmacia realiza de acuerdo a la necesidad la solicitud de suministros con el fin de mantener los niveles de stock suficientes para cada farmacia, los cuales se sustentarán con los pedidos periodicos realizados por DGH.</t>
  </si>
  <si>
    <t>El supervisor del contrato de gases medicinales hace seguimiento mensual del mismo, con el fin de dar cumplimiento y garantizar la disponibilidad de gases medicinales en el Hospital Militar Central.</t>
  </si>
  <si>
    <t>Frente al desabastecimiento de medicamentos el operador logístico y/o el laboratorio reporta al jefe de la unidad de Farmacia, quien se encarga de informar a los médicos tratantes con el fin de buscar diferentes alternativas para darle continuidad al tratamiento del paciente.</t>
  </si>
  <si>
    <t>GAAF_05</t>
  </si>
  <si>
    <t>Farmacia Producción y Adecuación de Medicamentos
Farmacia Salas  de Cirugía.
Farmacia de Salas de Maternidad.
Farmacia Médico Quirúrgica</t>
  </si>
  <si>
    <t>Seguridad de paciente</t>
  </si>
  <si>
    <t>Dispensación de medicamentos vencidos o diferentes a los prescritos.</t>
  </si>
  <si>
    <r>
      <t xml:space="preserve">Posibilidad de afectación reputacional, </t>
    </r>
    <r>
      <rPr>
        <u/>
        <sz val="16"/>
        <rFont val="Arial Narrow"/>
        <family val="2"/>
      </rPr>
      <t>asociado a la seguridad de paciente</t>
    </r>
    <r>
      <rPr>
        <sz val="16"/>
        <rFont val="Arial Narrow"/>
        <family val="2"/>
      </rPr>
      <t xml:space="preserve">, debido a la  </t>
    </r>
    <r>
      <rPr>
        <u/>
        <sz val="16"/>
        <rFont val="Arial Narrow"/>
        <family val="2"/>
      </rPr>
      <t>dispensación de medicamentos vencidos o diferentes a los prescritos</t>
    </r>
    <r>
      <rPr>
        <sz val="16"/>
        <rFont val="Arial Narrow"/>
        <family val="2"/>
      </rPr>
      <t>.</t>
    </r>
  </si>
  <si>
    <r>
      <t xml:space="preserve">El responsable de cada farmacia realiza verificación mensual de la correcta identificación </t>
    </r>
    <r>
      <rPr>
        <b/>
        <sz val="16"/>
        <color theme="1"/>
        <rFont val="Arial Narrow"/>
        <family val="2"/>
      </rPr>
      <t>LASA</t>
    </r>
    <r>
      <rPr>
        <sz val="16"/>
        <color theme="1"/>
        <rFont val="Arial Narrow"/>
        <family val="2"/>
      </rPr>
      <t xml:space="preserve"> (Look alike sound alike) y semaforización (Marcación de medicamentos próximos a vencer) para los medicamentos que así lo requieren, con el fin de realizar una dispensación segura de los mismos. (Evidencia fotográfica enviada vía correo electrónico).</t>
    </r>
  </si>
  <si>
    <t>El responsable de cada farmacia realiza de manera mensual el seguimiento a productos próximos a vencer, mediante el reporte de inventario generado en Dinámica Gerencial Hospitalaria, con el cual se gestiona el cambio con el responsable (Operador Logístico y laboratorio)</t>
  </si>
  <si>
    <r>
      <t xml:space="preserve">El personal designado del área de planta de producción de aire medicinal, realiza la recepción técnica en el momento del ingreso de los gases medicinales mediante del formato </t>
    </r>
    <r>
      <rPr>
        <b/>
        <sz val="16"/>
        <color theme="1"/>
        <rFont val="Arial Narrow"/>
        <family val="2"/>
      </rPr>
      <t>AA-UNFA-PR-15-FT-03</t>
    </r>
    <r>
      <rPr>
        <sz val="16"/>
        <color theme="1"/>
        <rFont val="Arial Narrow"/>
        <family val="2"/>
      </rPr>
      <t>, con el fin de verificar fechas de vencimiento.</t>
    </r>
  </si>
  <si>
    <t>GAAF_08</t>
  </si>
  <si>
    <t>Farmacia Producción y Adecuación de Medicamentos</t>
  </si>
  <si>
    <t>Seguridad del paciente</t>
  </si>
  <si>
    <t>Liberación de un medicamento adecuado en la CAM que no corresponde con lo prescrito, producto de errores del personal en la interpretación de la prescripción médica, procesos de producción y liberación de medicamentos, sin cumplir requisitos de calidad.</t>
  </si>
  <si>
    <r>
      <t xml:space="preserve">Posibilidad de afectación reputacional </t>
    </r>
    <r>
      <rPr>
        <u/>
        <sz val="16"/>
        <rFont val="Arial Narrow"/>
        <family val="2"/>
      </rPr>
      <t>asociado a la seguridad de paciente, por liberación de un medicamento adecuado en la CAM que no corresponde con lo prescrito</t>
    </r>
    <r>
      <rPr>
        <sz val="16"/>
        <rFont val="Arial Narrow"/>
        <family val="2"/>
      </rPr>
      <t xml:space="preserve">, producto de </t>
    </r>
    <r>
      <rPr>
        <u/>
        <sz val="16"/>
        <rFont val="Arial Narrow"/>
        <family val="2"/>
      </rPr>
      <t>errores del personal en la interpretación de la prescripción médica, procesos de producción y liberación de medicamentos, sin cumplir requisitos de calidad</t>
    </r>
    <r>
      <rPr>
        <sz val="16"/>
        <rFont val="Arial Narrow"/>
        <family val="2"/>
      </rPr>
      <t>.</t>
    </r>
  </si>
  <si>
    <t>El químico farmacéutico de control de calidad, realiza cada vez que se requiera la verificación de la información de las etiquetas de identificación de adecuaciones, con la solicitud y/o la fórmula médica para las producciones que aplique.</t>
  </si>
  <si>
    <t>El químico farmacéutico de aseguramiento de calidad, realiza seguimiento trimestral al cronograma de capacitaciones en el cual se incluyen temas de interpretación de la orden médica, procesos de producción, control de calidad de productos adecuados en la Central de Adecuación de Medicamentos.</t>
  </si>
  <si>
    <t>GAAF_09</t>
  </si>
  <si>
    <t>Farmacia Producción y Adecuación de
Medicamentos</t>
  </si>
  <si>
    <t>Contaminación microbiológica en el área de producción de la CAM.</t>
  </si>
  <si>
    <t>Falta de adherencia a protocolos de limpieza y desinfección o una externalidad no controlada.</t>
  </si>
  <si>
    <r>
      <t xml:space="preserve">Posibilidad de afectación económica y reputacional por </t>
    </r>
    <r>
      <rPr>
        <u/>
        <sz val="16"/>
        <rFont val="Arial Narrow"/>
        <family val="2"/>
      </rPr>
      <t>contaminación microbiológica en el área de producción de la CAM</t>
    </r>
    <r>
      <rPr>
        <sz val="16"/>
        <rFont val="Arial Narrow"/>
        <family val="2"/>
      </rPr>
      <t xml:space="preserve">, debido a </t>
    </r>
    <r>
      <rPr>
        <u/>
        <sz val="16"/>
        <rFont val="Arial Narrow"/>
        <family val="2"/>
      </rPr>
      <t>falta de adherencia a protocolos de limpieza y desinfección o una externalidad no controlada</t>
    </r>
    <r>
      <rPr>
        <sz val="16"/>
        <rFont val="Arial Narrow"/>
        <family val="2"/>
      </rPr>
      <t xml:space="preserve">.
</t>
    </r>
  </si>
  <si>
    <t xml:space="preserve">El coordinador de producción gestiona los procesos de toma de muestras para el control microbiológico que se realiza de manera mensual, con el fin de cumplir con la normatividad y llevar control microbiológico de ambientes, superficies, personal y adecuaciones. </t>
  </si>
  <si>
    <r>
      <t xml:space="preserve">El Químico Farmacéutico de aseguramiento de calidad realiza y garantiza el cumplimiento del programa anual de capacitación al personal que labora en la CAM, donde se incluye protocolo de Limpieza y desinfección de áreas críticas, semicríticas y no críticas (CAM) </t>
    </r>
    <r>
      <rPr>
        <b/>
        <sz val="16"/>
        <color theme="1"/>
        <rFont val="Arial Narrow"/>
        <family val="2"/>
      </rPr>
      <t>CÓDIGO: AH-CLME-PT-03</t>
    </r>
    <r>
      <rPr>
        <sz val="16"/>
        <color theme="1"/>
        <rFont val="Arial Narrow"/>
        <family val="2"/>
      </rPr>
      <t xml:space="preserve"> e Ingreso y egreso de las áreas de producción, desinfección personal y flujo de materiales CAM </t>
    </r>
    <r>
      <rPr>
        <b/>
        <sz val="16"/>
        <color theme="1"/>
        <rFont val="Arial Narrow"/>
        <family val="2"/>
      </rPr>
      <t xml:space="preserve">CÓDIGO: Cód. AA-UNFA-PT-19, </t>
    </r>
    <r>
      <rPr>
        <sz val="16"/>
        <color theme="1"/>
        <rFont val="Arial Narrow"/>
        <family val="2"/>
      </rPr>
      <t xml:space="preserve">con el fin dar cumplimiento a la normatividad y garantizar la adherencia a protocolos. </t>
    </r>
  </si>
  <si>
    <r>
      <t xml:space="preserve">El auxiliar de farmacia designado, realiza seguimiento quincenal al estado de insumos utilizados para la limpieza y verificación de puntos críticos de limpieza mediante el formato Lista de verificación y desinfección CAM </t>
    </r>
    <r>
      <rPr>
        <b/>
        <sz val="16"/>
        <color theme="1"/>
        <rFont val="Arial Narrow"/>
        <family val="2"/>
      </rPr>
      <t xml:space="preserve">CÓDIGO: AH-CLME-PT-26-FT-03. </t>
    </r>
  </si>
  <si>
    <r>
      <t xml:space="preserve">El químico farmacéutico de garantía de calidad hace seguimiento trimestral del cronograma de mantenimiento y calibración de equipo industrial Cod. </t>
    </r>
    <r>
      <rPr>
        <b/>
        <sz val="16"/>
        <color theme="1"/>
        <rFont val="Arial Narrow"/>
        <family val="2"/>
      </rPr>
      <t xml:space="preserve">GL-EQIN-PR-01-FT-02, </t>
    </r>
    <r>
      <rPr>
        <sz val="16"/>
        <color theme="1"/>
        <rFont val="Arial Narrow"/>
        <family val="2"/>
      </rPr>
      <t>de la Central de Adecuación de Medicamentos,</t>
    </r>
    <r>
      <rPr>
        <b/>
        <sz val="16"/>
        <color theme="1"/>
        <rFont val="Arial Narrow"/>
        <family val="2"/>
      </rPr>
      <t xml:space="preserve"> </t>
    </r>
    <r>
      <rPr>
        <sz val="16"/>
        <color theme="1"/>
        <rFont val="Arial Narrow"/>
        <family val="2"/>
      </rPr>
      <t xml:space="preserve">con el fin de verificar su cumplimiento. </t>
    </r>
  </si>
  <si>
    <t xml:space="preserve">El coordinador de producción realiza capacitación anual y medición de adherencia semestral en temas de operación de equipos a todo el personal involucrado con la producción de adecuación de medicamentos. </t>
  </si>
  <si>
    <t>GAAF_10</t>
  </si>
  <si>
    <t>Imágenes Diagnosticas
Laboratorio clínico
Patología
Banco de Sangre y Servicio de Transfusión Sanguínea</t>
  </si>
  <si>
    <t>Error en el diagnóstico y tratamiento a los usuarios atendidos por el HOMIL.</t>
  </si>
  <si>
    <t>No cumplimiento de protocolos, errores de interpretación, lectura, transcripción y validación de los resultados y/o estudios.</t>
  </si>
  <si>
    <r>
      <t xml:space="preserve">Posibilidad de afectación reputacional por </t>
    </r>
    <r>
      <rPr>
        <u/>
        <sz val="16"/>
        <rFont val="Arial Narrow"/>
        <family val="2"/>
      </rPr>
      <t>error en el diagnóstico y tratamiento de los usuarios atendido por el HOMIL</t>
    </r>
    <r>
      <rPr>
        <sz val="16"/>
        <rFont val="Arial Narrow"/>
        <family val="2"/>
      </rPr>
      <t xml:space="preserve">, debido al </t>
    </r>
    <r>
      <rPr>
        <u/>
        <sz val="16"/>
        <rFont val="Arial Narrow"/>
        <family val="2"/>
      </rPr>
      <t>no cumplimiento de protocolos, errores de interpretación, lectura, transcripción y validación de los resultados y/o estudios</t>
    </r>
    <r>
      <rPr>
        <sz val="16"/>
        <rFont val="Arial Narrow"/>
        <family val="2"/>
      </rPr>
      <t>.</t>
    </r>
  </si>
  <si>
    <t>El líder de sección y/o área realiza socialización, evaluación y adherencia anual de los protocolos del servicio de acuerdo al cronograma establecido de cada servicio.</t>
  </si>
  <si>
    <r>
      <t xml:space="preserve">El líder de calidad (de los servicios de patología, laboratorio y radiología) realiza reporte mensual del formato Cód. </t>
    </r>
    <r>
      <rPr>
        <b/>
        <sz val="16"/>
        <color theme="1"/>
        <rFont val="Arial Narrow"/>
        <family val="2"/>
      </rPr>
      <t>AA-LACL-PT-13-</t>
    </r>
    <r>
      <rPr>
        <b/>
        <sz val="16"/>
        <rFont val="Arial Narrow"/>
        <family val="2"/>
      </rPr>
      <t>FT-01</t>
    </r>
    <r>
      <rPr>
        <b/>
        <sz val="16"/>
        <color theme="1"/>
        <rFont val="Arial Narrow"/>
        <family val="2"/>
      </rPr>
      <t xml:space="preserve"> - ERRORES  EN  LA  VALIDACION  DE  RESULTADOS  Y/O  PERDIDA  DE  MUESTRAS    EN    LABORATORIO  CLINICO  –PATOLOGIA, BANCO DE SANGRE E  IMÁGENES DIAGNOSTICAS, </t>
    </r>
    <r>
      <rPr>
        <sz val="16"/>
        <color theme="1"/>
        <rFont val="Arial Narrow"/>
        <family val="2"/>
      </rPr>
      <t>con el fin de hacer seguimiento y evitar errores de interpretación, lectura, transcripción y validación de los resultados y/o estudios.</t>
    </r>
    <r>
      <rPr>
        <b/>
        <sz val="10"/>
        <color theme="1"/>
        <rFont val="Arial Narrow"/>
        <family val="2"/>
      </rPr>
      <t/>
    </r>
  </si>
  <si>
    <t>GAAF_11</t>
  </si>
  <si>
    <t>Imágenes Diagnósticas
Laboratorio clínico
Patología
Banco de Sangre y Servicio de Transfusión Sanguínea</t>
  </si>
  <si>
    <t>Pérdida de muestras sanguíneas, fluidos, biopsias, especímenes, citologías.</t>
  </si>
  <si>
    <t xml:space="preserve">Incumplimiento de protocolos de toma, transporte , entrega y recepción de muestras. </t>
  </si>
  <si>
    <r>
      <t xml:space="preserve">Posibilidad de afectación reputacional por </t>
    </r>
    <r>
      <rPr>
        <u/>
        <sz val="16"/>
        <rFont val="Arial Narrow"/>
        <family val="2"/>
      </rPr>
      <t>pérdida de muestras sanguíneas, fluidos, biopsias, especímenes, citologías</t>
    </r>
    <r>
      <rPr>
        <sz val="16"/>
        <rFont val="Arial Narrow"/>
        <family val="2"/>
      </rPr>
      <t xml:space="preserve">, debido al </t>
    </r>
    <r>
      <rPr>
        <u/>
        <sz val="16"/>
        <rFont val="Arial Narrow"/>
        <family val="2"/>
      </rPr>
      <t>incumplimiento de protocolos de toma, transporte, entrega y recepción de muestras</t>
    </r>
    <r>
      <rPr>
        <sz val="16"/>
        <rFont val="Arial Narrow"/>
        <family val="2"/>
      </rPr>
      <t>.</t>
    </r>
  </si>
  <si>
    <r>
      <t xml:space="preserve">El jefe del servicio y/o responsable de calidad realiza semanalmente la verificación mediante visto bueno en el formato Cod. </t>
    </r>
    <r>
      <rPr>
        <b/>
        <sz val="16"/>
        <color theme="1"/>
        <rFont val="Arial Narrow"/>
        <family val="2"/>
      </rPr>
      <t xml:space="preserve">AA-PATL-PR-01-FT-.01, </t>
    </r>
    <r>
      <rPr>
        <sz val="16"/>
        <color theme="1"/>
        <rFont val="Arial Narrow"/>
        <family val="2"/>
      </rPr>
      <t>con el fin de identificar y prevenir posibles pérdidas de muestras. (Imágenes Diagnosticas y Patología)</t>
    </r>
  </si>
  <si>
    <r>
      <t xml:space="preserve">El jefe del servicio y/o responsable de calidad, realiza semanalmente la verificación mediante visto bueno en el formato Cod. </t>
    </r>
    <r>
      <rPr>
        <b/>
        <sz val="16"/>
        <color theme="1"/>
        <rFont val="Arial Narrow"/>
        <family val="2"/>
      </rPr>
      <t>AD-LABO-PT-03-FT-03</t>
    </r>
    <r>
      <rPr>
        <sz val="16"/>
        <color theme="1"/>
        <rFont val="Arial Narrow"/>
        <family val="2"/>
      </rPr>
      <t>, con el fin de identificar y prevenir posibles pérdidas de muestras. (Laboratorio Clínico)</t>
    </r>
  </si>
  <si>
    <t>GAAF_12</t>
  </si>
  <si>
    <t>Desabastecimiento de insumos   para la realización y procesamiento de estudios y muestras.</t>
  </si>
  <si>
    <t>Falta de planeación, aumento o disminución en la demanda de los pacientes y falta de control a las existencias de insumos.</t>
  </si>
  <si>
    <r>
      <t xml:space="preserve">Posibilidad de afectación reputacional por </t>
    </r>
    <r>
      <rPr>
        <u/>
        <sz val="16"/>
        <rFont val="Arial Narrow"/>
        <family val="2"/>
      </rPr>
      <t>desabastecimiento de insumos  para la realización y procesamiento de estudios y muestras</t>
    </r>
    <r>
      <rPr>
        <sz val="16"/>
        <rFont val="Arial Narrow"/>
        <family val="2"/>
      </rPr>
      <t xml:space="preserve">, debido a </t>
    </r>
    <r>
      <rPr>
        <u/>
        <sz val="16"/>
        <rFont val="Arial Narrow"/>
        <family val="2"/>
      </rPr>
      <t>falta de planeación, aumento o disminución en la demanda de los pacientes y falta de control a las existencias de insumos</t>
    </r>
    <r>
      <rPr>
        <sz val="16"/>
        <rFont val="Arial Narrow"/>
        <family val="2"/>
      </rPr>
      <t>.</t>
    </r>
  </si>
  <si>
    <t xml:space="preserve">El jefe del servicio realiza la planeación anual de los insumos, de acuerdo a las necesidades y comportamiento histórico de años anteriores mediante formato establecido por medio del Plan Anual de Adquisiciones. </t>
  </si>
  <si>
    <r>
      <t xml:space="preserve">El jefe del servicio, realiza de manera mensual o trimestral </t>
    </r>
    <r>
      <rPr>
        <i/>
        <sz val="16"/>
        <rFont val="Arial Narrow"/>
        <family val="2"/>
      </rPr>
      <t>(De acuerdo a las necesidades del servicio)</t>
    </r>
    <r>
      <rPr>
        <sz val="16"/>
        <rFont val="Arial Narrow"/>
        <family val="2"/>
      </rPr>
      <t xml:space="preserve"> la solicitud de insumos en el formato Cod. </t>
    </r>
    <r>
      <rPr>
        <b/>
        <sz val="16"/>
        <rFont val="Arial Narrow"/>
        <family val="2"/>
      </rPr>
      <t xml:space="preserve">GA-GECO-PR-01-FT-01 - ORDEN DE PEDIDO A PROVEEDOR, </t>
    </r>
    <r>
      <rPr>
        <sz val="16"/>
        <rFont val="Arial Narrow"/>
        <family val="2"/>
      </rPr>
      <t xml:space="preserve">con el fin de garantizar la prestación del servicio. </t>
    </r>
  </si>
  <si>
    <t xml:space="preserve">El líder de cada área y/o almacenista del servicio realiza la recepción técnica en el momento del ingreso de medicamentos, reactivos e insumos mediante del formato AA-UNFA-PR-15-FT-01, respectivamente, con el fin de verificar que las cantidades sean las solicitadas al proveedor y coincidan con lo físico o lo solicitado al mismo. </t>
  </si>
  <si>
    <t>GAAF_13</t>
  </si>
  <si>
    <t>Imágenes Diágnosticas
Medicina Nuclear</t>
  </si>
  <si>
    <t>Aumento de los niveles permitidos de radiación provocando posibles efectos nocivos para la salud de los trabajadores expuestos a radiación ionizante.</t>
  </si>
  <si>
    <t>No uso del dosímetro y no uso de los elementos de radio-protección personal.</t>
  </si>
  <si>
    <r>
      <t xml:space="preserve">Posibilidad de afectación reputacional por </t>
    </r>
    <r>
      <rPr>
        <u/>
        <sz val="16"/>
        <rFont val="Arial Narrow"/>
        <family val="2"/>
      </rPr>
      <t>aumento de los niveles permitidos de radiación ionizante</t>
    </r>
    <r>
      <rPr>
        <sz val="16"/>
        <rFont val="Arial Narrow"/>
        <family val="2"/>
      </rPr>
      <t xml:space="preserve"> provocando posibles efectos nocivos para la salud de los trabajadores expuestos, debido al </t>
    </r>
    <r>
      <rPr>
        <u/>
        <sz val="16"/>
        <rFont val="Arial Narrow"/>
        <family val="2"/>
      </rPr>
      <t>no uso del dosímetro y no uso de los elementos de radio-protección personal</t>
    </r>
    <r>
      <rPr>
        <sz val="16"/>
        <rFont val="Arial Narrow"/>
        <family val="2"/>
      </rPr>
      <t>.</t>
    </r>
  </si>
  <si>
    <t>GAAF_14</t>
  </si>
  <si>
    <t>Farmacia Tecnologías en Salud
(Medicamentos, Insumos Médico Quirúrgicos
de diagnóstico y reactivos)</t>
  </si>
  <si>
    <t>Avería o daño en las tecnologías en salud durante los procesos logísticos de: almacenamiento, distribución, dispensación y uso</t>
  </si>
  <si>
    <t>Externalidades no controladas y de adecuación para su debido uso.</t>
  </si>
  <si>
    <r>
      <t xml:space="preserve">Posibilidad de afectación económica por </t>
    </r>
    <r>
      <rPr>
        <u/>
        <sz val="16"/>
        <rFont val="Arial Narrow"/>
        <family val="2"/>
      </rPr>
      <t>avería o daño en las tecnologías en salud durante los procesos logísticos</t>
    </r>
    <r>
      <rPr>
        <sz val="16"/>
        <rFont val="Arial Narrow"/>
        <family val="2"/>
      </rPr>
      <t xml:space="preserve"> de: almacenamiento, distribución, dispensación y uso, debido a </t>
    </r>
    <r>
      <rPr>
        <u/>
        <sz val="16"/>
        <rFont val="Arial Narrow"/>
        <family val="2"/>
      </rPr>
      <t>externalidades no controladas y de adecuación para su debido uso</t>
    </r>
    <r>
      <rPr>
        <sz val="16"/>
        <rFont val="Arial Narrow"/>
        <family val="2"/>
      </rPr>
      <t>.</t>
    </r>
  </si>
  <si>
    <r>
      <t xml:space="preserve">El personal designado de la Farmacia Tecnologías en Salud realiza seguimiento mensual del inventario, con el fin de validar las características de calidad del producto; dando cumplimiento al procedimiento toma física de inventarios de medicamentos y dispositivos médicos </t>
    </r>
    <r>
      <rPr>
        <b/>
        <sz val="16"/>
        <color theme="1"/>
        <rFont val="Arial Narrow"/>
        <family val="2"/>
      </rPr>
      <t>Cod. FR-UNFA-PR-22.</t>
    </r>
  </si>
  <si>
    <r>
      <t xml:space="preserve">El Químico Farmacéutico de la Farmacia de Tecnologías en Salud, realiza trimestralmente la medición de adherencia al procedimiento: Recepción técnica de medicamentos, dispositivos médico quirúrgicos (DMQ), reactivos y demás insumos relacionados con el cuidado de la salud </t>
    </r>
    <r>
      <rPr>
        <b/>
        <sz val="16"/>
        <color theme="1"/>
        <rFont val="Arial Narrow"/>
        <family val="2"/>
      </rPr>
      <t>COD AA-UNFA-PR-15</t>
    </r>
    <r>
      <rPr>
        <sz val="16"/>
        <color theme="1"/>
        <rFont val="Arial Narrow"/>
        <family val="2"/>
      </rPr>
      <t xml:space="preserve"> mediante FT Evaluación de adherencia COD </t>
    </r>
    <r>
      <rPr>
        <b/>
        <sz val="16"/>
        <color theme="1"/>
        <rFont val="Arial Narrow"/>
        <family val="2"/>
      </rPr>
      <t>EM-CLDD-PR-01-FT-05</t>
    </r>
    <r>
      <rPr>
        <sz val="16"/>
        <color theme="1"/>
        <rFont val="Arial Narrow"/>
        <family val="2"/>
      </rPr>
      <t>, con el fin de mitigar las averías en productos.</t>
    </r>
  </si>
  <si>
    <t>GAAF_15</t>
  </si>
  <si>
    <t>Farmacia Producción y Adecuación de Medicamentos
Farmacia Salas  de Cirugía.
Farmacia de Salas de Maternidad.
Farmacia Tecnologías en Salud
(Medicamentos, Insumos Médico Quirúrgicos
de diagnóstico y reactivos)</t>
  </si>
  <si>
    <t>Vencimiento de tecnologías en salud asociada a no realizar gestión alguna para evitar la materialización del riesgo.</t>
  </si>
  <si>
    <t>Falta de control, descuido en los proceso de manejo de (productos próximos a vencer).</t>
  </si>
  <si>
    <r>
      <t xml:space="preserve">Posibilidad de afectación económica por </t>
    </r>
    <r>
      <rPr>
        <u/>
        <sz val="16"/>
        <rFont val="Arial Narrow"/>
        <family val="2"/>
      </rPr>
      <t>vencimiento de tecnologías en salud asociada a no realizar gestión alguna para evitar la materialización del riesgo</t>
    </r>
    <r>
      <rPr>
        <sz val="16"/>
        <rFont val="Arial Narrow"/>
        <family val="2"/>
      </rPr>
      <t xml:space="preserve">, debido a </t>
    </r>
    <r>
      <rPr>
        <u/>
        <sz val="16"/>
        <rFont val="Arial Narrow"/>
        <family val="2"/>
      </rPr>
      <t>falta de control, descuido en los proceso de manejo de productos próximos a vencer</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</si>
  <si>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t>X</t>
  </si>
  <si>
    <r>
      <t>El personal designado de cada farmacia reportará mensualmente al responsable de cada farmacia y al jefe de Unidad, el listado de medicamentos y dispositivos con fechas de vencimiento menores a 6 meses, con el fin gestionar el riesgo de sobrantes y faltantes en los inventarios. Siguiendo el procedimientos</t>
    </r>
    <r>
      <rPr>
        <b/>
        <sz val="16"/>
        <color theme="1"/>
        <rFont val="Arial Narrow"/>
        <family val="2"/>
      </rPr>
      <t xml:space="preserve"> PROCEDIMIENTO:  MANEJO DE PRODUCTOS PRÓXIMOS A VENCER, AVERIADOS Y VENCIDOS CÓDIGO: AA-UNFA-PR-20</t>
    </r>
  </si>
  <si>
    <t>El personal designado de la farmacia de tecnologías en salud (FTS) gestionará cada vez que sea requerido con los proveedores, los cambios necesarios de los medicamentos y dispositivos próximos a vencer con el fin de garantizar la vigencia de todos los elementos al interior de la farmacia  y el correcto manejo de inventarios mitigando la presencia de sobrantes y/o faltantes.</t>
  </si>
  <si>
    <t>manual</t>
  </si>
  <si>
    <t>AAM_01</t>
  </si>
  <si>
    <t>Urgencias</t>
  </si>
  <si>
    <t>Atención inoportuna  en el servicio de urgencias</t>
  </si>
  <si>
    <t xml:space="preserve">Clasificación equivocada en la atención médica inmediata (triage) por falta de adherencia al procedimiento de clasificación y valoración,  fallas en la clasificación por demanda de pacientes
</t>
  </si>
  <si>
    <r>
      <t xml:space="preserve">Posibilidad de afectación económica y reputacional por </t>
    </r>
    <r>
      <rPr>
        <u/>
        <sz val="16"/>
        <rFont val="Arial Narrow"/>
        <family val="2"/>
      </rPr>
      <t>atención inoportuna  en el servicio de urgencias</t>
    </r>
    <r>
      <rPr>
        <sz val="16"/>
        <rFont val="Arial Narrow"/>
        <family val="2"/>
      </rPr>
      <t xml:space="preserve">, debido a </t>
    </r>
    <r>
      <rPr>
        <u/>
        <sz val="16"/>
        <rFont val="Arial Narrow"/>
        <family val="2"/>
      </rPr>
      <t>clasificación equivocada en la atención médica inmediata (triage) por falta de adherencia al procedimiento de clasificación y valoración,  fallas en la clasificación por demanda de pacientes</t>
    </r>
    <r>
      <rPr>
        <sz val="16"/>
        <rFont val="Arial Narrow"/>
        <family val="2"/>
      </rPr>
      <t xml:space="preserve">.
</t>
    </r>
    <r>
      <rPr>
        <b/>
        <sz val="16"/>
        <rFont val="Arial Narrow"/>
        <family val="2"/>
      </rPr>
      <t xml:space="preserve">Nota:
</t>
    </r>
    <r>
      <rPr>
        <sz val="16"/>
        <rFont val="Arial Narrow"/>
        <family val="2"/>
      </rPr>
      <t xml:space="preserve">Se establece un mínimo de tolerancia para evidenciar la materialización del riesgo, este corresponde al 0,08% de clasificación equivocada en la atención médica trimestral (Triage). </t>
    </r>
  </si>
  <si>
    <r>
      <t xml:space="preserve">El responsable del servicio de urgencias, verifica permanentemente el cumplimiento de Clasificación y valoración en triage </t>
    </r>
    <r>
      <rPr>
        <b/>
        <sz val="16"/>
        <color theme="1"/>
        <rFont val="Arial Narrow"/>
        <family val="2"/>
      </rPr>
      <t>Cod.</t>
    </r>
    <r>
      <rPr>
        <sz val="16"/>
        <color theme="1"/>
        <rFont val="Arial Narrow"/>
        <family val="2"/>
      </rPr>
      <t xml:space="preserve"> </t>
    </r>
    <r>
      <rPr>
        <b/>
        <sz val="16"/>
        <color theme="1"/>
        <rFont val="Arial Narrow"/>
        <family val="2"/>
      </rPr>
      <t xml:space="preserve">AM-URGN-PR-14 </t>
    </r>
    <r>
      <rPr>
        <sz val="16"/>
        <color theme="1"/>
        <rFont val="Arial Narrow"/>
        <family val="2"/>
      </rPr>
      <t xml:space="preserve">versión 7, Tabla de clasificación de triage </t>
    </r>
    <r>
      <rPr>
        <b/>
        <sz val="16"/>
        <color theme="1"/>
        <rFont val="Arial Narrow"/>
        <family val="2"/>
      </rPr>
      <t>Cod.</t>
    </r>
    <r>
      <rPr>
        <sz val="16"/>
        <color theme="1"/>
        <rFont val="Arial Narrow"/>
        <family val="2"/>
      </rPr>
      <t xml:space="preserve"> </t>
    </r>
    <r>
      <rPr>
        <b/>
        <sz val="16"/>
        <color theme="1"/>
        <rFont val="Arial Narrow"/>
        <family val="2"/>
      </rPr>
      <t xml:space="preserve">AM-URGN-PR-14-FT-01, </t>
    </r>
    <r>
      <rPr>
        <sz val="16"/>
        <color theme="1"/>
        <rFont val="Arial Narrow"/>
        <family val="2"/>
      </rPr>
      <t>versión 5</t>
    </r>
    <r>
      <rPr>
        <b/>
        <sz val="16"/>
        <color theme="1"/>
        <rFont val="Arial Narrow"/>
        <family val="2"/>
      </rPr>
      <t xml:space="preserve"> </t>
    </r>
    <r>
      <rPr>
        <sz val="16"/>
        <color theme="1"/>
        <rFont val="Arial Narrow"/>
        <family val="2"/>
      </rPr>
      <t xml:space="preserve"> y Hoja de triage </t>
    </r>
    <r>
      <rPr>
        <b/>
        <sz val="16"/>
        <color theme="1"/>
        <rFont val="Arial Narrow"/>
        <family val="2"/>
      </rPr>
      <t xml:space="preserve">Cod. AM-URGE-PR-03-FT-06 </t>
    </r>
    <r>
      <rPr>
        <sz val="16"/>
        <color theme="1"/>
        <rFont val="Arial Narrow"/>
        <family val="2"/>
      </rPr>
      <t xml:space="preserve">versión 2, con el fin de garantizar la atención integral, oportuna, segura y humanizada en la atención del paciente que consulta el servicio de urgencias. </t>
    </r>
  </si>
  <si>
    <r>
      <t xml:space="preserve">El responsable del servicio de urgencias, coordina según cronograma la actualización, socialización, evaluación y medición de adherencia de los documentos asociados al servicio de urgencias (Clasificación y valoración en triage Cod. </t>
    </r>
    <r>
      <rPr>
        <b/>
        <sz val="16"/>
        <color theme="1"/>
        <rFont val="Arial Narrow"/>
        <family val="2"/>
      </rPr>
      <t>AM-URGN-PR-14 versión 7</t>
    </r>
    <r>
      <rPr>
        <sz val="16"/>
        <color theme="1"/>
        <rFont val="Arial Narrow"/>
        <family val="2"/>
      </rPr>
      <t xml:space="preserve">, Tabla de clasificación de triage Cod. </t>
    </r>
    <r>
      <rPr>
        <b/>
        <sz val="16"/>
        <color theme="1"/>
        <rFont val="Arial Narrow"/>
        <family val="2"/>
      </rPr>
      <t>AM-URGN-PR-14-FT-01, versión 5</t>
    </r>
    <r>
      <rPr>
        <sz val="16"/>
        <color theme="1"/>
        <rFont val="Arial Narrow"/>
        <family val="2"/>
      </rPr>
      <t xml:space="preserve"> y Hoja de triage Cod. </t>
    </r>
    <r>
      <rPr>
        <b/>
        <sz val="16"/>
        <color theme="1"/>
        <rFont val="Arial Narrow"/>
        <family val="2"/>
      </rPr>
      <t>AM-URGE-PR-03-FT-06 versión 2</t>
    </r>
    <r>
      <rPr>
        <sz val="16"/>
        <color theme="1"/>
        <rFont val="Arial Narrow"/>
        <family val="2"/>
      </rPr>
      <t>), con el fin de garantizar la atención integral, oportuna, segura y humanizada en la atención del paciente que consulta el servicio de urgencias.</t>
    </r>
  </si>
  <si>
    <t>AAM_02</t>
  </si>
  <si>
    <t>No cierre del ciclo de atención de los pacientes atendidos en el servicio de urgencias (asistencial y administrativo)</t>
  </si>
  <si>
    <t>Salida de pacientes sin autorización médica (Fuga)</t>
  </si>
  <si>
    <r>
      <t xml:space="preserve">Posibilidad de afectación económica y reputacional por </t>
    </r>
    <r>
      <rPr>
        <u/>
        <sz val="16"/>
        <rFont val="Arial Narrow"/>
        <family val="2"/>
      </rPr>
      <t>no cierre del ciclo de atención de los pacientes atendidos en el servicio de urgencias</t>
    </r>
    <r>
      <rPr>
        <sz val="16"/>
        <rFont val="Arial Narrow"/>
        <family val="2"/>
      </rPr>
      <t xml:space="preserve"> (asistencial y administrativo), debido a </t>
    </r>
    <r>
      <rPr>
        <u/>
        <sz val="16"/>
        <rFont val="Arial Narrow"/>
        <family val="2"/>
      </rPr>
      <t>salida de pacientes sin autorización médica</t>
    </r>
    <r>
      <rPr>
        <sz val="16"/>
        <rFont val="Arial Narrow"/>
        <family val="2"/>
      </rPr>
      <t>. (Fuga)</t>
    </r>
  </si>
  <si>
    <r>
      <t>El responsable de cada área del servicio de urgencias (Enfermería) deberá identificar e informar al área de seguridad, los pacientes con alto riesgo de fuga (Pacientes con alteración de salud mental),en el Formato:</t>
    </r>
    <r>
      <rPr>
        <b/>
        <sz val="16"/>
        <color theme="1"/>
        <rFont val="Arial Narrow"/>
        <family val="2"/>
      </rPr>
      <t xml:space="preserve"> GL-SEGU-PT-01</t>
    </r>
    <r>
      <rPr>
        <sz val="16"/>
        <color theme="1"/>
        <rFont val="Arial Narrow"/>
        <family val="2"/>
      </rPr>
      <t xml:space="preserve"> versión 1 - ACTUACIÓN FRENTE A LA FUGA DE USUARIOS.</t>
    </r>
  </si>
  <si>
    <t xml:space="preserve">El responsable del servicio de urgencias coordina con el servicio de enfermería, la educación continua del personal de enfermería, sobre el procedimiento de fugas. Adicionalmente de coordina con el personal de seguridad, el cubrimiento de guardas de seguridad, cámaras y puertas electrónicas en las diferentes salidas del servicio de urgencias, con el fin de mitigar la materialización del riesgo de salida de pacientes sin autorización médica. </t>
  </si>
  <si>
    <t>AAM_03</t>
  </si>
  <si>
    <t>Consulta Externa
Contact Center</t>
  </si>
  <si>
    <t>Insatisfacción de los usuarios atendidos por el HOMIL.</t>
  </si>
  <si>
    <t>Asignación de citas con servicios que no correspondan a la orden médica y a la autorización y falta de adherencia al procedimiento de asignación de citas médicas.</t>
  </si>
  <si>
    <r>
      <t xml:space="preserve">Posibilidad de afectación económica y reputacional por </t>
    </r>
    <r>
      <rPr>
        <u/>
        <sz val="16"/>
        <rFont val="Arial Narrow"/>
        <family val="2"/>
      </rPr>
      <t>insatisfacción de los usuarios atendidos por el HOMIL</t>
    </r>
    <r>
      <rPr>
        <sz val="16"/>
        <rFont val="Arial Narrow"/>
        <family val="2"/>
      </rPr>
      <t xml:space="preserve">, debido a la </t>
    </r>
    <r>
      <rPr>
        <u/>
        <sz val="16"/>
        <rFont val="Arial Narrow"/>
        <family val="2"/>
      </rPr>
      <t xml:space="preserve">asignación de citas con servicios que no correspondan a la orden médica y a la autorización y falta de adherencia al procedimiento de asignación de citas médicas en medios presenciales  (central de citas) y no presenciales (Telefónico y correo electrónico).
</t>
    </r>
    <r>
      <rPr>
        <b/>
        <u/>
        <sz val="16"/>
        <rFont val="Arial Narrow"/>
        <family val="2"/>
      </rPr>
      <t>Nota:</t>
    </r>
    <r>
      <rPr>
        <u/>
        <sz val="16"/>
        <rFont val="Arial Narrow"/>
        <family val="2"/>
      </rPr>
      <t xml:space="preserve">
</t>
    </r>
    <r>
      <rPr>
        <sz val="16"/>
        <rFont val="Arial Narrow"/>
        <family val="2"/>
      </rPr>
      <t xml:space="preserve">Se establece un mínimo de tolerancia para evidenciar la materialización del riesgo, este corresponde al 0,16% de errores agendados trimestralmente. </t>
    </r>
  </si>
  <si>
    <r>
      <t xml:space="preserve">El responsable del servicio de consulta externa, realiza el proceso de inducción cada vez que se requiera al personal de agentes para la central de citas y Contact Center. Trimestralmente se realiza capacitación de adherencia de protocolos y procedimientos de asignación de citas, Asignación de citas médicas y procedimientos </t>
    </r>
    <r>
      <rPr>
        <b/>
        <sz val="16"/>
        <color theme="1"/>
        <rFont val="Arial Narrow"/>
        <family val="2"/>
      </rPr>
      <t>Cod. AM-COEX-PR-01-IN-02</t>
    </r>
    <r>
      <rPr>
        <sz val="16"/>
        <color theme="1"/>
        <rFont val="Arial Narrow"/>
        <family val="2"/>
      </rPr>
      <t xml:space="preserve"> versión 3, con el fin de fortalecer conocimientos y capacidades de los agentes encargados de la asignación de citas.</t>
    </r>
  </si>
  <si>
    <t>AAM_04</t>
  </si>
  <si>
    <t>Consulta Externa</t>
  </si>
  <si>
    <t>Lesión o daño en el paciente durante la prestación del servicio</t>
  </si>
  <si>
    <t>Fallas en el manejo y adherencia a las guías, protocolos, procedimientos de gestión ambulatoria por el personal de salud en el sitio de trabajo.</t>
  </si>
  <si>
    <r>
      <t xml:space="preserve">Posibilidad de afectación reputacional por </t>
    </r>
    <r>
      <rPr>
        <u/>
        <sz val="16"/>
        <rFont val="Arial Narrow"/>
        <family val="2"/>
      </rPr>
      <t>lesión o daño en el paciente durante la prestación del servicio</t>
    </r>
    <r>
      <rPr>
        <sz val="16"/>
        <rFont val="Arial Narrow"/>
        <family val="2"/>
      </rPr>
      <t xml:space="preserve">, </t>
    </r>
    <r>
      <rPr>
        <u/>
        <sz val="16"/>
        <rFont val="Arial Narrow"/>
        <family val="2"/>
      </rPr>
      <t xml:space="preserve"> por fallas en la manejo y adherencia a las guías, protocolos, procedimientos de gestión ambulatoria por el personal de salud en el sitio de trabajo</t>
    </r>
    <r>
      <rPr>
        <sz val="16"/>
        <rFont val="Arial Narrow"/>
        <family val="2"/>
      </rPr>
      <t>.</t>
    </r>
  </si>
  <si>
    <t xml:space="preserve">El responsable del servicio de consulta externa, deberá realizar cada vez que se requiera, educación continuada al personal del área asistencial (enfermería) y realizar retroalimentación a la Subdirección Médica, con el fin de minimizar los eventos adversos durante la prestación del servicio (consulta y/o procedimientos). 
Los casos positivos identificados, serán evaluados desde el área de gestión de calidad, con el fin de identificar las debilidades durante la prestación del servicio y realizar el plan de mejora. </t>
  </si>
  <si>
    <t>AAM_05</t>
  </si>
  <si>
    <t xml:space="preserve">Consulta Externa
Radiología. </t>
  </si>
  <si>
    <t>Recibir o solicitar cualquier dadiva o beneficio a nombre propio o de terceros</t>
  </si>
  <si>
    <t>Manejo de influencias en la asignación de citas médicas y falla en adherencia a los protocolos institucionales por parte de los funcionarios de asignación de citas.</t>
  </si>
  <si>
    <r>
      <t xml:space="preserve">Posibilidad de afectación económica y reputacional, </t>
    </r>
    <r>
      <rPr>
        <u/>
        <sz val="16"/>
        <rFont val="Arial Narrow"/>
        <family val="2"/>
      </rPr>
      <t>recibir o solicitar cualquier dádiva o beneficio a nombre propio o de terceros</t>
    </r>
    <r>
      <rPr>
        <sz val="16"/>
        <rFont val="Arial Narrow"/>
        <family val="2"/>
      </rPr>
      <t xml:space="preserve">, debido al </t>
    </r>
    <r>
      <rPr>
        <u/>
        <sz val="16"/>
        <rFont val="Arial Narrow"/>
        <family val="2"/>
      </rPr>
      <t>manejo de influencias en la asignación de citas médicas y falla en adherencia a los protocolos institucionales por parte de los funcionarios de asignación de citas</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</si>
  <si>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r>
      <t xml:space="preserve">El responsable del servicio de consulta externa, verificará mensualmente el cumplimiento del procedimiento de asignación de citas que se realice de acuerdo a lo establecido en el procedimiento Cod. </t>
    </r>
    <r>
      <rPr>
        <b/>
        <sz val="16"/>
        <color theme="1"/>
        <rFont val="Arial Narrow"/>
        <family val="2"/>
      </rPr>
      <t xml:space="preserve">AM-COEX-PR-01-IN-02, </t>
    </r>
    <r>
      <rPr>
        <sz val="16"/>
        <color theme="1"/>
        <rFont val="Arial Narrow"/>
        <family val="2"/>
      </rPr>
      <t>y trimestralmente capacita y retroalimenta al personal a cargo de la asignación de citas, dando cumpliemto al código de ética y buen gobierno de la entidad.</t>
    </r>
  </si>
  <si>
    <t>AAM_06</t>
  </si>
  <si>
    <t>Consulta Externa
Radiología</t>
  </si>
  <si>
    <t>Pérdida de medicamentos e insumos hospitalarios en custodia del servicio de  enfermería en consulta externa.
(Sala de procedimientos menores y vacunación)</t>
  </si>
  <si>
    <r>
      <t xml:space="preserve">Posibilidad de afectación económica y reputacional, asociado a </t>
    </r>
    <r>
      <rPr>
        <u/>
        <sz val="16"/>
        <rFont val="Arial Narrow"/>
        <family val="2"/>
      </rPr>
      <t>seguridad del paciente</t>
    </r>
    <r>
      <rPr>
        <sz val="16"/>
        <rFont val="Arial Narrow"/>
        <family val="2"/>
      </rPr>
      <t xml:space="preserve">, debido a la </t>
    </r>
    <r>
      <rPr>
        <u/>
        <sz val="16"/>
        <rFont val="Arial Narrow"/>
        <family val="2"/>
      </rPr>
      <t>pérdida de medicamentos e insumos hospitalarios en custodia del servicio de enfermería en consulta externa</t>
    </r>
    <r>
      <rPr>
        <sz val="16"/>
        <rFont val="Arial Narrow"/>
        <family val="2"/>
      </rPr>
      <t>.</t>
    </r>
  </si>
  <si>
    <r>
      <t xml:space="preserve">El profesional de enfermería encargado del área (sala de procedimientos menores y vacunación), mensualmente y/o cuando se hace uso de los medicamentos que conforman el carro de paro y nevera de biológicos, se realiza inventario en el formato de Informe Verificación del carro de paro Código: </t>
    </r>
    <r>
      <rPr>
        <b/>
        <sz val="16"/>
        <color theme="1"/>
        <rFont val="Arial Narrow"/>
        <family val="2"/>
      </rPr>
      <t>AH-SACI-GM-01-DI-01-FT-16</t>
    </r>
    <r>
      <rPr>
        <sz val="16"/>
        <color theme="1"/>
        <rFont val="Arial Narrow"/>
        <family val="2"/>
      </rPr>
      <t>, y se da cumplimiento al Manual Técnico Administrativo del PAI, con el fin de maneterner el control de medicamentos (Stock y fechas de vencimiento).</t>
    </r>
  </si>
  <si>
    <t>AHO_01</t>
  </si>
  <si>
    <t>Clínica Médica
(Epidemiología)</t>
  </si>
  <si>
    <t>Cierre de áreas debido a brotes o enfermedades infecciosas que puedan limitar la prestación del servicio a los usuarios atendidos por el HOMIL.</t>
  </si>
  <si>
    <t>Fallas de adherencia a la guías protocolos, procedimientos, alta rotación del personal de salud en áreas de hospitalización.</t>
  </si>
  <si>
    <r>
      <t xml:space="preserve">Posibilidad de afectación reputacional por </t>
    </r>
    <r>
      <rPr>
        <u/>
        <sz val="16"/>
        <rFont val="Arial Narrow"/>
        <family val="2"/>
      </rPr>
      <t>cierre de áreas debido a brotes o enfermedades infecciosas que puedan limitar la prestación del servicio a los usuarios atendidos por el HOMIL</t>
    </r>
    <r>
      <rPr>
        <sz val="16"/>
        <rFont val="Arial Narrow"/>
        <family val="2"/>
      </rPr>
      <t xml:space="preserve">, debido a </t>
    </r>
    <r>
      <rPr>
        <u/>
        <sz val="16"/>
        <rFont val="Arial Narrow"/>
        <family val="2"/>
      </rPr>
      <t>fallas de adherencia a guías, protocolos, procedimientos y a la alta rotación del personal de salud en áreas de hospitalización</t>
    </r>
    <r>
      <rPr>
        <sz val="16"/>
        <rFont val="Arial Narrow"/>
        <family val="2"/>
      </rPr>
      <t>.</t>
    </r>
  </si>
  <si>
    <t>El responsable de hospitalización junto al responsable del grupo de calidad y enfermería, realizan mensualmente la verificación del cumplimiento de guías, protocolos y procedimientos por medio de capacitaciones, inducciones y evaluaciones de adherencia.</t>
  </si>
  <si>
    <t>AHO_02</t>
  </si>
  <si>
    <t>Hospitalización</t>
  </si>
  <si>
    <t>Lesión o daño en el paciente durante la prestación del servicio de salud.</t>
  </si>
  <si>
    <t>Error en el manejo y adherencia a las guías, protocolos, procedimientos de hospitalización por el personal de salud en el sitio de trabajo.</t>
  </si>
  <si>
    <r>
      <t xml:space="preserve">Posibilidad de afectación reputacional por </t>
    </r>
    <r>
      <rPr>
        <u/>
        <sz val="16"/>
        <rFont val="Arial Narrow"/>
        <family val="2"/>
      </rPr>
      <t>lesión o daño en el paciente durante la prestación del servicio de salud</t>
    </r>
    <r>
      <rPr>
        <sz val="16"/>
        <rFont val="Arial Narrow"/>
        <family val="2"/>
      </rPr>
      <t xml:space="preserve">, debido a  </t>
    </r>
    <r>
      <rPr>
        <u/>
        <sz val="16"/>
        <rFont val="Arial Narrow"/>
        <family val="2"/>
      </rPr>
      <t>errores en el manejo y adherencia a las guías, protocolos, procedimientos de hospitalización por el personal de salud en el sitio de trabajo</t>
    </r>
    <r>
      <rPr>
        <sz val="16"/>
        <rFont val="Arial Narrow"/>
        <family val="2"/>
      </rPr>
      <t>.</t>
    </r>
  </si>
  <si>
    <t>El responsable de hospitalización junto al responsable del grupo de calidad y enfermería, realizan cada vez que se requiera la verificación del cumplimiento de guías, protocolos y procedimientos por medio de capacitaciones, inducciones y evaluaciones de adherencia.</t>
  </si>
  <si>
    <t>AHO_03</t>
  </si>
  <si>
    <t>Salas de Cirugía</t>
  </si>
  <si>
    <t>Atención inoportuna en la prestación del servicio de salud a los usuarios atendidos por el HOMIL.</t>
  </si>
  <si>
    <t>Debilidades en el proceso de programación de cirugía.</t>
  </si>
  <si>
    <r>
      <t xml:space="preserve">Posibilidad de afectación económica y reputacional por </t>
    </r>
    <r>
      <rPr>
        <u/>
        <sz val="16"/>
        <rFont val="Arial Narrow"/>
        <family val="2"/>
      </rPr>
      <t>atención inoportuna en la prestación del servicio de salud a los usuarios atendidos por el HOMIL</t>
    </r>
    <r>
      <rPr>
        <sz val="16"/>
        <rFont val="Arial Narrow"/>
        <family val="2"/>
      </rPr>
      <t xml:space="preserve">, debido a </t>
    </r>
    <r>
      <rPr>
        <u/>
        <sz val="16"/>
        <rFont val="Arial Narrow"/>
        <family val="2"/>
      </rPr>
      <t>debilidades en el proceso de programación de cirugía</t>
    </r>
    <r>
      <rPr>
        <sz val="16"/>
        <rFont val="Arial Narrow"/>
        <family val="2"/>
      </rPr>
      <t>.</t>
    </r>
  </si>
  <si>
    <t>El jefe de la oficina de programación de cirugías, verifica semanalmente el programa quirúrgico para garantizar la realización de los procedimientos programados.</t>
  </si>
  <si>
    <t>El jefe de la oficina de programación de cirugías garantiza diariamente el cumplimiento de los requisitos de los pacientes para la programación de cirugía, con el fin de optimizar el uso de las salas de cirugía.</t>
  </si>
  <si>
    <t>AHO_04</t>
  </si>
  <si>
    <t>Enfermería</t>
  </si>
  <si>
    <t>Multas, sanciones, PQRSD, glosas y eventos adversos.</t>
  </si>
  <si>
    <t xml:space="preserve">Falta de adherencia a las guías, procedimientos y protocolos del servicio de enfermería. </t>
  </si>
  <si>
    <r>
      <t xml:space="preserve">Posibilidad de afectación económica y reputacional por </t>
    </r>
    <r>
      <rPr>
        <u/>
        <sz val="16"/>
        <rFont val="Arial Narrow"/>
        <family val="2"/>
      </rPr>
      <t>multas, sanciones, PQRSD, glosas y eventos adversos</t>
    </r>
    <r>
      <rPr>
        <sz val="16"/>
        <rFont val="Arial Narrow"/>
        <family val="2"/>
      </rPr>
      <t xml:space="preserve">, debido a la </t>
    </r>
    <r>
      <rPr>
        <u/>
        <sz val="16"/>
        <rFont val="Arial Narrow"/>
        <family val="2"/>
      </rPr>
      <t>falta de adherencia a las guías, procedimientos y protocolos del servicio de enfermería</t>
    </r>
    <r>
      <rPr>
        <sz val="16"/>
        <rFont val="Arial Narrow"/>
        <family val="2"/>
      </rPr>
      <t xml:space="preserve">. </t>
    </r>
  </si>
  <si>
    <r>
      <t xml:space="preserve">El responsable del servicio de enfermería junto al equipo de educación y supervisión de enfermería de los diferentes turnos (Mañana, tarde, noche 1 y noche 2), deben garantizar lo establecido en el cronograma de capacitación anual de enfermería, con fin de dar cumplimiento al programa de inducción, reinducción y capacitación </t>
    </r>
    <r>
      <rPr>
        <b/>
        <sz val="16"/>
        <color theme="1"/>
        <rFont val="Arial Narrow"/>
        <family val="2"/>
      </rPr>
      <t>Cod. AM-ENFE-PP-01</t>
    </r>
    <r>
      <rPr>
        <sz val="16"/>
        <color theme="1"/>
        <rFont val="Arial Narrow"/>
        <family val="2"/>
      </rPr>
      <t xml:space="preserve"> de 2018, cuyo objetivo es fortalecer las destrezas, habilidades, valores, competencias y el desarrollo integral del personal profesional y técnico del Servicio de Enfermería, para responder de manera oportuna, segura y con calidad a las necesidades presentadas en el servicio.</t>
    </r>
  </si>
  <si>
    <t xml:space="preserve">El responsable del servicio de enfermería junto al equipo de educación y supervisión de enfermería de los diferentes turnos (Mañana, tarde, noche 1 y noche 2), realizan el seguimiento mensual al cumplimiento de las guías, procedimientos, protocolos y Plan de Atención de enfermería (propios y transversales), mediante le medición de adherencia a los mismos, con el propósito de evaluar la aplicación de las guías, procedimientos, protocolos y Plan de Atención de enfermería (propios y transversales) e identificar oportunidades de mejora en el servicio de enfermería. </t>
  </si>
  <si>
    <t>AHO_05</t>
  </si>
  <si>
    <t>Atención inoportuna en la prestación del servicio de salud a los usuarios atendidos por el Hospital Militar Central.</t>
  </si>
  <si>
    <t>Pérdida de medicamentos e insumos hospitalarios en custodia del servicio de enfermería.</t>
  </si>
  <si>
    <r>
      <t xml:space="preserve">Posibilidad de afectación económica y reputacional por </t>
    </r>
    <r>
      <rPr>
        <u/>
        <sz val="16"/>
        <rFont val="Arial Narrow"/>
        <family val="2"/>
      </rPr>
      <t>atención inoportuna en la prestación del servicio de salud a los usuarios atendidos por el HOMIL</t>
    </r>
    <r>
      <rPr>
        <sz val="16"/>
        <rFont val="Arial Narrow"/>
        <family val="2"/>
      </rPr>
      <t xml:space="preserve">, debido a la </t>
    </r>
    <r>
      <rPr>
        <u/>
        <sz val="16"/>
        <rFont val="Arial Narrow"/>
        <family val="2"/>
      </rPr>
      <t>pérdida de medicamentos e insumos hospitalarios en custodia del servicio de enfermería</t>
    </r>
    <r>
      <rPr>
        <sz val="16"/>
        <rFont val="Arial Narrow"/>
        <family val="2"/>
      </rPr>
      <t>.</t>
    </r>
  </si>
  <si>
    <r>
      <t>El responsable del servicio de enfermería con su equipo de trabajo, verifica trimestralmente mediante la socialización y medición de adherencia al protocolo de administración segura de medicamentos  CÓDIGO:</t>
    </r>
    <r>
      <rPr>
        <b/>
        <sz val="16"/>
        <color theme="1"/>
        <rFont val="Arial Narrow"/>
        <family val="2"/>
      </rPr>
      <t xml:space="preserve"> PM-ENFE-PT-01, </t>
    </r>
    <r>
      <rPr>
        <sz val="16"/>
        <color theme="1"/>
        <rFont val="Arial Narrow"/>
        <family val="2"/>
      </rPr>
      <t>con el propósito de unificar los lineamientos generales para la administración de medicamentos en el paciente hospitalizado o atendido por urgencias como estrategia de seguridad del paciente durante el proceso de atención en salud con el fin de disminuir el potencial de riesgo de incidentes o eventos adversos relacionados con la administración de los mismos.</t>
    </r>
  </si>
  <si>
    <t>GCO_01</t>
  </si>
  <si>
    <t>Escuela de Auxiliares de Enfermería</t>
  </si>
  <si>
    <t>Incumplimiento en el desarrollo del programa académico de la Escuela de Auxiliares de Enfermería.</t>
  </si>
  <si>
    <t>Rotación del personal docente, mejores ofertas laborales en el mercado y modalidad  de contratación con mejores garantías para los docentes.</t>
  </si>
  <si>
    <r>
      <t xml:space="preserve">Posibilidad de afectación económica y reputacional por </t>
    </r>
    <r>
      <rPr>
        <u/>
        <sz val="16"/>
        <rFont val="Arial Narrow"/>
        <family val="2"/>
      </rPr>
      <t>incumplimiento en el desarrollo del programa académico de la Escuela de Auxiliares de Enfermería</t>
    </r>
    <r>
      <rPr>
        <sz val="16"/>
        <rFont val="Arial Narrow"/>
        <family val="2"/>
      </rPr>
      <t xml:space="preserve">, debido a la </t>
    </r>
    <r>
      <rPr>
        <u/>
        <sz val="16"/>
        <rFont val="Arial Narrow"/>
        <family val="2"/>
      </rPr>
      <t>rotación del personal docente por mejores ofertas laborales en el mercado y modalidad de contratación con mejores garantías para los docentes</t>
    </r>
    <r>
      <rPr>
        <sz val="16"/>
        <rFont val="Arial Narrow"/>
        <family val="2"/>
      </rPr>
      <t xml:space="preserve">. </t>
    </r>
  </si>
  <si>
    <t>El Director de la ESAE verifica y define de manera anual las obligaciones contractuales a desarrollar por parte del personal docente, por medio de los estudios previos, con fin de validar su experiencia y continuidad laboral.</t>
  </si>
  <si>
    <r>
      <t xml:space="preserve">El Director de la </t>
    </r>
    <r>
      <rPr>
        <b/>
        <sz val="16"/>
        <color theme="1"/>
        <rFont val="Arial Narrow"/>
        <family val="2"/>
      </rPr>
      <t>ESAE</t>
    </r>
    <r>
      <rPr>
        <sz val="16"/>
        <color theme="1"/>
        <rFont val="Arial Narrow"/>
        <family val="2"/>
      </rPr>
      <t xml:space="preserve"> realiza convocatorias de manera trimestral a través de la divulgación del calendario académico en página web y redes sociales del HOMIL, con el fin de promover la inscripción y admisión de aspirantes.</t>
    </r>
  </si>
  <si>
    <t>La coordinadora académica con colaboración docente, realiza semanalmente el seguimiento de retención, por medio de resultados académicos y ausentismo de los estudiantes. (listados de asistencias y reportes de calificaciones)</t>
  </si>
  <si>
    <t>GCO_02</t>
  </si>
  <si>
    <t>Disminución en los ingresos de la Escuela de Auxiliares de Enfermería.</t>
  </si>
  <si>
    <t>Baja captación de los aspirantes al programa académico de acuerdo a la capacidad instalada y posible deserción estudiantil.</t>
  </si>
  <si>
    <r>
      <t xml:space="preserve">Posibilidad de afectación económica por </t>
    </r>
    <r>
      <rPr>
        <u/>
        <sz val="16"/>
        <rFont val="Arial Narrow"/>
        <family val="2"/>
      </rPr>
      <t>disminución en los ingresos de la Escuela de Auxiliares de Enfermería</t>
    </r>
    <r>
      <rPr>
        <sz val="16"/>
        <rFont val="Arial Narrow"/>
        <family val="2"/>
      </rPr>
      <t xml:space="preserve">, debido a la </t>
    </r>
    <r>
      <rPr>
        <u/>
        <sz val="16"/>
        <rFont val="Arial Narrow"/>
        <family val="2"/>
      </rPr>
      <t>baja captación de los aspirantes al programa académico de acuerdo a la capacidad instalada y posible deserción estudiantil</t>
    </r>
    <r>
      <rPr>
        <sz val="16"/>
        <rFont val="Arial Narrow"/>
        <family val="2"/>
      </rPr>
      <t>.</t>
    </r>
  </si>
  <si>
    <t>GCO_03</t>
  </si>
  <si>
    <t>Formación en Salud</t>
  </si>
  <si>
    <t>Incumplimiento a la normatividad y sanciones del ente regulador llevando a la cancelación  del escenario de práctica.</t>
  </si>
  <si>
    <t>Autorización de prácticas formativas sin convenio docencia servicio.</t>
  </si>
  <si>
    <r>
      <t xml:space="preserve">Posibilidad de afectación reputacional por </t>
    </r>
    <r>
      <rPr>
        <u/>
        <sz val="16"/>
        <rFont val="Arial Narrow"/>
        <family val="2"/>
      </rPr>
      <t>incumplimiento a la normatividad y sanciones del ente regulador llevando a la cancelación del escenario de práctica</t>
    </r>
    <r>
      <rPr>
        <sz val="16"/>
        <rFont val="Arial Narrow"/>
        <family val="2"/>
      </rPr>
      <t xml:space="preserve">, debido a </t>
    </r>
    <r>
      <rPr>
        <u/>
        <sz val="16"/>
        <rFont val="Arial Narrow"/>
        <family val="2"/>
      </rPr>
      <t>autorización de prácticas formativas sin convenio docencia servicio</t>
    </r>
    <r>
      <rPr>
        <sz val="16"/>
        <rFont val="Arial Narrow"/>
        <family val="2"/>
      </rPr>
      <t>.</t>
    </r>
  </si>
  <si>
    <t>La jefe de Unidad de Formación y Docencia define trimestralmente  el seguimiento y evaluación a los convenios docencia servicio por medio de los comités Docencia servicio con las instituciones educativas, con el fin de administrar adecuadamente la ejecución de los convenios.</t>
  </si>
  <si>
    <t xml:space="preserve">La jefe de Unidad de Formación y Docencia realiza de manera semestral el control de los estudiantes por medio de la plataforma de relación docencia servicio, teniendo en cuenta los cupos aprobados a las instituciones educativas en convenio Docencia Servicio. </t>
  </si>
  <si>
    <t>GCO_04</t>
  </si>
  <si>
    <t>Investigación
Laboratorio de Innovación INNLAB</t>
  </si>
  <si>
    <t>Pérdida de beneficios obtenidos a partir del reconocimiento de la titularidad de la propiedad  intelectual.</t>
  </si>
  <si>
    <t>Falta de implementación de medidas necesarias para asegurar la titularidad patrimonial de autor y de derechos de propiedad industrial a favor del HOMIL.</t>
  </si>
  <si>
    <r>
      <t xml:space="preserve">Posibilidad de afectación económica y reputacional por </t>
    </r>
    <r>
      <rPr>
        <u/>
        <sz val="16"/>
        <rFont val="Arial Narrow"/>
        <family val="2"/>
      </rPr>
      <t>pérdida de beneficios obtenidos a partir del reconocimiento de la titularidad de la propiedad intelectual</t>
    </r>
    <r>
      <rPr>
        <sz val="16"/>
        <rFont val="Arial Narrow"/>
        <family val="2"/>
      </rPr>
      <t xml:space="preserve">, debido a la </t>
    </r>
    <r>
      <rPr>
        <u/>
        <sz val="16"/>
        <rFont val="Arial Narrow"/>
        <family val="2"/>
      </rPr>
      <t>falta de implementación de medidas necesarias para asegurar la titularidad patrimonial de autor y de derechos de propiedad industrial a favor del HOMIL</t>
    </r>
    <r>
      <rPr>
        <sz val="16"/>
        <rFont val="Arial Narrow"/>
        <family val="2"/>
      </rPr>
      <t>.</t>
    </r>
  </si>
  <si>
    <t>La jefe de la Unidad de Investigación Científica,  verifica semestralmente que los proyectos de investigación presentados en comité interno cuenten con un documento donde las partes involucradas en el desarrollo del proyecto firman un acuerdo en relación con los derechos de propiedad intelectual de los posibles productos derivados de la investigación. (Declaración de autoría)</t>
  </si>
  <si>
    <t>La jefe de la Unidad de Investigación Científica, revisa semestralmente los contratos o convenios suscritos por los representantes legales del Hospital Militar Central y las demás partes involucradas en el desarrollo de las investigaciones, en el cual se regula la titularidad y explotación de los derechos de propiedad intelectual que resulten como consecuencia del desarrollo de la respectiva investigación.</t>
  </si>
  <si>
    <t>GCO_05</t>
  </si>
  <si>
    <t>Desarrollo de proyectos de
investigación sin aval institucional.</t>
  </si>
  <si>
    <t>Falta de adherencia a la Política de Investigación Ética e Integridad Científica y procedimiento de investigación académica.</t>
  </si>
  <si>
    <r>
      <t xml:space="preserve">Posibilidad de afectación económica y reputacional por </t>
    </r>
    <r>
      <rPr>
        <u/>
        <sz val="16"/>
        <rFont val="Arial Narrow"/>
        <family val="2"/>
      </rPr>
      <t>desarrollo de proyectos de investigación sin aval institucional</t>
    </r>
    <r>
      <rPr>
        <sz val="16"/>
        <rFont val="Arial Narrow"/>
        <family val="2"/>
      </rPr>
      <t xml:space="preserve">, debido a la </t>
    </r>
    <r>
      <rPr>
        <u/>
        <sz val="16"/>
        <rFont val="Arial Narrow"/>
        <family val="2"/>
      </rPr>
      <t>falta de adherencia a la Política de Investigación Ética e Integridad Científica y procedimiento de investigación académica</t>
    </r>
    <r>
      <rPr>
        <sz val="16"/>
        <rFont val="Arial Narrow"/>
        <family val="2"/>
      </rPr>
      <t>.</t>
    </r>
  </si>
  <si>
    <t>El jefe de la Unidad de Investigación Científica, verifica semestralmente que todos los proyectos de investigación en curso, cuenten con registro en el sistema de información de la unidad y cuenten con aval institucional. 
(Acta de comité de investigación)</t>
  </si>
  <si>
    <t>El jefe de la Unidad de Investigación Científica, verifica anualmente que los proyectos cumplan con los requisitos consignados en la resolución de convocatoria de proyectos de investigación, antes de ser sometidos a consideración para la asignación de recursos.
(Resolución de aprobación de proyectos de investigación científica y asignación de recursos para su financiación)</t>
  </si>
  <si>
    <t>GHU_01</t>
  </si>
  <si>
    <t>Administración de Personal.
Régimen Interno</t>
  </si>
  <si>
    <t>Sanciones, multas y demandas</t>
  </si>
  <si>
    <t xml:space="preserve">Incumplimiento de los requisitos legales y/o propios del empleo en los procesos de vinculación de la entidad y/o Militares en comisión. </t>
  </si>
  <si>
    <r>
      <t xml:space="preserve">Posibilidad de afectación económica y reputacional por </t>
    </r>
    <r>
      <rPr>
        <u/>
        <sz val="16"/>
        <rFont val="Arial Narrow"/>
        <family val="2"/>
      </rPr>
      <t>sanciones, multas y demandas</t>
    </r>
    <r>
      <rPr>
        <sz val="16"/>
        <rFont val="Arial Narrow"/>
        <family val="2"/>
      </rPr>
      <t xml:space="preserve">, debido al </t>
    </r>
    <r>
      <rPr>
        <u/>
        <sz val="16"/>
        <rFont val="Arial Narrow"/>
        <family val="2"/>
      </rPr>
      <t>incumplimiento de los requisitos legales y/o propios del empleo en los procesos de vinculación de la entidad y/o Militares en comisión.</t>
    </r>
  </si>
  <si>
    <r>
      <t xml:space="preserve">El responsable del área de Administración de Personal de la Unidad de Talento Humano, verifican cada vez que se requiera la idoneidad del aspirante dando cumplimiento a lo establecido en el procedimiento integral del área de administración de personal para el ingreso - permanencia y retiro de servidores públicos, Cód. </t>
    </r>
    <r>
      <rPr>
        <b/>
        <sz val="16"/>
        <color theme="1"/>
        <rFont val="Arial Narrow"/>
        <family val="2"/>
      </rPr>
      <t>GH-ADPE-PR-01</t>
    </r>
    <r>
      <rPr>
        <sz val="16"/>
        <color theme="1"/>
        <rFont val="Arial Narrow"/>
        <family val="2"/>
      </rPr>
      <t>, con el fin de dar cumplimiento a la normatividad vigente.</t>
    </r>
  </si>
  <si>
    <t xml:space="preserve">El responsable del Área de Administración de Personal de la Unidad de Talento Humano verifican cada vez que se requiera en la plataforma SIGEP II el correcto diligenciamiento y cargue de soportes de la Hoja de Vida y actualización oportuna de la declaración de bienes y rentas de cada servidor público. </t>
  </si>
  <si>
    <r>
      <t xml:space="preserve">El responsable del área de Régimen Interno, verifica cada vez que se requiera la orden de traslado del personal Militar en comisión, con el fin de garantizar el cumplimiento de lo establecido en el procedimiento Cód </t>
    </r>
    <r>
      <rPr>
        <b/>
        <sz val="16"/>
        <color theme="1"/>
        <rFont val="Arial Narrow"/>
        <family val="2"/>
      </rPr>
      <t xml:space="preserve">GH-REIN-PR-01-FT-01 - </t>
    </r>
    <r>
      <rPr>
        <sz val="16"/>
        <color theme="1"/>
        <rFont val="Arial Narrow"/>
        <family val="2"/>
      </rPr>
      <t>LISTA  DE  VERIFICACION  CARPETA  DATOS PERSONALES.</t>
    </r>
  </si>
  <si>
    <r>
      <t xml:space="preserve">El responsable del área de régimen Interno, gestiona la custodia de las carpetas de datos personales de militares en comisión y actualiza la información cada vez que se requiera, garantizando el cumplimiento del procedimiento </t>
    </r>
    <r>
      <rPr>
        <b/>
        <sz val="16"/>
        <color theme="1"/>
        <rFont val="Arial Narrow"/>
        <family val="2"/>
      </rPr>
      <t>Cód: GH-REIN-PR-01.</t>
    </r>
  </si>
  <si>
    <t>GHU_02</t>
  </si>
  <si>
    <t>Administración de Personal.</t>
  </si>
  <si>
    <t>Sanciones , multas y demandas</t>
  </si>
  <si>
    <t>Traslado de personal sin verificar idoneidad y/o condiciones de salud para desempeñar el empleo.</t>
  </si>
  <si>
    <r>
      <t xml:space="preserve">Posibilidad de afectación económica y reputacional por </t>
    </r>
    <r>
      <rPr>
        <u/>
        <sz val="16"/>
        <rFont val="Arial Narrow"/>
        <family val="2"/>
      </rPr>
      <t>sanciones, multas y demandas</t>
    </r>
    <r>
      <rPr>
        <sz val="16"/>
        <rFont val="Arial Narrow"/>
        <family val="2"/>
      </rPr>
      <t xml:space="preserve">, debido al </t>
    </r>
    <r>
      <rPr>
        <u/>
        <sz val="16"/>
        <rFont val="Arial Narrow"/>
        <family val="2"/>
      </rPr>
      <t>traslado de personal sin verificar idoneidad y/o condiciones de salud para desempeñar el empleo</t>
    </r>
    <r>
      <rPr>
        <sz val="16"/>
        <rFont val="Arial Narrow"/>
        <family val="2"/>
      </rPr>
      <t>.</t>
    </r>
  </si>
  <si>
    <r>
      <t xml:space="preserve">Los auxiliares del Área de Administración de Personal de la Unidad de Talento Humano, verifican cada vez que se requiera los criterios establecidos en el instructivo Movimiento interno del personal de la planta global en sus diferentes unidades, áreas y/o servicios, cód, </t>
    </r>
    <r>
      <rPr>
        <b/>
        <sz val="16"/>
        <color theme="1"/>
        <rFont val="Arial Narrow"/>
        <family val="2"/>
      </rPr>
      <t>GH-SUAD-CP-03</t>
    </r>
    <r>
      <rPr>
        <sz val="16"/>
        <color theme="1"/>
        <rFont val="Arial Narrow"/>
        <family val="2"/>
      </rPr>
      <t xml:space="preserve">, con el fin de llevar una adecuada administración del recurso humano y salvaguardar los derechos de los servidores públicos. </t>
    </r>
  </si>
  <si>
    <t>GHU_03</t>
  </si>
  <si>
    <t>Oficina Control Disciplinario Interno</t>
  </si>
  <si>
    <t>Manipulación del proceso disciplinario en beneficio del investigado.</t>
  </si>
  <si>
    <r>
      <t xml:space="preserve">Posibilidad de afectación económica y reputacional  por </t>
    </r>
    <r>
      <rPr>
        <u/>
        <sz val="16"/>
        <rFont val="Arial Narrow"/>
        <family val="2"/>
      </rPr>
      <t>recibir o solicitar cualquier dadiva o beneficio a nombre propio o de terceros</t>
    </r>
    <r>
      <rPr>
        <sz val="16"/>
        <rFont val="Arial Narrow"/>
        <family val="2"/>
      </rPr>
      <t xml:space="preserve">, debido a la </t>
    </r>
    <r>
      <rPr>
        <u/>
        <sz val="16"/>
        <rFont val="Arial Narrow"/>
        <family val="2"/>
      </rPr>
      <t>manipulación del proceso disciplinario en beneficio del investigado</t>
    </r>
    <r>
      <rPr>
        <sz val="16"/>
        <rFont val="Arial Narrow"/>
        <family val="2"/>
      </rPr>
      <t xml:space="preserve">.
(La económica se presentaría como consecuencia de un fallo de reparación directa en contra del HOMIL).
</t>
    </r>
    <r>
      <rPr>
        <b/>
        <sz val="16"/>
        <rFont val="Arial Narrow"/>
        <family val="2"/>
      </rPr>
      <t xml:space="preserve">Nota: </t>
    </r>
    <r>
      <rPr>
        <sz val="16"/>
        <rFont val="Arial Narrow"/>
        <family val="2"/>
      </rPr>
      <t xml:space="preserve">La posible materialización de los riesgos de corrupción (fraude Interno) se identificarán por medio del análisis de denuncias, quejas y demandas. </t>
    </r>
  </si>
  <si>
    <t>La Jefe de la Oficina de Control Disciplinario Interno gestiona con cada uno de los funcionarios a su cargo, la suscripción anual de un acta de adherencia al código general disciplinario, en lo que concierne a las faltas disciplinarias relacionadas con recibir o solicitar dadivas como consecuencia de la manipulación del proceso disciplinario en beneficio del investigado.</t>
  </si>
  <si>
    <t>GHU_04</t>
  </si>
  <si>
    <t>Pérdida de la competencia por parte de la administración, para ejercer la acción disciplinaria por el paso del tiempo.</t>
  </si>
  <si>
    <t xml:space="preserve">Falta de diligencia para gestionar el proceso disciplinario en los términos otorgados por la ley. </t>
  </si>
  <si>
    <r>
      <t xml:space="preserve">Posibilidad de afectación reputacional, por </t>
    </r>
    <r>
      <rPr>
        <u/>
        <sz val="16"/>
        <rFont val="Arial Narrow"/>
        <family val="2"/>
      </rPr>
      <t>pérdida de la competencia por parte de la administración, para ejercer la acción disciplinaria por el paso del tiempo</t>
    </r>
    <r>
      <rPr>
        <sz val="16"/>
        <rFont val="Arial Narrow"/>
        <family val="2"/>
      </rPr>
      <t xml:space="preserve">, debido a la </t>
    </r>
    <r>
      <rPr>
        <u/>
        <sz val="16"/>
        <rFont val="Arial Narrow"/>
        <family val="2"/>
      </rPr>
      <t>falta de diligencia para gestionar el proceso disciplinario en los términos otorgados por la ley</t>
    </r>
    <r>
      <rPr>
        <sz val="16"/>
        <rFont val="Arial Narrow"/>
        <family val="2"/>
      </rPr>
      <t xml:space="preserve">. </t>
    </r>
  </si>
  <si>
    <t>El jefe de la Oficina de Control Disciplinario Interno, gestiona mensualmente la verificación y cumplimiento de los términos procesales con la actualización de la base de datos de los procesos disciplinarios, con el fin de evitar prescripción de las investigaciones.</t>
  </si>
  <si>
    <t>GHU_05</t>
  </si>
  <si>
    <t>Nómina y Prestaciones Sociales</t>
  </si>
  <si>
    <t>Sanciones disciplinarias, fiscales y reclamaciones de los usuarios.</t>
  </si>
  <si>
    <t>Falta de control en las novedades de personal , fallas en el sistema de Información y falta de verificación de supervivencia del personal pensionado.</t>
  </si>
  <si>
    <r>
      <t xml:space="preserve">Posibilidad de afectación económica y reputacional por </t>
    </r>
    <r>
      <rPr>
        <u/>
        <sz val="16"/>
        <rFont val="Arial Narrow"/>
        <family val="2"/>
      </rPr>
      <t>sanciones disciplinarias, fiscales y reclamaciones de los usuarios</t>
    </r>
    <r>
      <rPr>
        <sz val="16"/>
        <rFont val="Arial Narrow"/>
        <family val="2"/>
      </rPr>
      <t xml:space="preserve">, debido a </t>
    </r>
    <r>
      <rPr>
        <u/>
        <sz val="16"/>
        <rFont val="Arial Narrow"/>
        <family val="2"/>
      </rPr>
      <t>falta de control en las novedades de personal , fallas en el sistema de Información y falta de verificación de supervivencia del personal pensionado</t>
    </r>
    <r>
      <rPr>
        <sz val="16"/>
        <rFont val="Arial Narrow"/>
        <family val="2"/>
      </rPr>
      <t>.</t>
    </r>
  </si>
  <si>
    <t>El auxiliar para Apoyo de Seguridad y Defensa - Técnico de Servicios  verifica cada vez que se requiera que el ingreso de la novedad corresponda al usuario indicado y que cumpla las características propias de la novedad de conformidad con lo establecido en la normatividad legal vigente, con el fin de que los emolumentos salarias y prestacionales sean liquidados en debida forma, posteriormente el Profesional de Defensa revisa y verifica las novedades que fueron ajustadas.</t>
  </si>
  <si>
    <t>El auxiliar para Apoyo de Seguridad y Defensa - Técnico de Servicios  verifica cada vez que sea requerido el certificado de supervivencia y el archivo de la consulta masiva del estado de cédula del personal pensionado (Aplicativo del Ministerio de Salud - Pisis), con el propósito de efectuar el pago de la mesada pensional a quien tiene el derecho.</t>
  </si>
  <si>
    <t>El Jefe de Unidad de Seguridad y Defensa de la Unidad de Talento Humano y el Subdirector del Sector Defensa - Subdirección Administrativa, firman mensualmente la nómina para su aprobación y realizar el pago por parte de la Subdirección de Finanzas.</t>
  </si>
  <si>
    <t>GHU_06</t>
  </si>
  <si>
    <t>Capacitación y Bienestar</t>
  </si>
  <si>
    <t>Falta de fortalecimiento de  las competencias y habilidades necesarias para ejecutar el empleo y desmotivación de los servidores públicos.</t>
  </si>
  <si>
    <t xml:space="preserve">Ausencia de identificación de necesidades de capacitación y/o bienestar de los diferentes servicios y áreas del HOMIL y ausencia de seguimiento a las actividades de capacitación y bienestar.
</t>
  </si>
  <si>
    <r>
      <t xml:space="preserve">Posibilidad de afectación económica y reputacional por </t>
    </r>
    <r>
      <rPr>
        <u/>
        <sz val="16"/>
        <rFont val="Arial Narrow"/>
        <family val="2"/>
      </rPr>
      <t>falta de fortalecimiento de  las competencias y habilidades necesarias para ejecutar el empleo y desmotivación de los servidores públicos.</t>
    </r>
    <r>
      <rPr>
        <sz val="16"/>
        <rFont val="Arial Narrow"/>
        <family val="2"/>
      </rPr>
      <t xml:space="preserve">, debido a </t>
    </r>
    <r>
      <rPr>
        <u/>
        <sz val="16"/>
        <rFont val="Arial Narrow"/>
        <family val="2"/>
      </rPr>
      <t>ausencia de identificación de necesidades de capacitación y/o bienestar de los diferentes servicios y áreas del HOMIL y ausencia de seguimiento a las actividades de capacitación y bienestar</t>
    </r>
    <r>
      <rPr>
        <sz val="16"/>
        <rFont val="Arial Narrow"/>
        <family val="2"/>
      </rPr>
      <t>.</t>
    </r>
  </si>
  <si>
    <t>El responsable del área de Capacitación y Bienestar, elabora anualmente encuesta que permita identificar las necesidades de capacitación y bienestar, garantizando un alto porcentaje de participación de los servidores públicos.</t>
  </si>
  <si>
    <t xml:space="preserve">El responsable del área de Capacitación y Bienestar, elabora anualmente los Planes Institucionales de Capacitación y Bienestar, con el fin de satisfacer las necesidades identificadas. </t>
  </si>
  <si>
    <t>El responsable del área de Capacitación y Bienestar, realiza cada vez que se requiera las actividades necesarias para dar cumplimiento a los Planes Institucionales de Capacitación y Bienestar establecidos y debidamente aprobados.</t>
  </si>
  <si>
    <t>El responsable del área de Capacitación y Bienestar, realiza el seguimiento a la ejecución de los Planes y presenta a las Directivas de la entidad reportes trimestrales de los avances.</t>
  </si>
  <si>
    <t>GHU_07</t>
  </si>
  <si>
    <t>Seguridad y Salud en el Trabajo</t>
  </si>
  <si>
    <t>Interrupción  permanente y/o parcial  de la prestación de  servicios de la entidad.</t>
  </si>
  <si>
    <t>Falta de conocimiento del Plan de Gestión del Riesgo Institucional y el como actuar en caso de una emergencia (Desastres Naturales, antrópicos y sanitarios)</t>
  </si>
  <si>
    <r>
      <t xml:space="preserve">Posibilidad de afectación económica y reputacional, por </t>
    </r>
    <r>
      <rPr>
        <u/>
        <sz val="16"/>
        <rFont val="Arial Narrow"/>
        <family val="2"/>
      </rPr>
      <t>interrupción  permanente y/o parcial  de la prestación de  servicios de la entidad</t>
    </r>
    <r>
      <rPr>
        <sz val="16"/>
        <rFont val="Arial Narrow"/>
        <family val="2"/>
      </rPr>
      <t xml:space="preserve">, debido a </t>
    </r>
    <r>
      <rPr>
        <u/>
        <sz val="16"/>
        <rFont val="Arial Narrow"/>
        <family val="2"/>
      </rPr>
      <t xml:space="preserve">falta de conocimiento del Plan de Gestión del Riesgo Institucional y el como actuar en caso de una emergencia. </t>
    </r>
    <r>
      <rPr>
        <sz val="16"/>
        <rFont val="Arial Narrow"/>
        <family val="2"/>
      </rPr>
      <t>(Desastres Naturales, antrópicos y sanitarios).</t>
    </r>
  </si>
  <si>
    <t>El responsable del área de Seguridad y Salud en el Trabajo, garantiza el cumplimiento del cronograma de capacitaciones aprobado anualmente por la Dirección de la entidad, con el fin de verificar el nivel de conocimiento frente al Plan Hospitalario de Gestión del Riesgo.</t>
  </si>
  <si>
    <t>El responsable de gestión del riesgo con supervisión del responsable del área de Seguridad y Salud en el trabajo, capacita mensualmente al personal de planta, contratistas y terceros en temas de gestión del riesgo, con el fin de verificar el nivel de conocimiento frente al Plan Hospitalario de Gestión del Riesgo y el nivel de respuesta frente a una emergencia.</t>
  </si>
  <si>
    <t>El responsable del área de Seguridad y Salud en el Trabajo, evalúa mensualmente la adherencia de las capacitaciones del Plan Hospitalario de Gestión del Riesgo, con el fin de verificar el nivel de conocimiento frente al Plan Hospitalario de Gestión del Riesgo y el nivel de respuesta frente a una emergencia.</t>
  </si>
  <si>
    <t xml:space="preserve">El responsable del área de Seguridad y Salud en el trabajo, identifica anualmente los riesgos y controles generados del análisis de vulnerabilidad que se encuentran en las diferentes áreas y servicios de la entidad, con el fin de reducir el impacto frente a la ocurrencia de una posible emergencia. </t>
  </si>
  <si>
    <t>*Proyección de videos de gestión del riesgos (emergencias internas y externas) e información mediante los diferentes canales institucionales.
*Realización de simulacros de emergencia interna y externa.</t>
  </si>
  <si>
    <t>Gestión del Riesgo Hospitalario emergencias y desastres.</t>
  </si>
  <si>
    <t>Febrero de 2024</t>
  </si>
  <si>
    <t>Plan de trabajo con el área de comunicaciones y relaciones públicas.
Blog de gestión del Riesgo (Intranet)
Boletín Informativo Homil
Resultados de los simulacros realizados.</t>
  </si>
  <si>
    <t>GHU_08</t>
  </si>
  <si>
    <t xml:space="preserve">Existencia de Ambientes de trabajo inseguros reportados </t>
  </si>
  <si>
    <t xml:space="preserve">Falta de intervención a los controles de los riesgos ocupacionales establecidos en los ambientes de trabajo y falta de verificación de la implementación </t>
  </si>
  <si>
    <r>
      <t xml:space="preserve">Posibilidad de afectación económica y reputacional por </t>
    </r>
    <r>
      <rPr>
        <u/>
        <sz val="16"/>
        <rFont val="Arial Narrow"/>
        <family val="2"/>
      </rPr>
      <t>existencia de ambientes de trabajo inseguros reportados</t>
    </r>
    <r>
      <rPr>
        <sz val="16"/>
        <rFont val="Arial Narrow"/>
        <family val="2"/>
      </rPr>
      <t xml:space="preserve">, debido a la </t>
    </r>
    <r>
      <rPr>
        <u/>
        <sz val="16"/>
        <rFont val="Arial Narrow"/>
        <family val="2"/>
      </rPr>
      <t>falta de intervención a los controles de los riesgos ocupacionales establecidos en los ambientes de trabajo y falta de verificación de la implementación, generando la posible ocurrencia de accidentes de trabajo</t>
    </r>
    <r>
      <rPr>
        <sz val="16"/>
        <rFont val="Arial Narrow"/>
        <family val="2"/>
      </rPr>
      <t xml:space="preserve">. </t>
    </r>
  </si>
  <si>
    <t xml:space="preserve">El responsable del área de Seguridad y Salud en el Trabajo establece anualmente  un Plan de acción generado a partir de la matriz de identificación del peligro y valoración del riesgo, con el fin de controlar los riesgos identificados. </t>
  </si>
  <si>
    <t xml:space="preserve">El responsable del área de Seguridad y Salud en el Trabajo realiza inspecciones programadas y no programadas de condiciones de seguridad en las áreas ,con el fin de identificar las condiciones de riesgos y generar las recomendaciones pertinentes para mitigarlos. </t>
  </si>
  <si>
    <t>El responsable del área de Seguridad y Salud en el Trabajo recepciona, tramita y hace seguimiento mensual a los reportes de condiciones inseguras,  con el objetivo de mitigar el riesgo identificado.</t>
  </si>
  <si>
    <t>Direccionamiento a las áreas responsables frente a la mitigación del riesgo presentado.
Cierre de condiciones inseguras (Capacitaciones, lecciones aprendidas)</t>
  </si>
  <si>
    <t>Enero de 2024</t>
  </si>
  <si>
    <t xml:space="preserve">Listas de Capacitaciones realizadas
Envío mediante correo electrónico de lecciones aprendidas
Oficios emitidos a las áreas
</t>
  </si>
  <si>
    <t>GJU_01</t>
  </si>
  <si>
    <t>Oficina Asesora Jurídica</t>
  </si>
  <si>
    <t>Fallos judiciales en contra del HOMIL.</t>
  </si>
  <si>
    <t>Contestación extemporanea en las demandas interpuestas en contra de la entidad.</t>
  </si>
  <si>
    <r>
      <t xml:space="preserve">Posibilidad de afectación económica y reputacional por </t>
    </r>
    <r>
      <rPr>
        <u/>
        <sz val="16"/>
        <rFont val="Arial Narrow"/>
        <family val="2"/>
      </rPr>
      <t>fallos judiciales en contra del HOMIL</t>
    </r>
    <r>
      <rPr>
        <sz val="16"/>
        <rFont val="Arial Narrow"/>
        <family val="2"/>
      </rPr>
      <t xml:space="preserve">, debido a la </t>
    </r>
    <r>
      <rPr>
        <u/>
        <sz val="16"/>
        <rFont val="Arial Narrow"/>
        <family val="2"/>
      </rPr>
      <t>contestación extemporánea en las demandas interpuestas en contra de la entidad</t>
    </r>
    <r>
      <rPr>
        <sz val="16"/>
        <rFont val="Arial Narrow"/>
        <family val="2"/>
      </rPr>
      <t>.</t>
    </r>
  </si>
  <si>
    <t>Con el fin de evitar una materialización del riesgo relacionado con la contestación extemporánea de las demandas, el Funcionario de la oficina asesora jurídica revisa diariamente el correo electrónico y diligencia en la matriz de control de la gestión judicial, la fecha de notificación de las demandas y registra el término máximo de contestación de la demanda establecido por la OFAJ a los apoderados.</t>
  </si>
  <si>
    <t>El funcionario de la Oficina Asesora jurídica revisa los informes de los apoderados y realiza un consolidado mensual en el cual se identifican las demandas notificadas, fecha de contestación y   el cumplimiento de términos máximos de contestación de la demanda establecidos por la OFAJ a los apoderados, así como la radicación de la contestación en el Despacho Judicial correspondiente.</t>
  </si>
  <si>
    <t>GJU_02</t>
  </si>
  <si>
    <t>Supervisión inadecuada de los contratos.</t>
  </si>
  <si>
    <r>
      <t xml:space="preserve">Posibilidad de afectación económica y reputacional por fallos judiciales en contra del HOMIL, debido a supervisión inadecuada de los contratos. 
</t>
    </r>
    <r>
      <rPr>
        <b/>
        <sz val="16"/>
        <rFont val="Arial Narrow"/>
        <family val="2"/>
      </rPr>
      <t>(Política de prevención del daño antijurídico)</t>
    </r>
  </si>
  <si>
    <t>Los profesionales designados por la Oficina Asesora Jurídica, en compañía del profesional designado por la Unidad de Compras, Licitaciones y Bienes Activos, realiza trimestralmente capacitación y evaluación a los supervisores de los contratos del Homil, con el fin de que cuenten con el conocimiento necesario para que se realice la supervisión de acuerdo a las normas que regulan la materia.</t>
  </si>
  <si>
    <t>GLO_01</t>
  </si>
  <si>
    <t>Equipo Biomédico</t>
  </si>
  <si>
    <t>No prestación en la atención integral de los servicios de salud a los usuarios atendidos por el HOMIL.</t>
  </si>
  <si>
    <t>Ausencia de mantenimientos oportunos e inadecuada manipulación de los equipos biomédicos por parte del personal asistencial.</t>
  </si>
  <si>
    <r>
      <t xml:space="preserve">Posibilidad de afectación económica y reputacional, por la </t>
    </r>
    <r>
      <rPr>
        <u/>
        <sz val="16"/>
        <rFont val="Arial Narrow"/>
        <family val="2"/>
      </rPr>
      <t>no prestación en la atención integral de los servicios de salud a los usuarios atendidos por el HOMIL</t>
    </r>
    <r>
      <rPr>
        <sz val="16"/>
        <rFont val="Arial Narrow"/>
        <family val="2"/>
      </rPr>
      <t xml:space="preserve">, debido a la </t>
    </r>
    <r>
      <rPr>
        <u/>
        <sz val="16"/>
        <rFont val="Arial Narrow"/>
        <family val="2"/>
      </rPr>
      <t>ausencia de mantenimientos oportunos e inadecuada manipulación de los equipos biomédicos por parte del personal asistencial</t>
    </r>
    <r>
      <rPr>
        <sz val="16"/>
        <rFont val="Arial Narrow"/>
        <family val="2"/>
      </rPr>
      <t>.</t>
    </r>
  </si>
  <si>
    <t>El jefe del área de equipo biomédico establece cronograma mensual de mantenimiento preventivo, el cual es asignado al tecnólogo biomédico encargado de cada servicio, con el fin de coordinar los mantenimientos preventivos realizado por  personal propio y por terceros.</t>
  </si>
  <si>
    <t>El jefe del área de equipo biomédico establece cronograma anual de capacitaciones, con el fin de mitigar el desconocimiento y mal uso de la tecnología, el área de equipo biomédico publicará trimestralmente capacitaciones para el personal clínico y asistencial, que permita dar la herramientas y conocimientos necesarios para el óptimo funcionamiento de la tecnología.</t>
  </si>
  <si>
    <t>GLO_02</t>
  </si>
  <si>
    <t>Mantenimiento, Talleres y Gestión Ambiental</t>
  </si>
  <si>
    <t>Suspensión parcial o total de áreas o servicios vitales para la atención en salud a los usuarios atendidos por el HOMIL.</t>
  </si>
  <si>
    <t>Incumplimiento normativo en el lavado de tanques de agua potable y alteraciones en el análisis físico - químico y microbiológico de la calidad del agua.</t>
  </si>
  <si>
    <r>
      <t xml:space="preserve">Posibilidad de afectación económica y reputacional, por </t>
    </r>
    <r>
      <rPr>
        <u/>
        <sz val="16"/>
        <rFont val="Arial Narrow"/>
        <family val="2"/>
      </rPr>
      <t>suspensión parcial o total de áreas o servicios vitales para la atención en salud a los usuarios atendidos por el HOMIL</t>
    </r>
    <r>
      <rPr>
        <sz val="16"/>
        <rFont val="Arial Narrow"/>
        <family val="2"/>
      </rPr>
      <t xml:space="preserve">, debido al </t>
    </r>
    <r>
      <rPr>
        <u/>
        <sz val="16"/>
        <rFont val="Arial Narrow"/>
        <family val="2"/>
      </rPr>
      <t>incumplimiento normativo en el lavado de tanques de agua potable y alteraciones en el análisis físico - químico y microbiológico de la calidad del agua</t>
    </r>
    <r>
      <rPr>
        <sz val="16"/>
        <rFont val="Arial Narrow"/>
        <family val="2"/>
      </rPr>
      <t>.</t>
    </r>
  </si>
  <si>
    <t>El jefe de la Unidad de Apoyo Logístico o delegado de la gestión ambiental realiza el Plan Institucional de Gestión Ambiental - PIGA para la vigencia, en el cual plasma la periodicidad del lavado de tanques de manera semestral, según resolución 738 de 2018.</t>
  </si>
  <si>
    <t>El jefe de la Unidad de Apoyo Logístico o delegado de la gestión ambiental realiza gestiona semestralmente la toma de muestra de agua potable al laboratorio contratado por la entidad, con el fin de conocer y garantizar el cumplimiento de la normatividad en relación con análisis físico - químico y microbiológico de la calidad del agua del Homil.</t>
  </si>
  <si>
    <t>GLO_03</t>
  </si>
  <si>
    <t>Presencia y falta de continuidad en el proceso de control de vectores de plagas.</t>
  </si>
  <si>
    <r>
      <t xml:space="preserve">Posibilidad de afectación económica y reputacional, por la </t>
    </r>
    <r>
      <rPr>
        <u/>
        <sz val="16"/>
        <rFont val="Arial Narrow"/>
        <family val="2"/>
      </rPr>
      <t>suspensión parcial o total de áreas o servicios vitales para la atención en salud a los usuarios atendidos por el HOMIL</t>
    </r>
    <r>
      <rPr>
        <sz val="16"/>
        <rFont val="Arial Narrow"/>
        <family val="2"/>
      </rPr>
      <t xml:space="preserve">, debido a </t>
    </r>
    <r>
      <rPr>
        <u/>
        <sz val="16"/>
        <rFont val="Arial Narrow"/>
        <family val="2"/>
      </rPr>
      <t>presencia y falta de continuidad en el proceso de control de vectores de plagas</t>
    </r>
    <r>
      <rPr>
        <sz val="16"/>
        <rFont val="Arial Narrow"/>
        <family val="2"/>
      </rPr>
      <t>.</t>
    </r>
  </si>
  <si>
    <t xml:space="preserve">El jefe de la Unidad de Apoyo Logístico o delegado de la gestión ambiental verifica, supervisa y garantiza trimestralmente el control de vectores de plagas en la entidad, con el fin de dar cumplimiento normativo y sanitario en la prestación del servicio. </t>
  </si>
  <si>
    <t xml:space="preserve">Jornadas de limpieza y desinfección en las áreas y/o servicios. </t>
  </si>
  <si>
    <t>Jefe de Unidad de Apoyo Logístico o delegado de la gestión ambiental.</t>
  </si>
  <si>
    <t>Formatos de limpieza y desinfección diligeniados por la empresa de aseo.</t>
  </si>
  <si>
    <t>GLO_04</t>
  </si>
  <si>
    <t>Sanciones y multas de los diferentes entes de control.</t>
  </si>
  <si>
    <t>Inadecuada segregación y disposición final de residuos hospitarios.</t>
  </si>
  <si>
    <r>
      <t xml:space="preserve">Posibilidad de afectación económica y reputacional por </t>
    </r>
    <r>
      <rPr>
        <u/>
        <sz val="16"/>
        <rFont val="Arial Narrow"/>
        <family val="2"/>
      </rPr>
      <t>sanciones y multas de los diferentes entes de control</t>
    </r>
    <r>
      <rPr>
        <sz val="16"/>
        <rFont val="Arial Narrow"/>
        <family val="2"/>
      </rPr>
      <t xml:space="preserve">, debido a la </t>
    </r>
    <r>
      <rPr>
        <u/>
        <sz val="16"/>
        <rFont val="Arial Narrow"/>
        <family val="2"/>
      </rPr>
      <t>inadecuada segregación y disposición final de residuos hospitarios</t>
    </r>
    <r>
      <rPr>
        <sz val="16"/>
        <rFont val="Arial Narrow"/>
        <family val="2"/>
      </rPr>
      <t>.</t>
    </r>
  </si>
  <si>
    <t>El jefe de la Unidad de Apoyo Logístico o delegado de la gestión ambiental, con apoyo de funcionarios de la ARL, realiza capacitaciones mensuales al personal asistencial y administrativo, con el fin de conocer la adherencia al Plan de Gestión Integral de Residuos Hospitalarios - PGIRH.</t>
  </si>
  <si>
    <t>El jefe de la Unidad de Apoyo Logístico o delegado de la gestión ambiental, realiza inspecciones mensuales a los servicios asistenciales que generan residuos hospitalarios, con el fin de medir la adherencia al Plan de Gestión Integral de Residuos Hospitalarios - PGIRH.</t>
  </si>
  <si>
    <t>Campañas masivas de concientización y sensibilización relacionadas con el Plan de Gestión Integral de Residuos Hospitalarios - PGIRH.</t>
  </si>
  <si>
    <t>Enero 2024</t>
  </si>
  <si>
    <t>Semestral</t>
  </si>
  <si>
    <t>Mediante:
Inspecciones oculares .
Comités y actas de reunión.
Planes de mejora.</t>
  </si>
  <si>
    <t>GLO_05</t>
  </si>
  <si>
    <t>Equipo Industrial</t>
  </si>
  <si>
    <t>No prestación en la atención integral de los servicios de salud a los usuarios atendidos por el Hospital Militar Central.</t>
  </si>
  <si>
    <t>Fallas en la red del suministro de gases medicinales (oxígeno, aire medicinal y vacío)</t>
  </si>
  <si>
    <r>
      <t xml:space="preserve">Posibilidad de afectación económica y reputacional por la </t>
    </r>
    <r>
      <rPr>
        <u/>
        <sz val="16"/>
        <rFont val="Arial Narrow"/>
        <family val="2"/>
      </rPr>
      <t>no prestación en la atención integral de los servicios de salud a los usuarios atendidos por el HOMIL</t>
    </r>
    <r>
      <rPr>
        <sz val="16"/>
        <rFont val="Arial Narrow"/>
        <family val="2"/>
      </rPr>
      <t xml:space="preserve">, debido a </t>
    </r>
    <r>
      <rPr>
        <u/>
        <sz val="16"/>
        <rFont val="Arial Narrow"/>
        <family val="2"/>
      </rPr>
      <t>fallas en la red del suministro de gases medicinales</t>
    </r>
    <r>
      <rPr>
        <sz val="16"/>
        <rFont val="Arial Narrow"/>
        <family val="2"/>
      </rPr>
      <t xml:space="preserve"> (oxígeno, aire medicinal y vacío).</t>
    </r>
  </si>
  <si>
    <t>El supervisor del contrato de la central de gases medicinales, manifold y cilindros de gases, coordina según cronograma,  la calibración de las alarmas de gases medicinales, con el fin de garantizar el correcto funcionamiento de la red del suministro de gases medicinales.</t>
  </si>
  <si>
    <t>El supervisor del contrato de la central de gases medicinales, manifold y cilindros de gases, revisa y gestiona de acuerdo al cronograma de mantenimientos preventivos, el mantenimiento anual de las alarmas de gases medicinales, con el fin de garantizar el correcto funcionamiento de la red de suministro de gases medicinales.</t>
  </si>
  <si>
    <t>GLO_06</t>
  </si>
  <si>
    <t xml:space="preserve">No prestación en la atención integral de los servicios de salud a los usuarios atendidos por el Hospital Militar Central. y daños en equipos médicos y de computo. </t>
  </si>
  <si>
    <t xml:space="preserve">Fallas en el suministro de la red eléctrica de la entidad. </t>
  </si>
  <si>
    <r>
      <t xml:space="preserve">Posibilidad de afectación económica y reputacional, por la </t>
    </r>
    <r>
      <rPr>
        <u/>
        <sz val="16"/>
        <rFont val="Arial Narrow"/>
        <family val="2"/>
      </rPr>
      <t>no prestación en la atención integral de los servicios de salud a los usuarios atendidos por el HOMIL y daños en equipos médicos y de cómputo</t>
    </r>
    <r>
      <rPr>
        <sz val="16"/>
        <rFont val="Arial Narrow"/>
        <family val="2"/>
      </rPr>
      <t xml:space="preserve">, debido a </t>
    </r>
    <r>
      <rPr>
        <u/>
        <sz val="16"/>
        <rFont val="Arial Narrow"/>
        <family val="2"/>
      </rPr>
      <t>fallas en el suministro de la red eléctrica de la entidad</t>
    </r>
    <r>
      <rPr>
        <sz val="16"/>
        <rFont val="Arial Narrow"/>
        <family val="2"/>
      </rPr>
      <t>.</t>
    </r>
  </si>
  <si>
    <r>
      <t xml:space="preserve">El supervisor del contrato, coordina de manera semestral con el proveedor el oportuno mantenimiento preventivo y correctivo de las plantas eléctricas del edificio principal, con el fin de garantizar el suministro eléctrico a la entidad. 
</t>
    </r>
    <r>
      <rPr>
        <b/>
        <sz val="16"/>
        <color theme="1"/>
        <rFont val="Arial Narrow"/>
        <family val="2"/>
      </rPr>
      <t>(Reporte técnico por parte del proveedor)</t>
    </r>
  </si>
  <si>
    <r>
      <t xml:space="preserve">El supervisor del contrato, coordina según cronograma estipulado contractualmente con el proveedor, el oportuno mantenimiento preventivo y correctivo de las UPS y demás requerimientos solicitados por el HOMIL, con el fin de garantizar el continuo suministro eléctrico a las áreas críticas de la entidad. 
</t>
    </r>
    <r>
      <rPr>
        <b/>
        <sz val="16"/>
        <color theme="1"/>
        <rFont val="Arial Narrow"/>
        <family val="2"/>
      </rPr>
      <t>(Reporte técnico por parte del proveedor)</t>
    </r>
  </si>
  <si>
    <t>GLO_07</t>
  </si>
  <si>
    <t>Deterioro en la calidad de los medicamentos que requieran de una temperatura determinada, afectactando la cadena de frio.</t>
  </si>
  <si>
    <t>Daño de los equipos industriales necesarios para este fin (Neveras, Unidad Manejadora de Aire - UMAS, ventiladores, aire acondicionado y chiller)</t>
  </si>
  <si>
    <r>
      <t xml:space="preserve">Posibilidad de afectación económica y reputacional por </t>
    </r>
    <r>
      <rPr>
        <u/>
        <sz val="16"/>
        <rFont val="Arial Narrow"/>
        <family val="2"/>
      </rPr>
      <t>deterioro en la calidad de los medicamentos que requieran de una temperatura determinada, afectactando la cadena de frio</t>
    </r>
    <r>
      <rPr>
        <sz val="16"/>
        <rFont val="Arial Narrow"/>
        <family val="2"/>
      </rPr>
      <t xml:space="preserve">, debido </t>
    </r>
    <r>
      <rPr>
        <u/>
        <sz val="16"/>
        <rFont val="Arial Narrow"/>
        <family val="2"/>
      </rPr>
      <t>al daño de los equipos industriales necesarios para este fin</t>
    </r>
    <r>
      <rPr>
        <sz val="16"/>
        <rFont val="Arial Narrow"/>
        <family val="2"/>
      </rPr>
      <t>. (Neveras, Unidad Manejadora de Aire - UMAS, ventiladores, aire acondicionado y chiller)</t>
    </r>
  </si>
  <si>
    <r>
      <t xml:space="preserve">El supervisor del contrato, gestiona según cronograma el mantenimiento preventivo de los equipos industriales (Neveras, Unidad Manejadora de Aire - UMAS, ventiladores, aire acondicionado y chiller), con el fin de garantizar el correcto funcionamiento de los mismos. 
</t>
    </r>
    <r>
      <rPr>
        <b/>
        <sz val="16"/>
        <color theme="1"/>
        <rFont val="Arial Narrow"/>
        <family val="2"/>
      </rPr>
      <t>(Reporte técnico de mantenimiento preventivo)</t>
    </r>
  </si>
  <si>
    <r>
      <t xml:space="preserve">El supervisor del contrato, gestiona cada vez que se requiera el mantenimiento correctivo de los equipos industriales (Neveras, Unidad Manejadora de Aire - UMAS, ventiladores, aire acondicionado y chiller), con el fin de garantizar el correcto funcionamiento de los mismos. 
</t>
    </r>
    <r>
      <rPr>
        <b/>
        <sz val="16"/>
        <color theme="1"/>
        <rFont val="Arial Narrow"/>
        <family val="2"/>
      </rPr>
      <t>(Reporte técnico de mantenimiento correctivo)</t>
    </r>
  </si>
  <si>
    <t>GLO_08</t>
  </si>
  <si>
    <t>Cierre de áreas, servicios y sanciones disciplinarias.</t>
  </si>
  <si>
    <t>Pérdida de materiales y herramientas necesarias para el mantenimiento de las instalaciones de la entidad.</t>
  </si>
  <si>
    <r>
      <t xml:space="preserve">Posibilidad de afectación económica y reputacional por el </t>
    </r>
    <r>
      <rPr>
        <u/>
        <sz val="16"/>
        <rFont val="Arial Narrow"/>
        <family val="2"/>
      </rPr>
      <t>cierre de áreas, servicios y sanciones disciplinarias</t>
    </r>
    <r>
      <rPr>
        <sz val="16"/>
        <rFont val="Arial Narrow"/>
        <family val="2"/>
      </rPr>
      <t xml:space="preserve">, debido a la </t>
    </r>
    <r>
      <rPr>
        <u/>
        <sz val="16"/>
        <rFont val="Arial Narrow"/>
        <family val="2"/>
      </rPr>
      <t>pérdida de materiales y herramientas necesarias para el mantenimiento de las instalaciones de la entidad</t>
    </r>
    <r>
      <rPr>
        <sz val="16"/>
        <rFont val="Arial Narrow"/>
        <family val="2"/>
      </rPr>
      <t>.</t>
    </r>
  </si>
  <si>
    <t>El jefe del área de mantenimiento, talleres y gestión ambiental, gestiona semanalmente con los almacenes el suministro de materiales y herramientas necesarias para cada uno de los talleres bajo su responsabilidad, con el fin de garantizar la ejecución de los mantenimientos requeridos en la entidad.</t>
  </si>
  <si>
    <t>El responsable de los talleres, realiza revista mensual en los talleres, con el fin de validar la existencia de las herramientas y el correcto uso de los materiales y elementos destinados al mantenimiento de la entidad.</t>
  </si>
  <si>
    <t>El responsable de los talleres, verifica cada vez que se requiera mediante orden de trabajo, la asignación de materiales, herramientas y el correcto uso y disposición final de los mismos, con el fin de cumplir con los mantenimientos solicitados por las áreas o servicios de la entidad.</t>
  </si>
  <si>
    <t>GLO_09</t>
  </si>
  <si>
    <t>Hotelería</t>
  </si>
  <si>
    <t xml:space="preserve">Demandas, multas y no prestación en la atención integral de los servicios de salud a los usuarios atendidos por el HOMIL  y médicos residentes. </t>
  </si>
  <si>
    <t>Suministro inoportuno de alimentación de acuerdo con los requerimientos nutricionales.</t>
  </si>
  <si>
    <r>
      <t xml:space="preserve">Posibilidad de afectación económica y reputacional por </t>
    </r>
    <r>
      <rPr>
        <u/>
        <sz val="16"/>
        <rFont val="Arial Narrow"/>
        <family val="2"/>
      </rPr>
      <t>demandas, multas y no prestación en la atención integral de los servicios de salud a los usuarios atendidos por el HOMIL y médicos residentes</t>
    </r>
    <r>
      <rPr>
        <sz val="16"/>
        <rFont val="Arial Narrow"/>
        <family val="2"/>
      </rPr>
      <t xml:space="preserve">, debido al </t>
    </r>
    <r>
      <rPr>
        <u/>
        <sz val="16"/>
        <rFont val="Arial Narrow"/>
        <family val="2"/>
      </rPr>
      <t>suministro inoportuno de alimentación de acuerdo con los requerimientos nutricionales</t>
    </r>
    <r>
      <rPr>
        <sz val="16"/>
        <rFont val="Arial Narrow"/>
        <family val="2"/>
      </rPr>
      <t>.</t>
    </r>
  </si>
  <si>
    <t xml:space="preserve">El supervisor del contrato de alimentos e interventores del área de alimentos, verifican diariamente el cumplimiento de las dietas establecidas por nutrición clínica, con el fin de garantizar que los alimentos lleguen a los pacientes y médicos residentes en optimas condiciones de acuerdo a lo prescrito por nutrición clínica. </t>
  </si>
  <si>
    <t xml:space="preserve">La jefe del servicio de nutrición e interventores de alimentos, supervisan diariamente en pisos y comedores el cumplimiento de las dietas establecidas por nutrición clínica, con el fin de garantizar los tiempos oportunos de entrega y dieta correspondiente a los pacientes y médicos residentes. </t>
  </si>
  <si>
    <t>GLO_10</t>
  </si>
  <si>
    <t>Quejas, reclamos y no prestación en la atención integral de los servicios de salud a los usuarios atendidos por el HOMIL.</t>
  </si>
  <si>
    <t xml:space="preserve">Incumplimiento en el suministro oportuno de ropa hospitalaria para la prestación del servicio en los diferentes procedimientos que requieren los pacientes. </t>
  </si>
  <si>
    <r>
      <t xml:space="preserve">Posibilidad de afectación reputacional por </t>
    </r>
    <r>
      <rPr>
        <u/>
        <sz val="16"/>
        <rFont val="Arial Narrow"/>
        <family val="2"/>
      </rPr>
      <t>quejas, reclamos y no prestación en la atención integral de los servicios de salud a los usuarios atendidos por el HOMIL</t>
    </r>
    <r>
      <rPr>
        <sz val="16"/>
        <rFont val="Arial Narrow"/>
        <family val="2"/>
      </rPr>
      <t xml:space="preserve">, debido </t>
    </r>
    <r>
      <rPr>
        <u/>
        <sz val="16"/>
        <rFont val="Arial Narrow"/>
        <family val="2"/>
      </rPr>
      <t>al incumplimiento en el suministro oportuno de ropa hospitalaria para la prestación del servicio en los diferentes procedimientos que requieren los pacientes</t>
    </r>
    <r>
      <rPr>
        <sz val="16"/>
        <rFont val="Arial Narrow"/>
        <family val="2"/>
      </rPr>
      <t xml:space="preserve">. </t>
    </r>
  </si>
  <si>
    <t>El operario del área de lavandería entrega diariamente el suministro de ropa hospitalaria al área de hotelería, mediante planillas de recolección y distribución de ropa, con el fin de dar cumplimiento al stock mínimo de ropa por servicio.</t>
  </si>
  <si>
    <t>El operario del área de hotelería entrega diariamente el suministro de ropa hospitalaria al área de enfermería, mediante planillas de recolección y distribución de ropa, con el fin de garantizar las condiciones de bienestar y confort del paciente.</t>
  </si>
  <si>
    <t>GLO_11</t>
  </si>
  <si>
    <t>Quejas, reclamos y complicaciones en la salud del paciente y usuarios.</t>
  </si>
  <si>
    <t>Incumplimiento al procedimiento de limpieza y desinfección en la entidad.</t>
  </si>
  <si>
    <r>
      <t xml:space="preserve">Posibilidad de afectación reputacional por </t>
    </r>
    <r>
      <rPr>
        <u/>
        <sz val="16"/>
        <rFont val="Arial Narrow"/>
        <family val="2"/>
      </rPr>
      <t>quejas, reclamos y complicaciones en la salud del paciente y usuarios</t>
    </r>
    <r>
      <rPr>
        <sz val="16"/>
        <rFont val="Arial Narrow"/>
        <family val="2"/>
      </rPr>
      <t xml:space="preserve">, debido al </t>
    </r>
    <r>
      <rPr>
        <u/>
        <sz val="16"/>
        <rFont val="Arial Narrow"/>
        <family val="2"/>
      </rPr>
      <t>incumplimiento al procedimiento de limpieza y desinfección en la entidad</t>
    </r>
    <r>
      <rPr>
        <sz val="16"/>
        <rFont val="Arial Narrow"/>
        <family val="2"/>
      </rPr>
      <t>.</t>
    </r>
  </si>
  <si>
    <t xml:space="preserve">El profesional del área de hotelería, verificará quincenalmente mediante planilla de control, que el coordinador de aseo cumpla con las obligaciones contractuales relacionadas con la limpieza y desinfección de las diferentes áreas asistenciales y administrativas de la entidad. </t>
  </si>
  <si>
    <t>El grupo supervisor del contrato de limpieza y desinfección de las áreas asistenciales y administrativas de la entidad, realizará el seguimiento mensual a la ejecución del contrato, por medio de reuniones, donde se retroalimentan todas las novedades presentadas en el periodo.</t>
  </si>
  <si>
    <t>GLO_12</t>
  </si>
  <si>
    <t>Bioestadística e Historias Clínicas</t>
  </si>
  <si>
    <t>Sanciones disciplinarias, administrativas, penales, incumplimiento normativo y pérdida del patrimonio documental.</t>
  </si>
  <si>
    <t>Inadecuada administración de los documentos por parte del personal e inadecuada adherencia al procedimiento para el préstamo de la documentación.</t>
  </si>
  <si>
    <r>
      <t xml:space="preserve">Posibilidad de afectación económica y reputacional, por </t>
    </r>
    <r>
      <rPr>
        <u/>
        <sz val="16"/>
        <color theme="1"/>
        <rFont val="Arial Narrow"/>
        <family val="2"/>
      </rPr>
      <t>sanciones disciplinarias, administrativas, penales, incumplimiento normativo y pérdida del patrimonio documental</t>
    </r>
    <r>
      <rPr>
        <sz val="16"/>
        <color theme="1"/>
        <rFont val="Arial Narrow"/>
        <family val="2"/>
      </rPr>
      <t xml:space="preserve">, debido </t>
    </r>
    <r>
      <rPr>
        <u/>
        <sz val="16"/>
        <color theme="1"/>
        <rFont val="Arial Narrow"/>
        <family val="2"/>
      </rPr>
      <t>a la inadecuada administración de los documentos por parte del personal e inadecuada adherencia al procedimiento para el préstamo de la documentación</t>
    </r>
    <r>
      <rPr>
        <sz val="16"/>
        <color theme="1"/>
        <rFont val="Arial Narrow"/>
        <family val="2"/>
      </rPr>
      <t>. (Historias Clínicas)</t>
    </r>
  </si>
  <si>
    <r>
      <t xml:space="preserve">El responsable del área de Bioestadística, revisa cada vez que se requiera el cumplimiento de los requisitos establecidos en el procedimiento de Respuesta a solicitudes de fotocopias de historias clínicas y constancias, cod, </t>
    </r>
    <r>
      <rPr>
        <b/>
        <sz val="16"/>
        <color theme="1"/>
        <rFont val="Arial Narrow"/>
        <family val="2"/>
      </rPr>
      <t>GD-BAHC-PR-04</t>
    </r>
    <r>
      <rPr>
        <sz val="16"/>
        <color theme="1"/>
        <rFont val="Arial Narrow"/>
        <family val="2"/>
      </rPr>
      <t xml:space="preserve"> para la entrega de la copia de historia clínica, con el fin garantizar la autenticidad de la persona natural o jurídica que la solicita y de dar cumplimiento a lo solicitado. </t>
    </r>
  </si>
  <si>
    <t>El responsable del área de Bioestadística, realiza cada vez que se requiera a través del sistema Controldoc  un oficio remisorio para dar respuesta con el número de historia, los nombres de los pacientes y con el número de folios que contienen, el Oficio es generado para las solicitudes para entidades competentes y personas naturales que correspondan. El Área de Bioestadística, luego envía a la Oficina Asesora Jurídica al abogado designado para revisar los documentos (Historia Clínica en CD o DVD), para que al final sea firmado y radicado por el jefe de la Oficina Asesora Jurídica. Posteriormente es enviado vía correo electrónico o por servicio de correspondencia según corresponda.</t>
  </si>
  <si>
    <r>
      <t xml:space="preserve">El auxiliar de apoyo de Seguridad y Defensa del área de bioestadística es el responsable de realizar inspecciones y monitoreo semanales a cada una de los depósitos donde se encuentran las historias clínicas archivadas, con el propósito de verificar que no existan condiciones desfarorables que puedan efectar los documentos y en caso de identificar alguna novedad, se notificará al área de mantenimiento con el fin de adelantar las acciones pertinentes. 
</t>
    </r>
    <r>
      <rPr>
        <b/>
        <sz val="16"/>
        <color theme="1"/>
        <rFont val="Arial Narrow"/>
        <family val="2"/>
      </rPr>
      <t>(Bitácora)</t>
    </r>
  </si>
  <si>
    <t>GLO_13</t>
  </si>
  <si>
    <t>Imprenta</t>
  </si>
  <si>
    <t xml:space="preserve">Traumatismos en la atención de los pacientes por ausencia de los formatos institucionales </t>
  </si>
  <si>
    <t>Falta de insumos, materia prima y daño en equipos (Impresoras litográficas y maquinas de corte).</t>
  </si>
  <si>
    <r>
      <t xml:space="preserve">Posibilidad de afectación económica y reputacional por </t>
    </r>
    <r>
      <rPr>
        <u/>
        <sz val="16"/>
        <rFont val="Arial Narrow"/>
        <family val="2"/>
      </rPr>
      <t>traumatismos en la atención de los pacientes por ausencia de los formatos institucionales</t>
    </r>
    <r>
      <rPr>
        <sz val="16"/>
        <rFont val="Arial Narrow"/>
        <family val="2"/>
      </rPr>
      <t xml:space="preserve">, debido a </t>
    </r>
    <r>
      <rPr>
        <u/>
        <sz val="16"/>
        <rFont val="Arial Narrow"/>
        <family val="2"/>
      </rPr>
      <t>falta de insumos, materia prima y daño en equipos</t>
    </r>
    <r>
      <rPr>
        <sz val="16"/>
        <rFont val="Arial Narrow"/>
        <family val="2"/>
      </rPr>
      <t>. (Impresoras litográficas y maquinas de corte).</t>
    </r>
  </si>
  <si>
    <t xml:space="preserve">El responsable del área de Imprenta, realiza semestralmente la solicitud de insumos y materia prima por Dinámica Gerencial Hospitalaria, con el fin de cumplir con las necesidades de los formatos y libretas solicitadas por el almacén 1. </t>
  </si>
  <si>
    <t xml:space="preserve">El responsable del área de Imprenta, solicita semestralmente el mantenimiento preventivo de los equipos de impresión y corte del área de Imprenta, con el fin de evitar la falta de formatos y libretas necesarias para el óptimo funcionamiento de las áreas y servicios de la entidad. </t>
  </si>
  <si>
    <t xml:space="preserve">El responsable del área de Imprenta, solicita anualmente el mantenimiento correctivo de los equipos de impresión y corte del área de Imprenta, con el fin de evitar la falta de formatos y libretas necesarias para el óptimo funcionamiento de las áreas y servicios de la entidad. </t>
  </si>
  <si>
    <t>GLO_14</t>
  </si>
  <si>
    <t>Infraestructura</t>
  </si>
  <si>
    <t>Cierre de áreas y/o servicios por parte de organismos de vigilancia y control.</t>
  </si>
  <si>
    <t>Incumplimientos a la normatividad vigente.
(Acreditación y habilitación).</t>
  </si>
  <si>
    <r>
      <t xml:space="preserve">Posibilidad de afectación económica y reputacional por el </t>
    </r>
    <r>
      <rPr>
        <u/>
        <sz val="16"/>
        <rFont val="Arial Narrow"/>
        <family val="2"/>
      </rPr>
      <t>cierre de servicios por parte de organismos de vigilancia y control</t>
    </r>
    <r>
      <rPr>
        <sz val="16"/>
        <rFont val="Arial Narrow"/>
        <family val="2"/>
      </rPr>
      <t xml:space="preserve">, debido </t>
    </r>
    <r>
      <rPr>
        <u/>
        <sz val="16"/>
        <rFont val="Arial Narrow"/>
        <family val="2"/>
      </rPr>
      <t>al incumplimiento de la normatividad vigente</t>
    </r>
    <r>
      <rPr>
        <sz val="16"/>
        <rFont val="Arial Narrow"/>
        <family val="2"/>
      </rPr>
      <t>. (Acreditación y habilitación).</t>
    </r>
  </si>
  <si>
    <t>El jefe de la Unidad de Apoyo Logístico, en acompañamiento con el responsable del área de Calidad, mediante actas de reunión y documentos soporte,  realizará seguimiento semestral, a la planeación, formulación y/o ejecución de proyectos de infraestructura hospitalaria, en cumplimiento con la normatividad vigente.</t>
  </si>
  <si>
    <t>GLO_15</t>
  </si>
  <si>
    <t>Seguridad</t>
  </si>
  <si>
    <t>Hurto de medicamentos, insumos hospitalarios y equipos médicos.</t>
  </si>
  <si>
    <t xml:space="preserve">Incumpliemiento al procedimientos de Devolución de medicamentos y dispositivos médicos.
</t>
  </si>
  <si>
    <t>Posibilidad de afectación económica y reputacional por hurto de medicamentos, insumos hospitalarios y equipos médicos, debido al incumpliemiento al procedimiento de Devolución de medicamentos y dispositivos médicos.</t>
  </si>
  <si>
    <t xml:space="preserve">El responsable del área de Seguridad organiza y centraliza diariamente los ingresos y salidas del personal asistencial y administrativo de la entidad, con el fin de llevar un control exhaustivo de los elementos y materiales que salen del hospital, los cuales deben pasar por el escáner. </t>
  </si>
  <si>
    <t xml:space="preserve">El responsable del área de Seguridad controla el ingreso y salida de elementos diariamente por medio de los formatos institucionales definidos, con el fin evitar el hurto de equipos médicos, tecnológicos e insumos médicos. </t>
  </si>
  <si>
    <t xml:space="preserve">El responsable del área de Seguridad, monitorea todas las áreas diariamente por medio del circuito cerrado de televisión - CCTV, con el fin de verificar cualquier actividad sospechosa dentro de las instalaciones de la entidad. </t>
  </si>
  <si>
    <t>El responsable del área de Seguridad, realizará cada vez que se requiera revistas e inspecciones en los diferentes servicios, con el fin evitar el hurto de equipos médicos, tecnológicos e insumos médicos.</t>
  </si>
  <si>
    <t xml:space="preserve">El responsable del área de Seguridad, realiza cada vez que se requiera, un informe para la Subdirección Administrativa, donde se relacionan los diferentes medicamentos, insumos hospitalarios y equipos médicos que son retenidos a la salida de la entidad, esto con el fin de tomar acciones disciplinarias en contra los funcionarios implicados. </t>
  </si>
  <si>
    <t>GLO_16</t>
  </si>
  <si>
    <t>Multas y sanciones.</t>
  </si>
  <si>
    <t xml:space="preserve">Pérdida y hurto de recursos (dinero) de la caja manual (ventanilla) y para el manejo del dinero con el que se surte el cajero electrónico del parqueadero público. </t>
  </si>
  <si>
    <r>
      <t xml:space="preserve">Posibilidad de afectación económica por multas y sanciones debido a la </t>
    </r>
    <r>
      <rPr>
        <u/>
        <sz val="16"/>
        <rFont val="Arial Narrow"/>
        <family val="2"/>
      </rPr>
      <t>pérdida y hurto de recursos (dinero) de la caja manual (ventanilla) y para el manejo del dinero con el que se surte el cajero electrónico del parqueadero público</t>
    </r>
    <r>
      <rPr>
        <sz val="16"/>
        <rFont val="Arial Narrow"/>
        <family val="2"/>
      </rPr>
      <t xml:space="preserve">. </t>
    </r>
  </si>
  <si>
    <t xml:space="preserve">El responsable del parqueadero público que pertenece del área de Seguridad, verifica en cada cierre de turno (24 horas) mediante el recibo que emite la caja manual  vs el dinero recaudado vs el recibo de consignación al área de tesorería vs factura electrónica, con el fin de garantizar el adecuado manejo de los recursos que ingresan por el servicio de parqueo. </t>
  </si>
  <si>
    <t>El responsable del parqueadero público que pertenece del área de Seguridad,  realiza semanalmente el cierre y suministro de dinero en efectivo al cajero electrónico del parqueadero, con el fin de recolectar las ganancias y mantener el dinero base que se requiere para su funcionamiento. El dinero restante (Ganancias) es consignado al área de tesorería junto con el dinero producto del cierre de la caja manual.</t>
  </si>
  <si>
    <t xml:space="preserve">El soldado operador de la caja manual del parqueadero público, registra diariamente en el libro contable la cantidad de dinero que es consignada al área de Tesorería, con el fin de garantizar el cumplimiento del procedimiento de Administración de parqueaderos. </t>
  </si>
  <si>
    <t xml:space="preserve">El responsable del parqueadero público que pertenece del área de Seguridad, registra diariamente en base de datos, en la cual se relaciona el número de recibo que emite el área de tesorería, recibo de caja y recibo de ingresos y egresos, con el fin llevar trazabilidad del dinero manejado por el servicio del parqueadero. </t>
  </si>
  <si>
    <t>GLO_17</t>
  </si>
  <si>
    <t>Transporte</t>
  </si>
  <si>
    <t>Multas, sanciones, demandas y no prestación en la atención integral de los servicios de salud a los usuarios atendidos por el HOMIL.</t>
  </si>
  <si>
    <t>Falta de planeación en el adecuado funcionamiento y prestación del servicio de ambulancias (medicalizadas y básicas)</t>
  </si>
  <si>
    <r>
      <t xml:space="preserve">Posibilidad de afectación económica y reputacional por </t>
    </r>
    <r>
      <rPr>
        <u/>
        <sz val="16"/>
        <rFont val="Arial Narrow"/>
        <family val="2"/>
      </rPr>
      <t>multas, sanciones, demandas y no prestación en la atención integral de los servicios de salud a los usuarios atendidos por el HOMIL</t>
    </r>
    <r>
      <rPr>
        <sz val="16"/>
        <rFont val="Arial Narrow"/>
        <family val="2"/>
      </rPr>
      <t xml:space="preserve">, debido a la </t>
    </r>
    <r>
      <rPr>
        <u/>
        <sz val="16"/>
        <rFont val="Arial Narrow"/>
        <family val="2"/>
      </rPr>
      <t>falta de planeación para el adecuado funcionamiento y prestación del servicio de ambulancias</t>
    </r>
    <r>
      <rPr>
        <sz val="16"/>
        <rFont val="Arial Narrow"/>
        <family val="2"/>
      </rPr>
      <t>. 
(Medicalizadas y básicas).</t>
    </r>
  </si>
  <si>
    <t>El responsable del área de transporte, planea anualmente mediante el plan anual de adquisiciones los requerimientos necesarios para el correcto funcionamiento de las ambulancias (Combustible, mantenimientos preventivos y correctivos, impuestos, revisiones tecnomecanicas y soat), con el fin de garantizar el optimo funcionamiento de los vehículos de emergencia.</t>
  </si>
  <si>
    <t>El responsable del área de transporte, junto con el responsable del área de seguridad y salud en el trabajo, capacitan  anualmente al personal de conductores que integran el parque automotor de la entidad en (maniobras defensivas, primer respondiente, atención de victimas con ácido y reanimación cardio pulmonar), con el fin de prestar servicios de calidad y altos estándares a los usuarios del subsistema de salud de las Fuerzas Militares.</t>
  </si>
  <si>
    <t>GDA_01</t>
  </si>
  <si>
    <t>Gestión Contratos</t>
  </si>
  <si>
    <t xml:space="preserve">No prestación de la atención integral de los servicios de salud a los usuarios atendidos por el Hospital Militar Central, multas, sanciones de entes de control y percepción negativa por parte de los usuarios internos y externos de la entidad. </t>
  </si>
  <si>
    <t>Incumplimiento del manual de contratación,  los procedimientos internos y demás normatividad aplicables al proceso de contratación  e incumplimiento del objeto contractual y/o las especificaciones técnicas  generados por el inadecuado ejercicio de supervisión contractual.</t>
  </si>
  <si>
    <r>
      <t xml:space="preserve">Posibilidad de afectación económica y reputacional por la </t>
    </r>
    <r>
      <rPr>
        <u/>
        <sz val="16"/>
        <rFont val="Arial Narrow"/>
        <family val="2"/>
      </rPr>
      <t>no prestación de la atención integral de los servicios de salud a los usuarios atendidos por el HOMIL</t>
    </r>
    <r>
      <rPr>
        <sz val="16"/>
        <rFont val="Arial Narrow"/>
        <family val="2"/>
      </rPr>
      <t xml:space="preserve">, debido al </t>
    </r>
    <r>
      <rPr>
        <u/>
        <sz val="16"/>
        <rFont val="Arial Narrow"/>
        <family val="2"/>
      </rPr>
      <t>Incumplimiento del manual de contratación,  los procedimientos internos y demás normatividad aplicables al proceso de contratación  e incumplimiento del objeto contractual y/o las especificaciones técnicas  generados por el inadecuado ejercicio de supervisión contractual.</t>
    </r>
  </si>
  <si>
    <t xml:space="preserve">El profesional designado del Área de Gestión Contratos - GECO, realiza la publicación de los procesos cada vez que se requiera, a través de la plataforma SECOP II con el propósito de dar cumplimiento a los principios de transparencia, publicidad y efectuar una selección objetiva.  </t>
  </si>
  <si>
    <t>El profesional designado del Área de Gestión Contratos - GECO, cada vez que se realiza un proceso de contratación, se efectúa la verificación y evaluación de los requisitos habilitantes técnicos, económicos y jurídicos, con el fin de seleccionar el proveedor que cumpla con las características técnicas, económicas y jurídicas requeridas.</t>
  </si>
  <si>
    <t>El profesional designado del Área de Gestión Contratos - GECO, cada vez que se adelante el proceso publica el informe de evaluación del proceso, con el fin que se surta la etapa de observaciones para la posterior legalización y perfeccionamiento del contrato.</t>
  </si>
  <si>
    <t>El profesional designado como supervisor del contrato, realiza el seguimiento mensual de la ejecución del contrato, con el fin de garantizar el cumplimiento del mismo y sus especificaciones técnicas.</t>
  </si>
  <si>
    <t>Realizar capacitación trimestral  al personal que interviene en la estructuración de los procesos contractuales.</t>
  </si>
  <si>
    <t>Jefe del area Gestion Contratos</t>
  </si>
  <si>
    <t>Actas de capacitación</t>
  </si>
  <si>
    <t>GDA_02</t>
  </si>
  <si>
    <t>Almacenes Bienes Activos</t>
  </si>
  <si>
    <t>Observaciones, hallazgos, multas o sanciones de entes de control.</t>
  </si>
  <si>
    <t>Pérdida de los bienes activos y bienes de consumo.</t>
  </si>
  <si>
    <r>
      <t xml:space="preserve">Posibilidad de afectación económica y reputacional, debido a </t>
    </r>
    <r>
      <rPr>
        <u/>
        <sz val="16"/>
        <rFont val="Arial Narrow"/>
        <family val="2"/>
      </rPr>
      <t>observaciones, hallazgos, multas o sanciones de entes de control</t>
    </r>
    <r>
      <rPr>
        <sz val="16"/>
        <rFont val="Arial Narrow"/>
        <family val="2"/>
      </rPr>
      <t xml:space="preserve">, por </t>
    </r>
    <r>
      <rPr>
        <u/>
        <sz val="16"/>
        <rFont val="Arial Narrow"/>
        <family val="2"/>
      </rPr>
      <t>pérdida de los bienes activos y bienes de consumo.</t>
    </r>
  </si>
  <si>
    <r>
      <t xml:space="preserve">El profesional o técnico contable del área de almacenes bienes activos - ALBA, realiza de acuerdo a requerimiento el registro de  bienes adquiridos por la entidad, diligenciando formato </t>
    </r>
    <r>
      <rPr>
        <b/>
        <sz val="16"/>
        <color theme="1"/>
        <rFont val="Arial Narrow"/>
        <family val="2"/>
      </rPr>
      <t>INGRESO DE EQUIPOS POR ADQUISICION CÓDIGO: GA-ALBA-PR-07-FT-01</t>
    </r>
    <r>
      <rPr>
        <sz val="16"/>
        <color theme="1"/>
        <rFont val="Arial Narrow"/>
        <family val="2"/>
      </rPr>
      <t>, la información en  Dinámica Gerencial. Net, con el fin de garantizar su plaquetización y control.</t>
    </r>
  </si>
  <si>
    <r>
      <t xml:space="preserve">Los supervisores de contratos entregan al área de almacenes bienes activos - ALBA la totalidad de soportes y cuadro de distribución al momento del ingreso de acuerdo a formato </t>
    </r>
    <r>
      <rPr>
        <b/>
        <sz val="16"/>
        <color theme="1"/>
        <rFont val="Arial Narrow"/>
        <family val="2"/>
      </rPr>
      <t>INGRESO DE EQUIPOS POR ADQUISICION CÓDIGO: GA-ALBA-PR-07-FT-01</t>
    </r>
    <r>
      <rPr>
        <sz val="16"/>
        <color theme="1"/>
        <rFont val="Arial Narrow"/>
        <family val="2"/>
      </rPr>
      <t>, con el fin de generar de manera inmediata los traslados a los responsables de los inventarios.</t>
    </r>
  </si>
  <si>
    <r>
      <t xml:space="preserve">El responsable de activos fijos proyecta y asigna de manera semestral los inventarios a los auxiliares del área de almacenes bienes activos - ALBA, quienes acompañan la verificación de activos de acuerdo a formato </t>
    </r>
    <r>
      <rPr>
        <b/>
        <sz val="16"/>
        <color theme="1"/>
        <rFont val="Arial Narrow"/>
        <family val="2"/>
      </rPr>
      <t>VERIFICACIÓN DE ACTIVOS CÓDIGO: GA-ALBA-PR-09-FT-03</t>
    </r>
    <r>
      <rPr>
        <sz val="16"/>
        <color theme="1"/>
        <rFont val="Arial Narrow"/>
        <family val="2"/>
      </rPr>
      <t xml:space="preserve"> presentado por el responsable del mismo y/o delegado, elabora acta de formalización y recoge la totalidad de firmas establecidas en el formato autorizado para tal fin.</t>
    </r>
  </si>
  <si>
    <t xml:space="preserve">El responsable del almacén de bienes de consumo No. 1, realiza cuando se requiera el registro en Dinámica Gerencial de acuerdo a codificación correspondiente a los bienes de consumo, con el fin de garantizar el control, existencias y niveles de stock en el almacén. </t>
  </si>
  <si>
    <t xml:space="preserve">El responsable del almacén de bienes de consumo No. 1, realiza el despacho de acuerdo a solicitud realizada por las áreas y servicios  de la entidad. </t>
  </si>
  <si>
    <t>El responsable del almacén de bienes de consumo No. 1, realiza  mensualmente prueba selectiva con el fin de determinar existencias físicas Vs reporte en  Dinámica Gerencial. Net.</t>
  </si>
  <si>
    <t xml:space="preserve">Jefe de Área de Almacén </t>
  </si>
  <si>
    <t xml:space="preserve">Realizar Capacitación trimestral, con el fin de afianzar los conocimientos en los procesos y procedimientos de los diferentes actividades realizadas en el área de Bienes </t>
  </si>
  <si>
    <t>GDA_03</t>
  </si>
  <si>
    <t>Limitación en el cumplimiento del objetivo de los procesos del HOMIL.</t>
  </si>
  <si>
    <t>Daño de los bienes activos derivado del uso negligente de los mismos.</t>
  </si>
  <si>
    <r>
      <t xml:space="preserve">Posibilidad de afectación económica por </t>
    </r>
    <r>
      <rPr>
        <u/>
        <sz val="16"/>
        <rFont val="Arial Narrow"/>
        <family val="2"/>
      </rPr>
      <t>limitación en el cumplimiento del objetivo de los procesos del HOMIL</t>
    </r>
    <r>
      <rPr>
        <sz val="16"/>
        <rFont val="Arial Narrow"/>
        <family val="2"/>
      </rPr>
      <t xml:space="preserve">, debido </t>
    </r>
    <r>
      <rPr>
        <u/>
        <sz val="16"/>
        <rFont val="Arial Narrow"/>
        <family val="2"/>
      </rPr>
      <t>daño de los bienes activos derivado del uso negligente de los mismos</t>
    </r>
    <r>
      <rPr>
        <sz val="16"/>
        <rFont val="Arial Narrow"/>
        <family val="2"/>
      </rPr>
      <t>.</t>
    </r>
  </si>
  <si>
    <t>El profesional o técnico contable del área de almacenes bienes activos - ALBA, realiza de acuerdo a requerimiento el registro de  bienes adquiridos por la entidad, diligenciando la información en  Dinámica Gerencial. Net, con el fin de garantizar su identificación, plaquetización y control.</t>
  </si>
  <si>
    <t>El profesional o técnico contable del área de almacenes bienes activos - ALBA, define y registra en el acta de formalizacion de inventarios las instrucciones necesarias que permitan el control, cuidado, responsabilidad y uso adecuado de los bienes relacionados en el informe por responsables.</t>
  </si>
  <si>
    <r>
      <t xml:space="preserve">El profesional o técnico contable del área de almacenes bienes activos - ALBA, recibe los soportes del procedimiento para el reporte de daño de los bienes activos </t>
    </r>
    <r>
      <rPr>
        <b/>
        <sz val="16"/>
        <color theme="1"/>
        <rFont val="Arial Narrow"/>
        <family val="2"/>
      </rPr>
      <t>GA-ALBA-PR-08 Versión 4</t>
    </r>
    <r>
      <rPr>
        <sz val="16"/>
        <color theme="1"/>
        <rFont val="Arial Narrow"/>
        <family val="2"/>
      </rPr>
      <t xml:space="preserve">, en el que se incluye el análisis de las causas (Determinar la existencia del comportamiento negligente en el uso del bien) que originaron el daño del bien. </t>
    </r>
  </si>
  <si>
    <t>GDA_04</t>
  </si>
  <si>
    <t>Recibir o solicitar cualquier dádiva o beneficio a nombre propio o de terceros.</t>
  </si>
  <si>
    <t>Direccionamiento de los estudios previos, la evaluación o aplicación a una modalidad diferente a la que corresponda por ley, para adjudicar y/o celebrar un contrato que beneficie a un proponente.</t>
  </si>
  <si>
    <r>
      <t xml:space="preserve">Posibilidad de afectación económica y reputacional por </t>
    </r>
    <r>
      <rPr>
        <u/>
        <sz val="16"/>
        <rFont val="Arial Narrow"/>
        <family val="2"/>
      </rPr>
      <t>recibir o solicitar cualquier dádiva o beneficio a nombre propio o de terceros, para el direccionamiento de estudios previos, evaluaciones o aplicación de una modalidad de selección diferente a la que corresponda por ley, para adjudicar y/o celebrar un contrato que beneficie a un proponente</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</si>
  <si>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t>El profesional designado del Área de Gestión Contratos – GECO, realiza cada vez que se requiera la verificación integral de los documentos que hacen parte de los estudios previos y la modalidad de selección aplicable.</t>
  </si>
  <si>
    <t>El Jefe de la Unidad de Compras, Licitaciones y Bienes Activos, por instrucción del ordenador del gasto, conforma un comité evaluador para que realice la verificación cada vez que se requiera, de los requisitos habilitantes jurídicos, técnicos, económicos y financieros establecidos en el pliego complementario de condiciones o invitación pública y la evaluación de los factores de ponderación previos en cada proceso, para la escogencia de la oferta más favorable a la necesidades del Hospital Militar Central, de manera objetiva.</t>
  </si>
  <si>
    <t xml:space="preserve">El coordinador del Área de Gestión Contratos, en su calidad de secretario técnico, realiza la citación a las sesiones ordinarias y extraordinarias del Comité Asesor de Contratación cada vez que se requiera, órgano encargado de asesorar al Ordenador del Gasto para el desarrollo de la actividad contractual que se adelante al interior de la Entidad, que conocerá y emitirá recomendaciones sobre procedimientos contractuales que por su naturaleza le sean encomendados.
</t>
  </si>
  <si>
    <r>
      <t xml:space="preserve">El jefe de la Unidad de Compras Licitaciones y Bienes Activos, gestiona y promociona trimestralmente la disposición de un canal de denuncia por medio del correo </t>
    </r>
    <r>
      <rPr>
        <u/>
        <sz val="16"/>
        <color theme="1"/>
        <rFont val="Arial Narrow"/>
        <family val="2"/>
      </rPr>
      <t>comprasylicitaciones@homil.gov.co</t>
    </r>
    <r>
      <rPr>
        <sz val="16"/>
        <color theme="1"/>
        <rFont val="Arial Narrow"/>
        <family val="2"/>
      </rPr>
      <t>, como medio de comunicación confidencial, anónimo y seguro para que los interesados puedan informar posibles situaciones de fraude, irregularidades y conductas anti éticas en el desarrollo del proceso contractual.</t>
    </r>
  </si>
  <si>
    <t xml:space="preserve">Realizar trimestralmente, revision aleatoria en el SECOPII,  verificando flujo de aprobacion y dejando como evidencia pantallazos  de los procesos consultados </t>
  </si>
  <si>
    <t xml:space="preserve">Pantallazos  de los procesos consultados </t>
  </si>
  <si>
    <t>El profesional designado del Área de Gestión Contratos – GECO</t>
  </si>
  <si>
    <t>GDA_05</t>
  </si>
  <si>
    <t>Manipulación de la información en el seguimiento y supervisión de los contratos.</t>
  </si>
  <si>
    <r>
      <t xml:space="preserve">Posibilidad de afectación económica por </t>
    </r>
    <r>
      <rPr>
        <u/>
        <sz val="16"/>
        <rFont val="Arial Narrow"/>
        <family val="2"/>
      </rPr>
      <t>recibir o solicitar cualquier dádiva o beneficio a nombre propio o de terceros</t>
    </r>
    <r>
      <rPr>
        <sz val="16"/>
        <rFont val="Arial Narrow"/>
        <family val="2"/>
      </rPr>
      <t xml:space="preserve">, con el fin de </t>
    </r>
    <r>
      <rPr>
        <u/>
        <sz val="16"/>
        <rFont val="Arial Narrow"/>
        <family val="2"/>
      </rPr>
      <t>manipular la información en el  seguimiento y supervisión de los contratos</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t>
    </r>
  </si>
  <si>
    <t>El encargado del Área de seguimiento, ejecución y apoyo contractual realiza cada vez que se requiera la designación de la supervisión, garantizando que el funcionario designado, cumpla con las obligaciones de la supervisión.</t>
  </si>
  <si>
    <t>El encargado del Área de seguimiento, ejecución y apoyo contractual comunica cada vez que se requiera a los supervisores de contratos el procedimiento o manual para el ejercicio de la labor de la supervisión, en el cual se indiquen las competencias y responsabilidades frente al proceso</t>
  </si>
  <si>
    <t xml:space="preserve"> El responsable del área de seguimiento, ejecución y apoyo contractual, realiza de manera trimestral un ejercicio aleatorio para verificar que los supervisores cumplan con lo  establecido en el procedimiento o manual para el ejercicio de labor de supervisión.</t>
  </si>
  <si>
    <r>
      <t xml:space="preserve">El jefe de la Unidad de Compras Licitaciones y Bienes Activos, gestiona y promociona trimestralmente la disposición de un canal de denuncia por medio del correo </t>
    </r>
    <r>
      <rPr>
        <u/>
        <sz val="16"/>
        <color theme="1"/>
        <rFont val="Arial Narrow"/>
        <family val="2"/>
      </rPr>
      <t>comprasylicitaciones@homil.gov.co</t>
    </r>
    <r>
      <rPr>
        <sz val="16"/>
        <color theme="1"/>
        <rFont val="Arial Narrow"/>
        <family val="2"/>
      </rPr>
      <t>, como medio de comunicación confidencial, anónimo y seguro para que los interesados puedan informar posibles situaciones de fraude, irregularidades y conductas antiéticas en el desarrollo del proceso contractual.</t>
    </r>
  </si>
  <si>
    <t xml:space="preserve">Verificar que los documentos relacionados con el ejercicio de supervisión del contrato, se encuentren cargados en la plataforma SECOP II, dentro de los tiempos y parámetros establecidos . </t>
  </si>
  <si>
    <t xml:space="preserve">Jefe del area de seguimiento ejecucion y apoyo contractual </t>
  </si>
  <si>
    <t>GDA_06</t>
  </si>
  <si>
    <t>Selección y Contratación</t>
  </si>
  <si>
    <t>Incumplimiento de los requisitos legales y/o propios del objeto del contrato  en los procesos de ingreso a la entidad.</t>
  </si>
  <si>
    <r>
      <t xml:space="preserve">Posibilidad de afectación económica y reputacional por </t>
    </r>
    <r>
      <rPr>
        <u/>
        <sz val="16"/>
        <rFont val="Arial Narrow"/>
        <family val="2"/>
      </rPr>
      <t>sanciones, multas y demandas</t>
    </r>
    <r>
      <rPr>
        <sz val="16"/>
        <rFont val="Arial Narrow"/>
        <family val="2"/>
      </rPr>
      <t xml:space="preserve">, debido al </t>
    </r>
    <r>
      <rPr>
        <u/>
        <sz val="16"/>
        <rFont val="Arial Narrow"/>
        <family val="2"/>
      </rPr>
      <t>incumplimiento de los requisitos legales y/o propios del objeto del contrato en los procesos de selección y vinculación de la entidad.</t>
    </r>
    <r>
      <rPr>
        <sz val="16"/>
        <rFont val="Arial Narrow"/>
        <family val="2"/>
      </rPr>
      <t xml:space="preserve"> (Vinculación de persona natural)</t>
    </r>
  </si>
  <si>
    <r>
      <t xml:space="preserve">Los auxiliares del Área de Selección y Contratación de la Unidad de Compras, Licitaciones y Bienes Activos, verifican cada vez que se requiera la idoneidad del aspirante dando cumplimiento a lo establecido en el  proceso de contratación directa - prestación de servicios profesionales y de apoyo a la gestión, </t>
    </r>
    <r>
      <rPr>
        <b/>
        <sz val="16"/>
        <color theme="1"/>
        <rFont val="Arial Narrow"/>
        <family val="2"/>
      </rPr>
      <t>Cód. GA-GECO-MN-01-FT-15</t>
    </r>
    <r>
      <rPr>
        <sz val="16"/>
        <color theme="1"/>
        <rFont val="Arial Narrow"/>
        <family val="2"/>
      </rPr>
      <t xml:space="preserve">, con el fin de dar cumplimiento al procedimiento selección de contratistas por prestación de servicios profesionales y de apoyo a la gestión, contratación por prestación de servicios con personas naturales </t>
    </r>
    <r>
      <rPr>
        <sz val="16"/>
        <rFont val="Arial Narrow"/>
        <family val="2"/>
      </rPr>
      <t xml:space="preserve">Cod. </t>
    </r>
    <r>
      <rPr>
        <b/>
        <sz val="16"/>
        <rFont val="Arial Narrow"/>
        <family val="2"/>
      </rPr>
      <t>GH-SECO-PR-01.</t>
    </r>
  </si>
  <si>
    <r>
      <t xml:space="preserve">Los auxiliares del Área de Selección y Contratación de la Unidad de Compras, Licitaciones y Bienes Activos, verifican cada vez que se requiera la idoneidad del aspirante dando cumplimiento a lo establecido en el formato </t>
    </r>
    <r>
      <rPr>
        <b/>
        <sz val="16"/>
        <color theme="1"/>
        <rFont val="Arial Narrow"/>
        <family val="2"/>
      </rPr>
      <t>LISTA DE CHEQUEO CONTRATO DE PRESTACIÓN DE SERVICIOS – PERSONAL NUEVO-CARPETA, cod. GA-GECO-MN-01-FT-09</t>
    </r>
    <r>
      <rPr>
        <sz val="16"/>
        <color theme="1"/>
        <rFont val="Arial Narrow"/>
        <family val="2"/>
      </rPr>
      <t xml:space="preserve">, con el fin de garantizar el cumplimiento de documentos precontractuales y demás normatividad vigente. </t>
    </r>
  </si>
  <si>
    <t>GFI_01</t>
  </si>
  <si>
    <t>Presupuesto</t>
  </si>
  <si>
    <t>Limitación en la prestación de servicios de salud por falta de recursos.</t>
  </si>
  <si>
    <t>Fallas en la planeación y seguimiento presupuestal.</t>
  </si>
  <si>
    <r>
      <t xml:space="preserve">Posibilidad de afectación económica y reputacional por </t>
    </r>
    <r>
      <rPr>
        <u/>
        <sz val="16"/>
        <rFont val="Arial Narrow"/>
        <family val="2"/>
      </rPr>
      <t>limitación en la prestación de servicios de salud por falta de recursos</t>
    </r>
    <r>
      <rPr>
        <sz val="16"/>
        <rFont val="Arial Narrow"/>
        <family val="2"/>
      </rPr>
      <t xml:space="preserve">, debido a </t>
    </r>
    <r>
      <rPr>
        <u/>
        <sz val="16"/>
        <rFont val="Arial Narrow"/>
        <family val="2"/>
      </rPr>
      <t>fallas en la planeación y seguimiento presupuestal</t>
    </r>
    <r>
      <rPr>
        <sz val="16"/>
        <rFont val="Arial Narrow"/>
        <family val="2"/>
      </rPr>
      <t xml:space="preserve">.
</t>
    </r>
  </si>
  <si>
    <r>
      <t xml:space="preserve">El profesional o técnico responsable del área de presupuesto, valida anualmente el cargue inicial del presupuesto en los sistemas de información </t>
    </r>
    <r>
      <rPr>
        <i/>
        <sz val="16"/>
        <color theme="1"/>
        <rFont val="Arial Narrow"/>
        <family val="2"/>
      </rPr>
      <t>(Dinámica Gerencial Hospitalaria y SIIF Nación)</t>
    </r>
    <r>
      <rPr>
        <sz val="16"/>
        <color theme="1"/>
        <rFont val="Arial Narrow"/>
        <family val="2"/>
      </rPr>
      <t>, de acuerdo con la resolución interna de presupuesto, con el fin de identificar las apropiaciones establecidas en el decreto y ley de presupuesto y su distribución interna de acuerdo al plan de compras. 
(Acta de validación cargue inicial del presupuesto)</t>
    </r>
  </si>
  <si>
    <t>El profesional o técnico responsable del área de presupuesto, expide anualmente los CDP (Certificado de Disponibilidad Presupuestal) y registros de los contratos suscritos con vigencias futuras, con el fin de dar respaldo presupuestal.
(Listado de registros vigencias futuras - socializado por correo electrónico)</t>
  </si>
  <si>
    <t>El profesional o técnico responsable del área de presupuesto, realiza de manera mensual la verificación y seguimiento de la ejecución del presupuesto en sistemas de información (Dinámica Gerencial Hospitalaria y SIIF Nación), genera y socializa informe a través de correo electrónico.</t>
  </si>
  <si>
    <t>Resoluciones de traslados internos</t>
  </si>
  <si>
    <t>Área de Presupuesto</t>
  </si>
  <si>
    <t>Resoluciones de traslados realizados en el periodo.</t>
  </si>
  <si>
    <t>GFI_02</t>
  </si>
  <si>
    <t>Contabilidad</t>
  </si>
  <si>
    <t>Sanción y no fenecimiento de la cuenta fiscal.</t>
  </si>
  <si>
    <t>Inoportunidad o no registro de las transacciones económicas e incumplimiento a la normatividad.</t>
  </si>
  <si>
    <r>
      <t xml:space="preserve">Posibilidad de afectación económica y reputacional por </t>
    </r>
    <r>
      <rPr>
        <u/>
        <sz val="16"/>
        <rFont val="Arial Narrow"/>
        <family val="2"/>
      </rPr>
      <t>sanción y no fenecimiento de la cuenta fiscal</t>
    </r>
    <r>
      <rPr>
        <sz val="16"/>
        <rFont val="Arial Narrow"/>
        <family val="2"/>
      </rPr>
      <t xml:space="preserve">, debido a </t>
    </r>
    <r>
      <rPr>
        <u/>
        <sz val="16"/>
        <rFont val="Arial Narrow"/>
        <family val="2"/>
      </rPr>
      <t>inoportunidad o no registro de las transacciones económicas e incumplimiento a normatividad contable vigente</t>
    </r>
    <r>
      <rPr>
        <sz val="16"/>
        <rFont val="Arial Narrow"/>
        <family val="2"/>
      </rPr>
      <t>.</t>
    </r>
  </si>
  <si>
    <t>Los Auxiliares de Apoyo de Seguridad y Defensa o Técnicos realizan mensualmente la revisión de las transacciones de los módulos que alimentan el proceso contable, con el fin de detectar transacciones no rutinarias.</t>
  </si>
  <si>
    <t>Los Auxiliares de Apoyo de Seguridad y Defensa o Técnicos con los responsables de las áreas fuente, realizan trimestralmente la verificación, trazabilidad y coincidencia de los saldos.</t>
  </si>
  <si>
    <t xml:space="preserve">El Profesional de Defensa del Área de Contabilidad, realiza mensualmente la verificación de las cifras en el balance de pruebas, con el fin de detectar cifras y variaciones no rutinarias. </t>
  </si>
  <si>
    <t>El profesional de Defensa del Área de Contabilidad, genera cada vez que se requiera alertas por medio de correos electrónicos u oficios , con el fin de que las operaciones se realicen oportunamente.</t>
  </si>
  <si>
    <t>GFI_03</t>
  </si>
  <si>
    <t>Contabilidad
(Áreas fuente de la información contable)</t>
  </si>
  <si>
    <t>Incluir u omitir datos en el sistema de información que no respondan a la realidad con respecto a la transacción realizada.</t>
  </si>
  <si>
    <r>
      <t xml:space="preserve">Posibilidad de afectación económica y reputacional por </t>
    </r>
    <r>
      <rPr>
        <u/>
        <sz val="16"/>
        <rFont val="Arial Narrow"/>
        <family val="2"/>
      </rPr>
      <t>sanción y no fenecimiento de la cuenta fiscal</t>
    </r>
    <r>
      <rPr>
        <sz val="16"/>
        <rFont val="Arial Narrow"/>
        <family val="2"/>
      </rPr>
      <t xml:space="preserve">, debido a </t>
    </r>
    <r>
      <rPr>
        <u/>
        <sz val="16"/>
        <rFont val="Arial Narrow"/>
        <family val="2"/>
      </rPr>
      <t>incluir u omitir datos en el sistema de información, que no respondan a la realidad con respecto a la transacción realizada</t>
    </r>
    <r>
      <rPr>
        <sz val="16"/>
        <rFont val="Arial Narrow"/>
        <family val="2"/>
      </rPr>
      <t>.</t>
    </r>
  </si>
  <si>
    <t xml:space="preserve">El Profesional de Defensa del Área de Contabilidad junto con su equipo de trabajo, realiza seguimiento mensual a niveles de cuentas contables, con el fin de detectar cifras atípicas y realizar las respectivas correcciones. </t>
  </si>
  <si>
    <t xml:space="preserve">El Profesional de Defensa del Área de Contabilidad junto con su equipo de trabajo y los responsables de las áreas fuente, realizan trimestralmente la verificación, trazabilidad y coincidencia de los saldos, con el fin de detectar cifras atípicas y realizar las respectivas correcciones. </t>
  </si>
  <si>
    <t xml:space="preserve">El profesional de Defensa del Área de Tesorería junto con su equipo de trabajo, realizan diarios de caja e informe trimestral de las partidas conciliatorias, con el fin de identificar lo que no se encuentra registrado en libros contables. </t>
  </si>
  <si>
    <t>El profesional de Defensa del Área de Tesorería junto con su equipo de trabajo, agotada la etapa de identificación y registro de las partidas, una vez por semestre debe enviar al comité de sostenibilidad contable, las partidas conciliatorias superiores a seis meses para su depuración a través de este comité.</t>
  </si>
  <si>
    <t>GFI_04</t>
  </si>
  <si>
    <t>Tesorería</t>
  </si>
  <si>
    <t>Sanciones económicas y penales.</t>
  </si>
  <si>
    <t>Realizar dobles pagos frente a una misma obligación, pagos sin cumplimiento de requisitos e incumplimiento en el pago a terceros.</t>
  </si>
  <si>
    <r>
      <t xml:space="preserve">Posibilidad de afectación económica, por </t>
    </r>
    <r>
      <rPr>
        <u/>
        <sz val="16"/>
        <rFont val="Arial Narrow"/>
        <family val="2"/>
      </rPr>
      <t>sanciones económicas y penales</t>
    </r>
    <r>
      <rPr>
        <sz val="16"/>
        <rFont val="Arial Narrow"/>
        <family val="2"/>
      </rPr>
      <t xml:space="preserve">, debido </t>
    </r>
    <r>
      <rPr>
        <u/>
        <sz val="16"/>
        <rFont val="Arial Narrow"/>
        <family val="2"/>
      </rPr>
      <t>realizar dobles pagos frente a una misma obligación, pagos sin cumplimiento de requisitos e incumplimiento en el pago a terceros</t>
    </r>
    <r>
      <rPr>
        <sz val="16"/>
        <rFont val="Arial Narrow"/>
        <family val="2"/>
      </rPr>
      <t>.</t>
    </r>
  </si>
  <si>
    <t>Los Auxiliares del área de Tesorería, verifican diariamente los documentos soportes recibidos,  de acuerdo a la lista de chequeo y serán registrados en los sistemas de información SIIF y Dinámica Gerencial Hospitalaria.</t>
  </si>
  <si>
    <t xml:space="preserve">El Profesional de Defensa del Área de Tesorería, realiza mensualmente el cruce de ordenes de pago en SIIF y Dinámica Gerencial, con el fin de detectar diferencias y ajustarlas si aplica. </t>
  </si>
  <si>
    <t xml:space="preserve">Los Auxiliares de Apoyo de Seguridad y Defensa del Área de Tesorería, registran diariamente en base de datos las fechas de vencimiento de acuerdo a cada contrato, el cual sirve como herramienta de programación de pagos, con el fin de dar cumplimiento a la clausula de pago de los contratos. </t>
  </si>
  <si>
    <t xml:space="preserve">El Profesional de Defensa del Área de Tesorería, realiza mensualmente la programación de giros, validando la liquidez frente al pago de obligaciones de acuerdo a las prioridades establecidas por la entidad. </t>
  </si>
  <si>
    <t>Los Auxiliares de Apoyo de Seguridad y Defensa del Área de Tesorería, registran diariamente en base de datos las fechas de vencimiento de acuerdo a cada contrato, el cual sirve como herramienta de programación de pagos, con el fin de dar cumplimiento a la clausula.</t>
  </si>
  <si>
    <t>GFI_05</t>
  </si>
  <si>
    <t>Costos</t>
  </si>
  <si>
    <t>Inadecuada toma de decisiones frente al comportamiento de un centro de costo o un servicio.</t>
  </si>
  <si>
    <r>
      <t xml:space="preserve">Posibilidad de afectación económica por  la </t>
    </r>
    <r>
      <rPr>
        <u/>
        <sz val="16"/>
        <rFont val="Arial Narrow"/>
        <family val="2"/>
      </rPr>
      <t>inadecuada toma de decisiones frente al comportamiento de un centro de costo o un servicio</t>
    </r>
    <r>
      <rPr>
        <sz val="16"/>
        <rFont val="Arial Narrow"/>
        <family val="2"/>
      </rPr>
      <t xml:space="preserve">, debido a </t>
    </r>
    <r>
      <rPr>
        <u/>
        <sz val="16"/>
        <rFont val="Arial Narrow"/>
        <family val="2"/>
      </rPr>
      <t>incluir u omitir datos en el sistema de información que no respondan a la realidad con respecto a la transacción realizada</t>
    </r>
    <r>
      <rPr>
        <sz val="16"/>
        <rFont val="Arial Narrow"/>
        <family val="2"/>
      </rPr>
      <t>.</t>
    </r>
  </si>
  <si>
    <t>El profesional de Defensa del Área de Costos, realiza mensualmente la distribución de gastos de acuerdo a parámetros establecidos, con el fin de determinar el gasto en cada uno de los centros de costo.</t>
  </si>
  <si>
    <t xml:space="preserve">El profesional de Defensa del Área de Costos, realiza semestralmente informe por centro de costos y cruce frente al estado de resultados contables por factor de costo, con el fin de comprobar la exactitud frente al costo de ventas en los estados financieros. </t>
  </si>
  <si>
    <t>GFI_06</t>
  </si>
  <si>
    <t>Facturación</t>
  </si>
  <si>
    <t>No facturación de los servicios prestados.</t>
  </si>
  <si>
    <t xml:space="preserve">Inoportunidad o no registro de las atenciones en salud prestadas a los pacientes </t>
  </si>
  <si>
    <r>
      <t xml:space="preserve">Posibilidad de afectación económica por </t>
    </r>
    <r>
      <rPr>
        <u/>
        <sz val="16"/>
        <rFont val="Arial Narrow"/>
        <family val="2"/>
      </rPr>
      <t>no facturación de los servicios prestados</t>
    </r>
    <r>
      <rPr>
        <sz val="16"/>
        <rFont val="Arial Narrow"/>
        <family val="2"/>
      </rPr>
      <t xml:space="preserve">, debido a </t>
    </r>
    <r>
      <rPr>
        <u/>
        <sz val="16"/>
        <rFont val="Arial Narrow"/>
        <family val="2"/>
      </rPr>
      <t>inoportunidad o no registro de las atenciones en salud prestadas a los pacientes</t>
    </r>
    <r>
      <rPr>
        <sz val="16"/>
        <rFont val="Arial Narrow"/>
        <family val="2"/>
      </rPr>
      <t>.</t>
    </r>
  </si>
  <si>
    <t>El auditor o revisor de cuentas médicas, audita y revisa a diario los ingresos asignados para la verificación de las atenciones Vs cargues para la generación de la factura de pacientes hospitalizados, de urgencias y cirugía.</t>
  </si>
  <si>
    <t>El analista y revisor de cuentas médicas realiza semanalmente la verificación en sistema de información (Dinámica Gerencial Hospitalaria) de los ingresos y atenciones realizadas en los servicios ambulatorios, para la generación de la factura.</t>
  </si>
  <si>
    <t xml:space="preserve">EL auditor financiero, analista y revisor de cuentas médicas una vez se termina el cierre de la facturación del mes de prestación a facturar, realiza la verificación y depuración de los ingresos abiertos, para depurarlos o facturarlos según sea el caso. </t>
  </si>
  <si>
    <t>GFI_07</t>
  </si>
  <si>
    <t>Cartera</t>
  </si>
  <si>
    <t>Inoportunidad en el recaudo de las cuentas por cobrar por prestación de servicios de salud, con los diferentes pagadores del sistema general de seguridad social en salud.</t>
  </si>
  <si>
    <t>Agotamiento en el cobro persuasivo.</t>
  </si>
  <si>
    <r>
      <t xml:space="preserve">Posibilidad de afectación económica por </t>
    </r>
    <r>
      <rPr>
        <u/>
        <sz val="16"/>
        <rFont val="Arial Narrow"/>
        <family val="2"/>
      </rPr>
      <t>inoportunidad en el recaudo de las cuentas por cobrar por prestación de servicios de salud</t>
    </r>
    <r>
      <rPr>
        <sz val="16"/>
        <rFont val="Arial Narrow"/>
        <family val="2"/>
      </rPr>
      <t xml:space="preserve">, con los diferentes pagadores del sistema general de seguridad social en salud, debido al </t>
    </r>
    <r>
      <rPr>
        <u/>
        <sz val="16"/>
        <rFont val="Arial Narrow"/>
        <family val="2"/>
      </rPr>
      <t>agotamiento en el cobro persuasivo</t>
    </r>
    <r>
      <rPr>
        <sz val="16"/>
        <rFont val="Arial Narrow"/>
        <family val="2"/>
      </rPr>
      <t>.</t>
    </r>
  </si>
  <si>
    <t xml:space="preserve">El técnico, auxiliar de apoyo de seguridad y defensa y auditor financiero del área de cartera, verifican mensualmente la facturación generada y radicada ante el pagador correspondiente de acuerdo al aseguramiento del paciente, con el fin de hacer seguimiento a la radicación y recaudo oportuno. </t>
  </si>
  <si>
    <t xml:space="preserve">El técnico, auxiliar de apoyo de seguridad y defensa y auditor financiero del área de cartera con el auditor financiero y revisor de cuentas médicas del área de facturación, realizan mensualmente el cruce y verificación de que las facturas generadas en el mes sean radicadas en cada empresa administradora de planes de beneficios. </t>
  </si>
  <si>
    <t>El técnico, auxiliar de apoyo de seguridad y defensa y auditor financiero del área de cartera con el responsable del módulo de cartera del área de contabilidad, realiza trimestralmente el cruce y verificación de los saldos contables, con el fin de que la información financiera sea coincidente.</t>
  </si>
  <si>
    <t>El técnico, auxiliar de apoyo de seguridad y defensa y auditor financiero del área de cartera, generan semestralmente un reporte de cartera, para posible cobro coactivo.</t>
  </si>
  <si>
    <t>El jefe de la unidad de cuentas hospitalarias y facturación, verifica, analiza y ofícia semestralmente a la Oficina Asesora Jurídica la cartera clasificada para cobro coactivo.</t>
  </si>
  <si>
    <t>GFI_08</t>
  </si>
  <si>
    <t>Tesorería
Presupuesto</t>
  </si>
  <si>
    <t>Recibir o solicitar dádivas o beneficios a nombre propio o de terceros.</t>
  </si>
  <si>
    <t>Modificación indebida de valores a los compromisos de pagos y cuentas de destino para el pago de recursos.</t>
  </si>
  <si>
    <r>
      <t xml:space="preserve">Posibilidad de afectación económica por </t>
    </r>
    <r>
      <rPr>
        <u/>
        <sz val="16"/>
        <rFont val="Arial Narrow"/>
        <family val="2"/>
      </rPr>
      <t>recibir o solicitar dádivas o beneficios a nombre propio o de terceros</t>
    </r>
    <r>
      <rPr>
        <sz val="16"/>
        <rFont val="Arial Narrow"/>
        <family val="2"/>
      </rPr>
      <t xml:space="preserve">, debido a la </t>
    </r>
    <r>
      <rPr>
        <u/>
        <sz val="16"/>
        <rFont val="Arial Narrow"/>
        <family val="2"/>
      </rPr>
      <t>modificación indebida de valores a los compromisos contractuales de pagos y cuentas de destino para el pago de recursos</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</si>
  <si>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t>El responsable del área de presupuesto revisa diariamente en el momento de la expedición de los documentos soportes de las solicitudes de registro, adiciones y/o prorrogas a los compromisos de los contratos, con el propósito de asegurar que los registros presupuestales sean acordes con las solicitudes recibidas.</t>
  </si>
  <si>
    <t>El responsable del área de presupuesto valida la cuenta bancaria cada vez que se expida el compromiso presupuestal, en caso de requerir cambio de cuenta se valida frente a la solicitud efectuada por el supervisor del contrato y la certificación bancaria, para dejar evidencia de la solicitud formalmente realizada.</t>
  </si>
  <si>
    <t xml:space="preserve">El responsable del área de presupuesto verifica cada vez que se genera la obligación presupuestal que los documentos soportes cumplan con los requisitos exigidos en el contrato y se anexe la documentación requerida para el trámite de pago. </t>
  </si>
  <si>
    <t xml:space="preserve">EL responsable del área de tesorería valida cada vez que se requiera la cuenta bancaria donde se van a depositar los recursos y se establece el cronograma de programación de giros, de acuerdo a los vencimientos pactados contractualmente. </t>
  </si>
  <si>
    <t>GFI_09</t>
  </si>
  <si>
    <t>Recibir o solicitar dádivas ó beneficios a nombre propio o de terceros</t>
  </si>
  <si>
    <t>Adulterar o cambiar información para minimizar el valor a cobrar por la prestación de servicios de salud.</t>
  </si>
  <si>
    <r>
      <t xml:space="preserve">Posibilidad de afectación económica por </t>
    </r>
    <r>
      <rPr>
        <u/>
        <sz val="16"/>
        <rFont val="Arial Narrow"/>
        <family val="2"/>
      </rPr>
      <t>recibir o solicitar dádivas ó beneficios a nombre propio o de terceros</t>
    </r>
    <r>
      <rPr>
        <sz val="16"/>
        <rFont val="Arial Narrow"/>
        <family val="2"/>
      </rPr>
      <t xml:space="preserve">, debido a </t>
    </r>
    <r>
      <rPr>
        <u/>
        <sz val="16"/>
        <rFont val="Arial Narrow"/>
        <family val="2"/>
      </rPr>
      <t>adulterar o cambiar información para minimizar el valor a cobrar por la prestación de servicios de salud</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</si>
  <si>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r>
      <t>El responsable de la Unidad de Cuentas Hospitalarias y Facturación,</t>
    </r>
    <r>
      <rPr>
        <sz val="16"/>
        <color rgb="FFFF0000"/>
        <rFont val="Arial Narrow"/>
        <family val="2"/>
      </rPr>
      <t xml:space="preserve"> </t>
    </r>
    <r>
      <rPr>
        <sz val="16"/>
        <rFont val="Arial Narrow"/>
        <family val="2"/>
      </rPr>
      <t xml:space="preserve">a través de su grupo auditor diariamente validan la prestación del servicio frente al valor facturado, con el fin de efectuar el cobro justo y de acuerdo a lo pactado con los diferentes clientes o usuarios de los servicios de salud de la entidad. </t>
    </r>
  </si>
  <si>
    <t>GFI_10</t>
  </si>
  <si>
    <t>No optimizar la gestión institucional que garantice la sostenibilidad financiera de la entidad</t>
  </si>
  <si>
    <t>Correlación inadecuada entre las proyecciones financieras y los acuerdos contractuales con los aseguradores y su correspondencia con los colabores, proveedores y contratistas para la prestación de servicios de salud.</t>
  </si>
  <si>
    <t>Posibilidad de afectación económica por la no optimizar la gestión institucional que garantice la sostenibilidad financiera de la entidad, debido a una correlación inadecuada entre las proyecciones financieras y los acuerdos contractuales con los aseguradores y su correspondencia con los colabores, proveedores y contratistas para la prestación de servicios de salud.</t>
  </si>
  <si>
    <t>El profesional del área de costos junto a su grupo de trabajo, revisa y monitorea anualmente la estructura tarifaria que es parte integral del contrato suscrito con la DIGSA, con el propósito de garantizar el adecuado flujo de recursos para respaldar el presupuesto de gastos.</t>
  </si>
  <si>
    <t>El profesional del área de costos junto a su grupo de trabajo, analiza trimestralmente los resultados financieros para generar las alertas necesarias que conduzcan a la estabilidad financiera de la entidad.
(Análisis de costos).</t>
  </si>
  <si>
    <t>Realizar validación trimestral del comportamiento del ingreso, frente al contrato con la DIGSA.</t>
  </si>
  <si>
    <t>Área de Costos</t>
  </si>
  <si>
    <t>Acta de cruce de cartera con facturación.</t>
  </si>
  <si>
    <t>GDO_01</t>
  </si>
  <si>
    <t>Registro de Correspondencia y Archivo</t>
  </si>
  <si>
    <t>Pérdida del patrimonio documental.</t>
  </si>
  <si>
    <t>Inadecuada administración de los documentos por parte del personal y/o incumplimiento de los procedimientos de la gestión documental en la entidad.</t>
  </si>
  <si>
    <r>
      <t xml:space="preserve">Posibilidad de afectación reputacional por </t>
    </r>
    <r>
      <rPr>
        <u/>
        <sz val="16"/>
        <rFont val="Arial Narrow"/>
        <family val="2"/>
      </rPr>
      <t>pérdida del patrimonio documental</t>
    </r>
    <r>
      <rPr>
        <sz val="16"/>
        <rFont val="Arial Narrow"/>
        <family val="2"/>
      </rPr>
      <t xml:space="preserve">, debido a la </t>
    </r>
    <r>
      <rPr>
        <u/>
        <sz val="16"/>
        <rFont val="Arial Narrow"/>
        <family val="2"/>
      </rPr>
      <t>inadecuada administración de los documentos por parte del personal y/o incumplimiento de los procedimientos de la gestión documental en la entidad</t>
    </r>
    <r>
      <rPr>
        <sz val="16"/>
        <rFont val="Arial Narrow"/>
        <family val="2"/>
      </rPr>
      <t>.</t>
    </r>
  </si>
  <si>
    <r>
      <t xml:space="preserve">El auxiliar administrativo del área de Registro de Correspondencia y Archivo, atiende cada vez que se requiera la consulta de solicitud de expediente o documento, conforme al procedimiento establecido </t>
    </r>
    <r>
      <rPr>
        <b/>
        <sz val="16"/>
        <color theme="1"/>
        <rFont val="Arial Narrow"/>
        <family val="2"/>
      </rPr>
      <t>CÓDIGO: GD-RECO-PR-05</t>
    </r>
    <r>
      <rPr>
        <sz val="16"/>
        <color theme="1"/>
        <rFont val="Arial Narrow"/>
        <family val="2"/>
      </rPr>
      <t xml:space="preserve"> con el fin de llevar un control de préstamos documentales del archivo central.</t>
    </r>
  </si>
  <si>
    <r>
      <t xml:space="preserve">El jefe / responsable / designado del área de Registro de Correspondencia y Archivo, implementa </t>
    </r>
    <r>
      <rPr>
        <b/>
        <sz val="16"/>
        <rFont val="Arial Narrow"/>
        <family val="2"/>
      </rPr>
      <t>SEMESTRALMENTE</t>
    </r>
    <r>
      <rPr>
        <sz val="16"/>
        <color theme="1"/>
        <rFont val="Arial Narrow"/>
        <family val="2"/>
      </rPr>
      <t xml:space="preserve"> el programa de capacitación y sensibilización, entorno a los procesos de la gestión (planeación, producción, gestión y trámite, organización, transferencia, disposición, preservación y valoración), con el fin de dar cumplimiento al articulo 6 - programas de conservación preventiva, numeral 1 del acuerdo AGN 06 de 2014 y artículo 18 - "capacitación" de la Ley 594 de 2000.</t>
    </r>
  </si>
  <si>
    <t>GDO_02</t>
  </si>
  <si>
    <t>Multas y sanciones por el ente regulador</t>
  </si>
  <si>
    <t>Incumplimiento normativo, a causa de desgregación, deterioro y pérdida del patrimonio documental.</t>
  </si>
  <si>
    <r>
      <t xml:space="preserve">Posibilidad de afectación reputacional por </t>
    </r>
    <r>
      <rPr>
        <u/>
        <sz val="16"/>
        <rFont val="Arial Narrow"/>
        <family val="2"/>
      </rPr>
      <t>multas y sanciones por el ente regulador</t>
    </r>
    <r>
      <rPr>
        <sz val="16"/>
        <rFont val="Arial Narrow"/>
        <family val="2"/>
      </rPr>
      <t xml:space="preserve">, debido a </t>
    </r>
    <r>
      <rPr>
        <u/>
        <sz val="16"/>
        <rFont val="Arial Narrow"/>
        <family val="2"/>
      </rPr>
      <t>incumplimiento normativo, a causa de desgregación, deterioro y pérdida del patrimonio documental del archivo central de la entidad</t>
    </r>
    <r>
      <rPr>
        <sz val="16"/>
        <rFont val="Arial Narrow"/>
        <family val="2"/>
      </rPr>
      <t>.</t>
    </r>
  </si>
  <si>
    <t>El jefe / responsable / designado del área de Registro de Correspondencia y Archivo, propende el cumplimiento normativo del Título 4 - administración de archivos, artículo 11 hasta 20 de la ley 594 del 2000.
Implementando el conjunto de acciones, procedimientos y lineamientos, de conformidad con lo señalado en la normatividad archivística vigente y demás normas concordantes para la creación, uso, mantenimiento, retención, acceso, conservación y preservación de la documentación del HOMIL.</t>
  </si>
  <si>
    <t>El jefe / responsable / designado del área de Registro de Correspondencia y Archivo, garantiza trimestralmente el cumplimiento de la conservación documental por medio del SIC (Sistema Integrado de Conservación) y los programas que lo componen, con el propósito de generar los atributos tales como unidad, integridad, autenticidad, inalterabilidad, originalidad, fiabilidad, accesibilidad, de toda la documentación de la entidad desde el momento de la producción, durante su período de vigencia, hasta su disposición final, de acuerdo con la valoración documental, de conformidad con lo señalado en el Acuerdo AGN 06 de 2014.</t>
  </si>
  <si>
    <t>GDO_03</t>
  </si>
  <si>
    <t>Demandas y tutelas por divulgación de información clasificada o reservada de los usuarios atendidos por el HOMIL.</t>
  </si>
  <si>
    <t>Falta en el compromiso de confidencialidad y reserva de la información por parte del personal que custodia la información del archivo central</t>
  </si>
  <si>
    <r>
      <t xml:space="preserve">Posibilidad de afectación económica y reputacional por </t>
    </r>
    <r>
      <rPr>
        <u/>
        <sz val="16"/>
        <rFont val="Arial Narrow"/>
        <family val="2"/>
      </rPr>
      <t>demandas y tutelas por divulgación de información clasificada o reservada de los usuarios atendidos por el HOMIL</t>
    </r>
    <r>
      <rPr>
        <sz val="16"/>
        <rFont val="Arial Narrow"/>
        <family val="2"/>
      </rPr>
      <t xml:space="preserve">, debido a </t>
    </r>
    <r>
      <rPr>
        <u/>
        <sz val="16"/>
        <rFont val="Arial Narrow"/>
        <family val="2"/>
      </rPr>
      <t>falta en el compromiso de confidencialidad y reserva de la información por parte del personal que custodia la información del archivo central</t>
    </r>
    <r>
      <rPr>
        <sz val="16"/>
        <rFont val="Arial Narrow"/>
        <family val="2"/>
      </rPr>
      <t>.</t>
    </r>
  </si>
  <si>
    <r>
      <t>El jefe / responsable / designado del área de Registro de Correspondencia y Archivo, velará por el cumplimiento de los lineamientos y políticas definidas dentro del procedimiento de préstamo y consulta Código</t>
    </r>
    <r>
      <rPr>
        <b/>
        <sz val="16"/>
        <color theme="1"/>
        <rFont val="Arial Narrow"/>
        <family val="2"/>
      </rPr>
      <t xml:space="preserve">: </t>
    </r>
    <r>
      <rPr>
        <b/>
        <sz val="16"/>
        <rFont val="Arial Narrow"/>
        <family val="2"/>
      </rPr>
      <t>GL-RECO-PR-03</t>
    </r>
    <r>
      <rPr>
        <b/>
        <sz val="16"/>
        <color theme="1"/>
        <rFont val="Arial Narrow"/>
        <family val="2"/>
      </rPr>
      <t xml:space="preserve">, </t>
    </r>
    <r>
      <rPr>
        <sz val="16"/>
        <color theme="1"/>
        <rFont val="Arial Narrow"/>
        <family val="2"/>
      </rPr>
      <t>por medio del registro y control de los préstamos y consultas recibidas y atendidas en sus dos modalidades descritas dentro del procedimiento.</t>
    </r>
  </si>
  <si>
    <t xml:space="preserve">El jefe / responsable / designado del área de Registro de Correspondencia y Archivo, velará por el cumplimiento desde el área, de lo señalado en las normas y artículos: 
Artículo 5º. Consulta de documentos, artículo 6 Préstamo de documentos para trámites internos, del Acuerdo AGN42 de 2002 y Artículo 38 - Deberes de todo servidor público, numeral 6, de la Ley 1952 de 2019, se deberán brindar las garantías para la consulta y acceso a la información, salvo para los casos señalados en la ley 1712 de 2014 y documentar las evidencias del trámite. </t>
  </si>
  <si>
    <t>GDO_04</t>
  </si>
  <si>
    <t>Pérdida de correspondencia que ingresa y sale de la entidad.</t>
  </si>
  <si>
    <t>Incumplimiento al procedimiento establecido para el control de la correspondencia recibida y enviada, no diligenciamiento de las plantillas de control de envío de la documentación externa y fallas en la radicación a terceros.</t>
  </si>
  <si>
    <r>
      <t xml:space="preserve">Posibilidad de afectación económica y reputacional por </t>
    </r>
    <r>
      <rPr>
        <u/>
        <sz val="16"/>
        <rFont val="Arial Narrow"/>
        <family val="2"/>
      </rPr>
      <t>pérdida de correspondencia que ingresa y sale de la entidad</t>
    </r>
    <r>
      <rPr>
        <sz val="16"/>
        <rFont val="Arial Narrow"/>
        <family val="2"/>
      </rPr>
      <t xml:space="preserve">, debido al </t>
    </r>
    <r>
      <rPr>
        <u/>
        <sz val="16"/>
        <rFont val="Arial Narrow"/>
        <family val="2"/>
      </rPr>
      <t>incumplimiento del procedimiento establecido para el control de la correspondencia recibida y enviada, al igual que el no diligenciamiento de las planillas de control de envío de la documentación externa y fallas en la radicación a terceros</t>
    </r>
    <r>
      <rPr>
        <sz val="16"/>
        <rFont val="Arial Narrow"/>
        <family val="2"/>
      </rPr>
      <t>.</t>
    </r>
  </si>
  <si>
    <r>
      <t xml:space="preserve">El Auxiliar de Apoyo de Seguridad y Defensa, es el responsable de realizar la recepción, gestión y trámite de las comunicaciones oficiales recibidas y enviadas en tiempo real y en presencia del usuario interno y externo, en los horarios establecidos por la entidad, de conformidad con lo establecido en el procedimiento Código: </t>
    </r>
    <r>
      <rPr>
        <b/>
        <sz val="16"/>
        <rFont val="Arial Narrow"/>
        <family val="2"/>
      </rPr>
      <t>GD-RECO-PR-01</t>
    </r>
    <r>
      <rPr>
        <sz val="16"/>
        <color theme="1"/>
        <rFont val="Arial Narrow"/>
        <family val="2"/>
      </rPr>
      <t xml:space="preserve"> y Código: </t>
    </r>
    <r>
      <rPr>
        <b/>
        <sz val="16"/>
        <rFont val="Arial Narrow"/>
        <family val="2"/>
      </rPr>
      <t>GD-RECO-PR-02.</t>
    </r>
  </si>
  <si>
    <t>OCI_01</t>
  </si>
  <si>
    <t>Oficina de Control Interno</t>
  </si>
  <si>
    <t>Selección inadecuada de procesos a evaluar.</t>
  </si>
  <si>
    <t>Falta de aplicación de una herramienta de priorización de auditorías, como insumo para la elaboración del Plan Anual de Auditorias de cada vigencia.</t>
  </si>
  <si>
    <r>
      <t xml:space="preserve">Posibilidad de afectación reputacional por </t>
    </r>
    <r>
      <rPr>
        <u/>
        <sz val="16"/>
        <rFont val="Arial Narrow"/>
        <family val="2"/>
      </rPr>
      <t>selección inadecuada de procesos a evaluar</t>
    </r>
    <r>
      <rPr>
        <sz val="16"/>
        <rFont val="Arial Narrow"/>
        <family val="2"/>
      </rPr>
      <t xml:space="preserve">, debido a la </t>
    </r>
    <r>
      <rPr>
        <u/>
        <sz val="16"/>
        <rFont val="Arial Narrow"/>
        <family val="2"/>
      </rPr>
      <t>falta de aplicación de una herramienta de priorización de auditorías, como insumo para la elaboración del Plan Anual de Auditorias de cada vigencia</t>
    </r>
    <r>
      <rPr>
        <sz val="16"/>
        <rFont val="Arial Narrow"/>
        <family val="2"/>
      </rPr>
      <t>.</t>
    </r>
  </si>
  <si>
    <r>
      <t xml:space="preserve">El Jefe de la Oficina de Control Interno-OCIN, junto con los Profesionales de la OCIN, al inicio de cada vigencia o cuando sea requerido,  aplican la  herramienta de priorización de auditorías para la elaboración del Plan Anual de Auditorías de la vigencia en curso, la cual es aprobada por el Comité Institucional de Coordinación de Control Interno, con el fin de establecer y aprobar los criterios objetivos de selección de procesos objeto de auditoría. 
</t>
    </r>
    <r>
      <rPr>
        <b/>
        <sz val="16"/>
        <color theme="1"/>
        <rFont val="Arial Narrow"/>
        <family val="2"/>
      </rPr>
      <t>(Herramienta de priorización y acta de CICCI).</t>
    </r>
  </si>
  <si>
    <t>OCI_02</t>
  </si>
  <si>
    <t>Requerimientos de Entes de Control sin revisión por parte de la Oficina de Control Interno - OCIN en relación con los  atributos de oportunidad en la entrega, integridad y coherencia.</t>
  </si>
  <si>
    <t xml:space="preserve">La Oficina designada por la Dirección para recibir, distribuir y consolidar los requerimientos de los Entes de Control hacia las dependencias responsables de atenderlos según su competencia, no informe a la OCIN sobre los requerimientos allegados junto con la respuesta consolidada.
</t>
  </si>
  <si>
    <r>
      <t xml:space="preserve">
Posibilidad de afectación reputacional por </t>
    </r>
    <r>
      <rPr>
        <u/>
        <sz val="16"/>
        <rFont val="Arial Narrow"/>
        <family val="2"/>
      </rPr>
      <t>requerimientos de entes de Control sin revisión por parte de la Oficina de Control Interno - OCIN en relación con los  atributos de oportunidad en la entrega, integridad y coherencia</t>
    </r>
    <r>
      <rPr>
        <sz val="16"/>
        <rFont val="Arial Narrow"/>
        <family val="2"/>
      </rPr>
      <t xml:space="preserve">, debido a que </t>
    </r>
    <r>
      <rPr>
        <u/>
        <sz val="16"/>
        <rFont val="Arial Narrow"/>
        <family val="2"/>
      </rPr>
      <t>la Oficina designada por la Dirección para recibir y distribuir  los requerimientos</t>
    </r>
    <r>
      <rPr>
        <sz val="16"/>
        <rFont val="Arial Narrow"/>
        <family val="2"/>
      </rPr>
      <t xml:space="preserve"> de los entes de control hacia las dependencias responsables de atenderlos según su competencia, </t>
    </r>
    <r>
      <rPr>
        <u/>
        <sz val="16"/>
        <rFont val="Arial Narrow"/>
        <family val="2"/>
      </rPr>
      <t>no informe a la OCIN sobre los requerimientos allegados junto con la respuesta consolidada</t>
    </r>
    <r>
      <rPr>
        <sz val="16"/>
        <rFont val="Arial Narrow"/>
        <family val="2"/>
      </rPr>
      <t>.</t>
    </r>
  </si>
  <si>
    <r>
      <t xml:space="preserve">El Jefe de la Oficina de Control Interno - OCIN, mediante comunicación interna (correo electrónico institucional u oficio) indica cada vez que se requiera,  recomendaciones sobre respuesta a requerimientos de Entes de Control a la Oficina designada por la Dirección, para recibir, distribuir  a  las dependencias según su competencia y consolidar respuesta. 
</t>
    </r>
    <r>
      <rPr>
        <b/>
        <sz val="16"/>
        <color theme="1"/>
        <rFont val="Arial Narrow"/>
        <family val="2"/>
      </rPr>
      <t>(Respuesta consolidada a entes de control).</t>
    </r>
  </si>
  <si>
    <r>
      <t xml:space="preserve">El Jefe de la Oficina de Control Interno, junto con el profesional de la Oficina de Control Interno, verifica cada vez que se requiera, la oportunidad, integridad y coherencia de las respuesta consolidadas para atender los requerimientos de Entes de Control.
</t>
    </r>
    <r>
      <rPr>
        <b/>
        <sz val="16"/>
        <color theme="1"/>
        <rFont val="Arial Narrow"/>
        <family val="2"/>
      </rPr>
      <t>(Respuesta consolidada a entes de control).</t>
    </r>
  </si>
  <si>
    <t>OCI_03</t>
  </si>
  <si>
    <t>Pérdida de credibilidad y confianza en la  Oficina de Control Interno</t>
  </si>
  <si>
    <t>Inexistencia de información que sustente y respalde el hallazgo de auditoría, deficiencias e interpretación errada de los soportes o ausencia de los mismos.</t>
  </si>
  <si>
    <r>
      <t xml:space="preserve">Posibilidad de afectación reputacional por </t>
    </r>
    <r>
      <rPr>
        <u/>
        <sz val="16"/>
        <rFont val="Arial Narrow"/>
        <family val="2"/>
      </rPr>
      <t>pérdida de credibilidad y confianza en la Oficina de Control Interno</t>
    </r>
    <r>
      <rPr>
        <sz val="16"/>
        <rFont val="Arial Narrow"/>
        <family val="2"/>
      </rPr>
      <t xml:space="preserve">, debido a </t>
    </r>
    <r>
      <rPr>
        <u/>
        <sz val="16"/>
        <rFont val="Arial Narrow"/>
        <family val="2"/>
      </rPr>
      <t>inexistencia de información que sustente y respalde el hallazgo de auditoría, deficiencias e interpretación errada de los soportes o ausencia de los mismos</t>
    </r>
    <r>
      <rPr>
        <sz val="16"/>
        <rFont val="Arial Narrow"/>
        <family val="2"/>
      </rPr>
      <t>.</t>
    </r>
  </si>
  <si>
    <r>
      <t xml:space="preserve">Los Profesionales de la Oficina de Control Interno, cada vez que se realice una auditoría, seguimiento, selectiva o informe de ley, archiva papeles de trabajo, actas de reunión, informes y demás documentos que sustenten y respalden los hallazgos identificados, conforme a lo establecido en los procedimientos Cod. </t>
    </r>
    <r>
      <rPr>
        <b/>
        <sz val="16"/>
        <color theme="1"/>
        <rFont val="Arial Narrow"/>
        <family val="2"/>
      </rPr>
      <t>EM-OCIN-PR-01</t>
    </r>
    <r>
      <rPr>
        <sz val="16"/>
        <color theme="1"/>
        <rFont val="Arial Narrow"/>
        <family val="2"/>
      </rPr>
      <t xml:space="preserve"> (Auditoria Interna) y Cod. </t>
    </r>
    <r>
      <rPr>
        <b/>
        <sz val="16"/>
        <color theme="1"/>
        <rFont val="Arial Narrow"/>
        <family val="2"/>
      </rPr>
      <t>EM-OCIN-PR-05</t>
    </r>
    <r>
      <rPr>
        <sz val="16"/>
        <color theme="1"/>
        <rFont val="Arial Narrow"/>
        <family val="2"/>
      </rPr>
      <t xml:space="preserve"> (Elaboración de Informes de Ley, seguimientos y/o selectivas) en las auditorias, seguimientos, selectivas e informes realizados por la OCIN.
</t>
    </r>
    <r>
      <rPr>
        <b/>
        <sz val="16"/>
        <color theme="1"/>
        <rFont val="Arial Narrow"/>
        <family val="2"/>
      </rPr>
      <t>(Informes de seguimiento, selectiva o informe de ley).</t>
    </r>
  </si>
  <si>
    <t>OCI_04</t>
  </si>
  <si>
    <t xml:space="preserve">
Para alterar a conveniencia propia o de terceros los resultados de informes a cargo de la Oficina de Control Interno.</t>
  </si>
  <si>
    <r>
      <t xml:space="preserve">Posibilidad de afectación reputacional por </t>
    </r>
    <r>
      <rPr>
        <u/>
        <sz val="16"/>
        <rFont val="Arial Narrow"/>
        <family val="2"/>
      </rPr>
      <t>recibir o solicitar cualquier dádiva o beneficio a nombre propio o de terceros</t>
    </r>
    <r>
      <rPr>
        <sz val="16"/>
        <rFont val="Arial Narrow"/>
        <family val="2"/>
      </rPr>
      <t xml:space="preserve"> para </t>
    </r>
    <r>
      <rPr>
        <u/>
        <sz val="16"/>
        <rFont val="Arial Narrow"/>
        <family val="2"/>
      </rPr>
      <t>alterar a conveniencia propia o de terceros los resultados de informes a cargo de la Oficina de Control Interno</t>
    </r>
    <r>
      <rPr>
        <sz val="16"/>
        <rFont val="Arial Narrow"/>
        <family val="2"/>
      </rPr>
      <t xml:space="preserve">.
</t>
    </r>
    <r>
      <rPr>
        <b/>
        <sz val="16"/>
        <rFont val="Arial Narrow"/>
        <family val="2"/>
      </rPr>
      <t>Nota:</t>
    </r>
    <r>
      <rPr>
        <sz val="16"/>
        <rFont val="Arial Narrow"/>
        <family val="2"/>
      </rPr>
      <t xml:space="preserve"> La posible materialización de los riesgos de corrupción (fraude Interno) se identificarán por medio del análisis de denuncias, quejas y demandas. </t>
    </r>
  </si>
  <si>
    <r>
      <t xml:space="preserve">
Los Profesionales de la Oficina de Control Interno, cada vez que se realice un informe de auditoría, diligencian el formato de Declaración de Independencia código </t>
    </r>
    <r>
      <rPr>
        <b/>
        <sz val="16"/>
        <color theme="1"/>
        <rFont val="Arial Narrow"/>
        <family val="2"/>
      </rPr>
      <t>EM-OCIN-PR-01-FT-04</t>
    </r>
    <r>
      <rPr>
        <sz val="16"/>
        <color theme="1"/>
        <rFont val="Arial Narrow"/>
        <family val="2"/>
      </rPr>
      <t xml:space="preserve">, con el propósito de realizar adherencia al Código de Ética para los Auditores Internos del Hospital Militar Central Cód.: </t>
    </r>
    <r>
      <rPr>
        <b/>
        <sz val="16"/>
        <color theme="1"/>
        <rFont val="Arial Narrow"/>
        <family val="2"/>
      </rPr>
      <t>EM-OCIN-PR-01-DI-01
(Registro de la Declaración de independencia).</t>
    </r>
  </si>
  <si>
    <r>
      <t xml:space="preserve">El Jefe de la Oficina de Control Interno, cada vez que se genera un informe o se realiza una auditoria, seguimiento o selectiva  de acuerdo con lo establecido en el Plan Anual de Auditoria de la vigencia, aprobado por el Comité  Institucional de Coordinación de Control Interno,  revisa, verifica y aprueba la información generada por el equipo auditor, los cuales deberán estar acompañados de papeles de trabajo, actas de reunión, informe preliminar e informe final.
</t>
    </r>
    <r>
      <rPr>
        <b/>
        <sz val="16"/>
        <color theme="1"/>
        <rFont val="Arial Narrow"/>
        <family val="2"/>
      </rPr>
      <t>(Informes y actas de cierre de auditoría)</t>
    </r>
  </si>
  <si>
    <t>Adherencia al Código de Ética para los Auditores Internos del Hospital Militar Central</t>
  </si>
  <si>
    <t>Jefe OCIN</t>
  </si>
  <si>
    <t>Registro de la Declaración de independencia.</t>
  </si>
  <si>
    <t>Revisión, verificación y aprobación de la información generada por el equipo auditor.</t>
  </si>
  <si>
    <t xml:space="preserve">Informes y actas de cierre de auditoría. </t>
  </si>
  <si>
    <t>MATRIZ DE MONITOREO DE RIESGOS I TRIMESTRE
(ENERO - MARZO)</t>
  </si>
  <si>
    <t>MATRIZ DE MONITOREO DE RIESGOS II TRIMESTRE
 (ABRIL - JUNIO)</t>
  </si>
  <si>
    <t>MATRIZ DE MONITOREO DE RIESGOS III TRIMESTRE
 (JULIO - SEPTIEMBRE)</t>
  </si>
  <si>
    <t>MATRIZ DE MONITOREO DE RIESGOS IV TRIMESTRE
 (OCTUBRE - DICIEMBRE)</t>
  </si>
  <si>
    <r>
      <t xml:space="preserve">Establecer un marco de referencia general que involucre a todos los servidores públicos y contratistas del </t>
    </r>
    <r>
      <rPr>
        <b/>
        <sz val="16"/>
        <color theme="1"/>
        <rFont val="Arial Narrow"/>
        <family val="2"/>
      </rPr>
      <t>HOSPITAL MILITAR CENTRAL</t>
    </r>
    <r>
      <rPr>
        <sz val="16"/>
        <color theme="1"/>
        <rFont val="Arial Narrow"/>
        <family val="2"/>
      </rPr>
      <t xml:space="preserve"> para la adecuada gestión del riesgo, por medio de la identificación de acciones de control, respuestas oportunas y estrategias institucionales frente a las diferentes situaciones que puedan afectar el cumplimiento de la misionalidad y el logro de los objetivos institucionales.</t>
    </r>
  </si>
  <si>
    <r>
      <t xml:space="preserve">El líder del servicio verifica trimestralmente el reporte periodico del resultado de las lecturas de los dosímetros (TLV) dentro de los valores límite permisivos de dosis recibida por trabajador, con el fin de evitar una sobre exposicón del personal. 
</t>
    </r>
    <r>
      <rPr>
        <b/>
        <sz val="16"/>
        <color theme="1"/>
        <rFont val="Arial Narrow"/>
        <family val="2"/>
      </rPr>
      <t>REPORTE DEL VALOR LECTURA DOSÍMETRO - LISTADO DEL PERSONAL .</t>
    </r>
  </si>
  <si>
    <t xml:space="preserve">La administración del riesgo es aplicable a todas las dependencias, procesos, proyectos y planes institucionales, con el fin de identificar, analizar, valorar, monitorear y dar tratamiento a los riesgos identificados durante el desarrollo de la gestión planificada y a todos los servidores públicos y contratistas en el ejercicio de sus funciones y obligaciones. </t>
  </si>
  <si>
    <t>MAPA DE RIESGOS INSTITUCIONAL 2024 V.1 - Aprobado mediante acta de Comité Institucional de Gestión y Desempaño del día  20 de Enero de 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</si>
</sst>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88" x14ac:knownFonts="1">
    <font>
      <sz val="11"/>
      <color theme="1"/>
      <name val="Calibri"/>
      <family val="2"/>
      <scheme val="minor"/>
    </font>
    <font>
      <sz val="11"/>
      <name val="Arial Narrow"/>
      <family val="2"/>
    </font>
    <font>
      <b/>
      <sz val="11"/>
      <color indexed="53"/>
      <name val="Arial Narrow"/>
      <family val="2"/>
    </font>
    <font>
      <sz val="18"/>
      <name val="Arial"/>
      <family val="2"/>
    </font>
    <font>
      <sz val="24"/>
      <name val="Arial"/>
      <family val="2"/>
    </font>
    <font>
      <sz val="12"/>
      <color indexed="8"/>
      <name val="Arial Narrow"/>
      <family val="2"/>
    </font>
    <font>
      <b/>
      <sz val="12"/>
      <color indexed="8"/>
      <name val="Arial Narrow"/>
      <family val="2"/>
    </font>
    <font>
      <b/>
      <sz val="12"/>
      <color indexed="53"/>
      <name val="Arial Narrow"/>
      <family val="2"/>
    </font>
    <font>
      <b/>
      <sz val="12"/>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indexed="53"/>
      <name val="Arial Narrow"/>
      <family val="2"/>
    </font>
    <font>
      <b/>
      <sz val="10"/>
      <color indexed="53"/>
      <name val="Arial Narrow"/>
      <family val="2"/>
    </font>
    <font>
      <sz val="11"/>
      <color theme="1"/>
      <name val="Calibri"/>
      <family val="2"/>
      <scheme val="minor"/>
    </font>
    <font>
      <sz val="11"/>
      <color theme="0"/>
      <name val="Calibri"/>
      <family val="2"/>
      <scheme val="minor"/>
    </font>
    <font>
      <sz val="10"/>
      <color theme="1"/>
      <name val="Calibri"/>
      <family val="2"/>
      <scheme val="minor"/>
    </font>
    <font>
      <sz val="11"/>
      <color rgb="FFFF0000"/>
      <name val="Calibri"/>
      <family val="2"/>
      <scheme val="minor"/>
    </font>
    <font>
      <b/>
      <sz val="11"/>
      <color theme="1"/>
      <name val="Calibri"/>
      <family val="2"/>
      <scheme val="minor"/>
    </font>
    <font>
      <sz val="11"/>
      <color theme="1"/>
      <name val="Arial Narrow"/>
      <family val="2"/>
    </font>
    <font>
      <sz val="10"/>
      <color rgb="FF000000"/>
      <name val="Arial Narrow"/>
      <family val="2"/>
    </font>
    <font>
      <b/>
      <sz val="20"/>
      <color rgb="FF000000"/>
      <name val="Arial Narrow"/>
      <family val="2"/>
    </font>
    <font>
      <sz val="20"/>
      <color rgb="FF000000"/>
      <name val="Arial Narrow"/>
      <family val="2"/>
    </font>
    <font>
      <sz val="20"/>
      <color rgb="FFFFFFFF"/>
      <name val="Arial Narrow"/>
      <family val="2"/>
    </font>
    <font>
      <sz val="11"/>
      <name val="Calibri"/>
      <family val="2"/>
      <scheme val="minor"/>
    </font>
    <font>
      <b/>
      <sz val="11"/>
      <color theme="1"/>
      <name val="Arial Narrow"/>
      <family val="2"/>
    </font>
    <font>
      <sz val="16"/>
      <color rgb="FFFF0000"/>
      <name val="Arial Narrow"/>
      <family val="2"/>
    </font>
    <font>
      <sz val="16"/>
      <color rgb="FFFF0000"/>
      <name val="Calibri"/>
      <family val="2"/>
      <scheme val="minor"/>
    </font>
    <font>
      <sz val="16"/>
      <color rgb="FF000000"/>
      <name val="Arial Narrow"/>
      <family val="2"/>
    </font>
    <font>
      <sz val="11"/>
      <color rgb="FF030303"/>
      <name val="Arial"/>
      <family val="2"/>
    </font>
    <font>
      <b/>
      <sz val="24"/>
      <color rgb="FF000000"/>
      <name val="Arial Narrow"/>
      <family val="2"/>
    </font>
    <font>
      <sz val="26"/>
      <color rgb="FF000000"/>
      <name val="Arial Narrow"/>
      <family val="2"/>
    </font>
    <font>
      <sz val="26"/>
      <color rgb="FFFFFFFF"/>
      <name val="Arial Narrow"/>
      <family val="2"/>
    </font>
    <font>
      <b/>
      <sz val="12"/>
      <color rgb="FF000000"/>
      <name val="Calibri"/>
      <family val="2"/>
    </font>
    <font>
      <b/>
      <sz val="18"/>
      <color rgb="FF000000"/>
      <name val="Calibri"/>
      <family val="2"/>
    </font>
    <font>
      <sz val="16"/>
      <color theme="1"/>
      <name val="Calibri"/>
      <family val="2"/>
      <scheme val="minor"/>
    </font>
    <font>
      <sz val="12"/>
      <color theme="1"/>
      <name val="Calibri"/>
      <family val="2"/>
      <scheme val="minor"/>
    </font>
    <font>
      <b/>
      <sz val="12"/>
      <color rgb="FF000000"/>
      <name val="Arial Narrow"/>
      <family val="2"/>
    </font>
    <font>
      <sz val="12"/>
      <color rgb="FF000000"/>
      <name val="Arial Narrow"/>
      <family val="2"/>
    </font>
    <font>
      <b/>
      <sz val="9"/>
      <color theme="1"/>
      <name val="Arial Narrow"/>
      <family val="2"/>
    </font>
    <font>
      <b/>
      <sz val="22"/>
      <color theme="1"/>
      <name val="Arial Narrow"/>
      <family val="2"/>
    </font>
    <font>
      <b/>
      <sz val="28"/>
      <color rgb="FF000000"/>
      <name val="Calibri"/>
      <family val="2"/>
    </font>
    <font>
      <b/>
      <sz val="40"/>
      <color rgb="FF000000"/>
      <name val="Calibri"/>
      <family val="2"/>
    </font>
    <font>
      <sz val="28"/>
      <color theme="1"/>
      <name val="Calibri"/>
      <family val="2"/>
      <scheme val="minor"/>
    </font>
    <font>
      <b/>
      <sz val="36"/>
      <color rgb="FF000000"/>
      <name val="Calibri"/>
      <family val="2"/>
    </font>
    <font>
      <b/>
      <sz val="24"/>
      <color rgb="FF000000"/>
      <name val="Calibri"/>
      <family val="2"/>
    </font>
    <font>
      <b/>
      <sz val="20"/>
      <color theme="1"/>
      <name val="Calibri"/>
      <family val="2"/>
      <scheme val="minor"/>
    </font>
    <font>
      <sz val="24"/>
      <color theme="1"/>
      <name val="Arial Narrow"/>
      <family val="2"/>
    </font>
    <font>
      <sz val="18"/>
      <color theme="1"/>
      <name val="Arial Narrow"/>
      <family val="2"/>
    </font>
    <font>
      <b/>
      <sz val="18"/>
      <color theme="1"/>
      <name val="Arial Narrow"/>
      <family val="2"/>
    </font>
    <font>
      <b/>
      <sz val="26"/>
      <color theme="1"/>
      <name val="Arial Narrow"/>
      <family val="2"/>
    </font>
    <font>
      <b/>
      <sz val="14"/>
      <color rgb="FF000000"/>
      <name val="Arial Narrow"/>
      <family val="2"/>
    </font>
    <font>
      <sz val="12"/>
      <color theme="1"/>
      <name val="Arial Narrow"/>
      <family val="2"/>
    </font>
    <font>
      <b/>
      <sz val="12"/>
      <color theme="1"/>
      <name val="Arial Narrow"/>
      <family val="2"/>
    </font>
    <font>
      <u/>
      <sz val="11"/>
      <color theme="10"/>
      <name val="Calibri"/>
      <family val="2"/>
      <scheme val="minor"/>
    </font>
    <font>
      <sz val="9"/>
      <color indexed="81"/>
      <name val="Tahoma"/>
      <family val="2"/>
    </font>
    <font>
      <b/>
      <sz val="9"/>
      <color indexed="81"/>
      <name val="Tahoma"/>
      <family val="2"/>
    </font>
    <font>
      <b/>
      <sz val="18"/>
      <color rgb="FF000000"/>
      <name val="Arial Narrow"/>
      <family val="2"/>
    </font>
    <font>
      <sz val="15"/>
      <color theme="1"/>
      <name val="Arial Narrow"/>
      <family val="2"/>
    </font>
    <font>
      <b/>
      <sz val="18"/>
      <name val="Arial Narrow"/>
      <family val="2"/>
    </font>
    <font>
      <b/>
      <sz val="26"/>
      <color indexed="81"/>
      <name val="Tahoma"/>
      <family val="2"/>
    </font>
    <font>
      <sz val="26"/>
      <color indexed="81"/>
      <name val="Tahoma"/>
      <family val="2"/>
    </font>
    <font>
      <b/>
      <sz val="36"/>
      <color theme="1"/>
      <name val="Arial Narrow"/>
      <family val="2"/>
    </font>
    <font>
      <b/>
      <sz val="48"/>
      <color theme="1"/>
      <name val="Arial Narrow"/>
      <family val="2"/>
    </font>
    <font>
      <b/>
      <sz val="72"/>
      <color theme="1"/>
      <name val="Arial Narrow"/>
      <family val="2"/>
    </font>
    <font>
      <b/>
      <sz val="16"/>
      <color theme="1"/>
      <name val="Arial Narrow"/>
      <family val="2"/>
    </font>
    <font>
      <sz val="26"/>
      <color theme="1"/>
      <name val="Arial Narrow"/>
      <family val="2"/>
    </font>
    <font>
      <sz val="26"/>
      <color theme="1" tint="0.249977111117893"/>
      <name val="Arial Narrow"/>
      <family val="2"/>
    </font>
    <font>
      <b/>
      <i/>
      <sz val="26"/>
      <color theme="1"/>
      <name val="Arial Narrow"/>
      <family val="2"/>
    </font>
    <font>
      <sz val="16"/>
      <color theme="1"/>
      <name val="Arial Narrow"/>
      <family val="2"/>
    </font>
    <font>
      <b/>
      <sz val="16"/>
      <name val="Arial Narrow"/>
      <family val="2"/>
    </font>
    <font>
      <b/>
      <sz val="16"/>
      <color rgb="FFFF0000"/>
      <name val="Arial Narrow"/>
      <family val="2"/>
    </font>
    <font>
      <sz val="16"/>
      <name val="Arial Narrow"/>
      <family val="2"/>
    </font>
    <font>
      <b/>
      <sz val="16"/>
      <color indexed="53"/>
      <name val="Arial Narrow"/>
      <family val="2"/>
    </font>
    <font>
      <sz val="16"/>
      <color indexed="8"/>
      <name val="Arial Narrow"/>
      <family val="2"/>
    </font>
    <font>
      <u/>
      <sz val="16"/>
      <name val="Arial Narrow"/>
      <family val="2"/>
    </font>
    <font>
      <b/>
      <sz val="10"/>
      <color theme="1"/>
      <name val="Arial Narrow"/>
      <family val="2"/>
    </font>
    <font>
      <i/>
      <sz val="16"/>
      <name val="Arial Narrow"/>
      <family val="2"/>
    </font>
    <font>
      <b/>
      <u/>
      <sz val="16"/>
      <name val="Arial Narrow"/>
      <family val="2"/>
    </font>
    <font>
      <u/>
      <sz val="16"/>
      <color theme="1"/>
      <name val="Arial Narrow"/>
      <family val="2"/>
    </font>
    <font>
      <sz val="16"/>
      <color theme="1"/>
      <name val="Arial"/>
      <family val="2"/>
    </font>
    <font>
      <i/>
      <sz val="16"/>
      <color theme="1"/>
      <name val="Arial Narrow"/>
      <family val="2"/>
    </font>
  </fonts>
  <fills count="22">
    <fill>
      <patternFill patternType="none"/>
    </fill>
    <fill>
      <patternFill patternType="gray125"/>
    </fill>
    <fill>
      <patternFill patternType="solid">
        <fgColor theme="0"/>
        <bgColor indexed="64"/>
      </patternFill>
    </fill>
    <fill>
      <patternFill patternType="solid">
        <fgColor rgb="FFBFBFBF"/>
        <bgColor indexed="64"/>
      </patternFill>
    </fill>
    <fill>
      <patternFill patternType="solid">
        <fgColor rgb="FF92D050"/>
        <bgColor indexed="64"/>
      </patternFill>
    </fill>
    <fill>
      <patternFill patternType="solid">
        <fgColor rgb="FF00B050"/>
        <bgColor indexed="64"/>
      </patternFill>
    </fill>
    <fill>
      <patternFill patternType="solid">
        <fgColor rgb="FFFFFF66"/>
        <bgColor indexed="64"/>
      </patternFill>
    </fill>
    <fill>
      <patternFill patternType="solid">
        <fgColor rgb="FFFFC000"/>
        <bgColor indexed="64"/>
      </patternFill>
    </fill>
    <fill>
      <patternFill patternType="solid">
        <fgColor rgb="FFFF0000"/>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D9D9D9"/>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5" tint="0.39997558519241921"/>
        <bgColor indexed="64"/>
      </patternFill>
    </fill>
  </fills>
  <borders count="10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double">
        <color indexed="64"/>
      </top>
      <bottom/>
      <diagonal/>
    </border>
    <border>
      <left/>
      <right style="double">
        <color indexed="64"/>
      </right>
      <top style="double">
        <color indexed="64"/>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style="dashed">
        <color indexed="64"/>
      </left>
      <right/>
      <top style="dashed">
        <color indexed="64"/>
      </top>
      <bottom style="dashed">
        <color indexed="64"/>
      </bottom>
      <diagonal/>
    </border>
    <border>
      <left/>
      <right/>
      <top style="dashed">
        <color indexed="64"/>
      </top>
      <bottom style="dashed">
        <color indexed="64"/>
      </bottom>
      <diagonal/>
    </border>
    <border>
      <left/>
      <right style="dashed">
        <color indexed="64"/>
      </right>
      <top style="dashed">
        <color indexed="64"/>
      </top>
      <bottom style="dash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ashed">
        <color indexed="64"/>
      </left>
      <right style="dashed">
        <color indexed="64"/>
      </right>
      <top style="dashed">
        <color indexed="64"/>
      </top>
      <bottom/>
      <diagonal/>
    </border>
    <border>
      <left style="dashed">
        <color indexed="64"/>
      </left>
      <right style="dashed">
        <color indexed="64"/>
      </right>
      <top/>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dashed">
        <color indexed="64"/>
      </left>
      <right/>
      <top style="dashed">
        <color indexed="64"/>
      </top>
      <bottom style="dashed">
        <color theme="9" tint="-0.24994659260841701"/>
      </bottom>
      <diagonal/>
    </border>
    <border>
      <left/>
      <right/>
      <top style="dashed">
        <color indexed="64"/>
      </top>
      <bottom style="dashed">
        <color theme="9" tint="-0.24994659260841701"/>
      </bottom>
      <diagonal/>
    </border>
    <border>
      <left/>
      <right style="dashed">
        <color theme="9" tint="-0.24994659260841701"/>
      </right>
      <top style="dashed">
        <color indexed="64"/>
      </top>
      <bottom style="dashed">
        <color theme="9" tint="-0.24994659260841701"/>
      </bottom>
      <diagonal/>
    </border>
    <border>
      <left style="thin">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diagonal/>
    </border>
    <border>
      <left style="thin">
        <color indexed="64"/>
      </left>
      <right style="dashed">
        <color indexed="64"/>
      </right>
      <top/>
      <bottom/>
      <diagonal/>
    </border>
    <border>
      <left style="thin">
        <color indexed="64"/>
      </left>
      <right style="dashed">
        <color indexed="64"/>
      </right>
      <top/>
      <bottom style="dashed">
        <color indexed="64"/>
      </bottom>
      <diagonal/>
    </border>
    <border>
      <left/>
      <right style="dashed">
        <color indexed="64"/>
      </right>
      <top style="dashed">
        <color indexed="64"/>
      </top>
      <bottom/>
      <diagonal/>
    </border>
    <border>
      <left/>
      <right style="dashed">
        <color indexed="64"/>
      </right>
      <top/>
      <bottom/>
      <diagonal/>
    </border>
    <border>
      <left/>
      <right style="dashed">
        <color indexed="64"/>
      </right>
      <top/>
      <bottom style="dashed">
        <color indexed="64"/>
      </bottom>
      <diagonal/>
    </border>
    <border>
      <left style="dotted">
        <color rgb="FF000000"/>
      </left>
      <right style="dotted">
        <color rgb="FF000000"/>
      </right>
      <top style="dotted">
        <color rgb="FF000000"/>
      </top>
      <bottom style="dotted">
        <color rgb="FF000000"/>
      </bottom>
      <diagonal/>
    </border>
    <border>
      <left/>
      <right/>
      <top style="dashed">
        <color indexed="64"/>
      </top>
      <bottom/>
      <diagonal/>
    </border>
  </borders>
  <cellStyleXfs count="6">
    <xf numFmtId="0" fontId="0" fillId="0" borderId="0"/>
    <xf numFmtId="0" fontId="9" fillId="0" borderId="0"/>
    <xf numFmtId="0" fontId="22" fillId="0" borderId="0"/>
    <xf numFmtId="0" fontId="10" fillId="0" borderId="0"/>
    <xf numFmtId="9" fontId="20" fillId="0" borderId="0" applyFont="0" applyFill="0" applyBorder="0" applyAlignment="0" applyProtection="0"/>
    <xf numFmtId="0" fontId="60" fillId="0" borderId="0" applyNumberFormat="0" applyFill="0" applyBorder="0" applyAlignment="0" applyProtection="0"/>
  </cellStyleXfs>
  <cellXfs count="648">
    <xf numFmtId="0" fontId="0" fillId="0" borderId="0" xfId="0"/>
    <xf numFmtId="0" fontId="22" fillId="0" borderId="0" xfId="0" applyFont="1"/>
    <xf numFmtId="0" fontId="26" fillId="0" borderId="59" xfId="0" applyFont="1" applyBorder="1" applyAlignment="1">
      <alignment horizontal="left" vertical="center" wrapText="1" indent="1" readingOrder="1"/>
    </xf>
    <xf numFmtId="0" fontId="3" fillId="0" borderId="0" xfId="0" applyFont="1" applyAlignment="1">
      <alignment horizontal="center" vertical="center" wrapText="1"/>
    </xf>
    <xf numFmtId="0" fontId="27" fillId="3" borderId="0" xfId="0" applyFont="1" applyFill="1" applyAlignment="1">
      <alignment horizontal="center" vertical="center" wrapText="1" readingOrder="1"/>
    </xf>
    <xf numFmtId="0" fontId="28" fillId="4" borderId="60" xfId="0" applyFont="1" applyFill="1" applyBorder="1" applyAlignment="1">
      <alignment horizontal="center" vertical="center" wrapText="1" readingOrder="1"/>
    </xf>
    <xf numFmtId="0" fontId="28" fillId="0" borderId="60" xfId="0" applyFont="1" applyBorder="1" applyAlignment="1">
      <alignment horizontal="justify" vertical="center" wrapText="1" readingOrder="1"/>
    </xf>
    <xf numFmtId="9" fontId="28" fillId="0" borderId="60" xfId="0" applyNumberFormat="1" applyFont="1" applyBorder="1" applyAlignment="1">
      <alignment horizontal="center" vertical="center" wrapText="1" readingOrder="1"/>
    </xf>
    <xf numFmtId="0" fontId="28" fillId="5" borderId="59" xfId="0" applyFont="1" applyFill="1" applyBorder="1" applyAlignment="1">
      <alignment horizontal="center" vertical="center" wrapText="1" readingOrder="1"/>
    </xf>
    <xf numFmtId="0" fontId="28" fillId="0" borderId="59" xfId="0" applyFont="1" applyBorder="1" applyAlignment="1">
      <alignment horizontal="justify" vertical="center" wrapText="1" readingOrder="1"/>
    </xf>
    <xf numFmtId="9" fontId="28" fillId="0" borderId="59" xfId="0" applyNumberFormat="1" applyFont="1" applyBorder="1" applyAlignment="1">
      <alignment horizontal="center" vertical="center" wrapText="1" readingOrder="1"/>
    </xf>
    <xf numFmtId="0" fontId="28" fillId="6" borderId="59" xfId="0" applyFont="1" applyFill="1" applyBorder="1" applyAlignment="1">
      <alignment horizontal="center" vertical="center" wrapText="1" readingOrder="1"/>
    </xf>
    <xf numFmtId="0" fontId="28" fillId="7" borderId="59" xfId="0" applyFont="1" applyFill="1" applyBorder="1" applyAlignment="1">
      <alignment horizontal="center" vertical="center" wrapText="1" readingOrder="1"/>
    </xf>
    <xf numFmtId="0" fontId="29" fillId="8" borderId="59" xfId="0" applyFont="1" applyFill="1" applyBorder="1" applyAlignment="1">
      <alignment horizontal="center" vertical="center" wrapText="1" readingOrder="1"/>
    </xf>
    <xf numFmtId="0" fontId="30" fillId="0" borderId="0" xfId="0" applyFont="1"/>
    <xf numFmtId="0" fontId="21" fillId="0" borderId="0" xfId="0" applyFont="1"/>
    <xf numFmtId="0" fontId="32" fillId="0" borderId="0" xfId="0" applyFont="1" applyAlignment="1">
      <alignment vertical="center"/>
    </xf>
    <xf numFmtId="0" fontId="33" fillId="0" borderId="0" xfId="0" applyFont="1"/>
    <xf numFmtId="0" fontId="23" fillId="0" borderId="0" xfId="0" applyFont="1"/>
    <xf numFmtId="0" fontId="0" fillId="0" borderId="0" xfId="0" pivotButton="1"/>
    <xf numFmtId="0" fontId="34" fillId="0" borderId="0" xfId="0" applyFont="1" applyAlignment="1">
      <alignment horizontal="justify" vertical="center" wrapText="1" readingOrder="1"/>
    </xf>
    <xf numFmtId="0" fontId="35" fillId="0" borderId="0" xfId="0" applyFont="1"/>
    <xf numFmtId="0" fontId="36" fillId="3" borderId="0" xfId="0" applyFont="1" applyFill="1" applyAlignment="1">
      <alignment horizontal="center" vertical="center" wrapText="1" readingOrder="1"/>
    </xf>
    <xf numFmtId="0" fontId="37" fillId="0" borderId="60" xfId="0" applyFont="1" applyBorder="1" applyAlignment="1">
      <alignment horizontal="justify" vertical="center" wrapText="1" readingOrder="1"/>
    </xf>
    <xf numFmtId="0" fontId="37" fillId="0" borderId="59" xfId="0" applyFont="1" applyBorder="1" applyAlignment="1">
      <alignment horizontal="justify" vertical="center" wrapText="1" readingOrder="1"/>
    </xf>
    <xf numFmtId="0" fontId="37" fillId="4" borderId="60" xfId="0" applyFont="1" applyFill="1" applyBorder="1" applyAlignment="1">
      <alignment horizontal="center" vertical="center" wrapText="1" readingOrder="1"/>
    </xf>
    <xf numFmtId="0" fontId="37" fillId="5" borderId="59" xfId="0" applyFont="1" applyFill="1" applyBorder="1" applyAlignment="1">
      <alignment horizontal="center" vertical="center" wrapText="1" readingOrder="1"/>
    </xf>
    <xf numFmtId="0" fontId="37" fillId="6" borderId="59" xfId="0" applyFont="1" applyFill="1" applyBorder="1" applyAlignment="1">
      <alignment horizontal="center" vertical="center" wrapText="1" readingOrder="1"/>
    </xf>
    <xf numFmtId="0" fontId="37" fillId="7" borderId="59" xfId="0" applyFont="1" applyFill="1" applyBorder="1" applyAlignment="1">
      <alignment horizontal="center" vertical="center" wrapText="1" readingOrder="1"/>
    </xf>
    <xf numFmtId="0" fontId="38" fillId="8" borderId="59" xfId="0" applyFont="1" applyFill="1" applyBorder="1" applyAlignment="1">
      <alignment horizontal="center" vertical="center" wrapText="1" readingOrder="1"/>
    </xf>
    <xf numFmtId="0" fontId="37" fillId="0" borderId="60" xfId="0" applyFont="1" applyBorder="1" applyAlignment="1">
      <alignment horizontal="center" vertical="center" wrapText="1" readingOrder="1"/>
    </xf>
    <xf numFmtId="0" fontId="37" fillId="0" borderId="59" xfId="0" applyFont="1" applyBorder="1" applyAlignment="1">
      <alignment horizontal="center" vertical="center" wrapText="1" readingOrder="1"/>
    </xf>
    <xf numFmtId="0" fontId="39" fillId="9" borderId="1" xfId="0" applyFont="1" applyFill="1" applyBorder="1" applyAlignment="1" applyProtection="1">
      <alignment horizontal="center" vertical="center" wrapText="1" readingOrder="1"/>
      <protection hidden="1"/>
    </xf>
    <xf numFmtId="0" fontId="39" fillId="9" borderId="2" xfId="0" applyFont="1" applyFill="1" applyBorder="1" applyAlignment="1" applyProtection="1">
      <alignment horizontal="center" vertical="center" wrapText="1" readingOrder="1"/>
      <protection hidden="1"/>
    </xf>
    <xf numFmtId="0" fontId="39" fillId="9" borderId="3" xfId="0" applyFont="1" applyFill="1" applyBorder="1" applyAlignment="1" applyProtection="1">
      <alignment horizontal="center" vertical="center" wrapText="1" readingOrder="1"/>
      <protection hidden="1"/>
    </xf>
    <xf numFmtId="0" fontId="39" fillId="10" borderId="1" xfId="0" applyFont="1" applyFill="1" applyBorder="1" applyAlignment="1" applyProtection="1">
      <alignment horizontal="center" wrapText="1" readingOrder="1"/>
      <protection hidden="1"/>
    </xf>
    <xf numFmtId="0" fontId="39" fillId="10" borderId="2" xfId="0" applyFont="1" applyFill="1" applyBorder="1" applyAlignment="1" applyProtection="1">
      <alignment horizontal="center" wrapText="1" readingOrder="1"/>
      <protection hidden="1"/>
    </xf>
    <xf numFmtId="0" fontId="39" fillId="10" borderId="3" xfId="0" applyFont="1" applyFill="1" applyBorder="1" applyAlignment="1" applyProtection="1">
      <alignment horizontal="center" wrapText="1" readingOrder="1"/>
      <protection hidden="1"/>
    </xf>
    <xf numFmtId="0" fontId="39" fillId="9" borderId="4" xfId="0" applyFont="1" applyFill="1" applyBorder="1" applyAlignment="1" applyProtection="1">
      <alignment horizontal="center" vertical="center" wrapText="1" readingOrder="1"/>
      <protection hidden="1"/>
    </xf>
    <xf numFmtId="0" fontId="39" fillId="9" borderId="0" xfId="0" applyFont="1" applyFill="1" applyAlignment="1" applyProtection="1">
      <alignment horizontal="center" vertical="center" wrapText="1" readingOrder="1"/>
      <protection hidden="1"/>
    </xf>
    <xf numFmtId="0" fontId="39" fillId="9" borderId="5" xfId="0" applyFont="1" applyFill="1" applyBorder="1" applyAlignment="1" applyProtection="1">
      <alignment horizontal="center" vertical="center" wrapText="1" readingOrder="1"/>
      <protection hidden="1"/>
    </xf>
    <xf numFmtId="0" fontId="39" fillId="10" borderId="4" xfId="0" applyFont="1" applyFill="1" applyBorder="1" applyAlignment="1" applyProtection="1">
      <alignment horizontal="center" wrapText="1" readingOrder="1"/>
      <protection hidden="1"/>
    </xf>
    <xf numFmtId="0" fontId="39" fillId="10" borderId="0" xfId="0" applyFont="1" applyFill="1" applyAlignment="1" applyProtection="1">
      <alignment horizontal="center" wrapText="1" readingOrder="1"/>
      <protection hidden="1"/>
    </xf>
    <xf numFmtId="0" fontId="39" fillId="10" borderId="5" xfId="0" applyFont="1" applyFill="1" applyBorder="1" applyAlignment="1" applyProtection="1">
      <alignment horizontal="center" wrapText="1" readingOrder="1"/>
      <protection hidden="1"/>
    </xf>
    <xf numFmtId="0" fontId="39" fillId="9" borderId="6" xfId="0" applyFont="1" applyFill="1" applyBorder="1" applyAlignment="1" applyProtection="1">
      <alignment horizontal="center" vertical="center" wrapText="1" readingOrder="1"/>
      <protection hidden="1"/>
    </xf>
    <xf numFmtId="0" fontId="39" fillId="9" borderId="7" xfId="0" applyFont="1" applyFill="1" applyBorder="1" applyAlignment="1" applyProtection="1">
      <alignment horizontal="center" vertical="center" wrapText="1" readingOrder="1"/>
      <protection hidden="1"/>
    </xf>
    <xf numFmtId="0" fontId="39" fillId="9" borderId="8" xfId="0" applyFont="1" applyFill="1" applyBorder="1" applyAlignment="1" applyProtection="1">
      <alignment horizontal="center" vertical="center" wrapText="1" readingOrder="1"/>
      <protection hidden="1"/>
    </xf>
    <xf numFmtId="0" fontId="39" fillId="10" borderId="6" xfId="0" applyFont="1" applyFill="1" applyBorder="1" applyAlignment="1" applyProtection="1">
      <alignment horizontal="center" wrapText="1" readingOrder="1"/>
      <protection hidden="1"/>
    </xf>
    <xf numFmtId="0" fontId="39" fillId="10" borderId="7" xfId="0" applyFont="1" applyFill="1" applyBorder="1" applyAlignment="1" applyProtection="1">
      <alignment horizontal="center" wrapText="1" readingOrder="1"/>
      <protection hidden="1"/>
    </xf>
    <xf numFmtId="0" fontId="39" fillId="10" borderId="8" xfId="0" applyFont="1" applyFill="1" applyBorder="1" applyAlignment="1" applyProtection="1">
      <alignment horizontal="center" wrapText="1" readingOrder="1"/>
      <protection hidden="1"/>
    </xf>
    <xf numFmtId="0" fontId="39" fillId="11" borderId="1" xfId="0" applyFont="1" applyFill="1" applyBorder="1" applyAlignment="1" applyProtection="1">
      <alignment horizontal="center" wrapText="1" readingOrder="1"/>
      <protection hidden="1"/>
    </xf>
    <xf numFmtId="0" fontId="39" fillId="11" borderId="2" xfId="0" applyFont="1" applyFill="1" applyBorder="1" applyAlignment="1" applyProtection="1">
      <alignment horizontal="center" wrapText="1" readingOrder="1"/>
      <protection hidden="1"/>
    </xf>
    <xf numFmtId="0" fontId="39" fillId="11" borderId="3" xfId="0" applyFont="1" applyFill="1" applyBorder="1" applyAlignment="1" applyProtection="1">
      <alignment horizontal="center" wrapText="1" readingOrder="1"/>
      <protection hidden="1"/>
    </xf>
    <xf numFmtId="0" fontId="39" fillId="11" borderId="4" xfId="0" applyFont="1" applyFill="1" applyBorder="1" applyAlignment="1" applyProtection="1">
      <alignment horizontal="center" wrapText="1" readingOrder="1"/>
      <protection hidden="1"/>
    </xf>
    <xf numFmtId="0" fontId="39" fillId="11" borderId="0" xfId="0" applyFont="1" applyFill="1" applyAlignment="1" applyProtection="1">
      <alignment horizontal="center" wrapText="1" readingOrder="1"/>
      <protection hidden="1"/>
    </xf>
    <xf numFmtId="0" fontId="39" fillId="11" borderId="5" xfId="0" applyFont="1" applyFill="1" applyBorder="1" applyAlignment="1" applyProtection="1">
      <alignment horizontal="center" wrapText="1" readingOrder="1"/>
      <protection hidden="1"/>
    </xf>
    <xf numFmtId="0" fontId="39" fillId="11" borderId="6" xfId="0" applyFont="1" applyFill="1" applyBorder="1" applyAlignment="1" applyProtection="1">
      <alignment horizontal="center" wrapText="1" readingOrder="1"/>
      <protection hidden="1"/>
    </xf>
    <xf numFmtId="0" fontId="39" fillId="11" borderId="7" xfId="0" applyFont="1" applyFill="1" applyBorder="1" applyAlignment="1" applyProtection="1">
      <alignment horizontal="center" wrapText="1" readingOrder="1"/>
      <protection hidden="1"/>
    </xf>
    <xf numFmtId="0" fontId="39" fillId="11" borderId="8" xfId="0" applyFont="1" applyFill="1" applyBorder="1" applyAlignment="1" applyProtection="1">
      <alignment horizontal="center" wrapText="1" readingOrder="1"/>
      <protection hidden="1"/>
    </xf>
    <xf numFmtId="0" fontId="39" fillId="4" borderId="1" xfId="0" applyFont="1" applyFill="1" applyBorder="1" applyAlignment="1" applyProtection="1">
      <alignment horizontal="center" wrapText="1" readingOrder="1"/>
      <protection hidden="1"/>
    </xf>
    <xf numFmtId="0" fontId="39" fillId="4" borderId="2" xfId="0" applyFont="1" applyFill="1" applyBorder="1" applyAlignment="1" applyProtection="1">
      <alignment horizontal="center" wrapText="1" readingOrder="1"/>
      <protection hidden="1"/>
    </xf>
    <xf numFmtId="0" fontId="39" fillId="4" borderId="3" xfId="0" applyFont="1" applyFill="1" applyBorder="1" applyAlignment="1" applyProtection="1">
      <alignment horizontal="center" wrapText="1" readingOrder="1"/>
      <protection hidden="1"/>
    </xf>
    <xf numFmtId="0" fontId="39" fillId="4" borderId="4" xfId="0" applyFont="1" applyFill="1" applyBorder="1" applyAlignment="1" applyProtection="1">
      <alignment horizontal="center" wrapText="1" readingOrder="1"/>
      <protection hidden="1"/>
    </xf>
    <xf numFmtId="0" fontId="39" fillId="4" borderId="0" xfId="0" applyFont="1" applyFill="1" applyAlignment="1" applyProtection="1">
      <alignment horizontal="center" wrapText="1" readingOrder="1"/>
      <protection hidden="1"/>
    </xf>
    <xf numFmtId="0" fontId="39" fillId="4" borderId="5" xfId="0" applyFont="1" applyFill="1" applyBorder="1" applyAlignment="1" applyProtection="1">
      <alignment horizontal="center" wrapText="1" readingOrder="1"/>
      <protection hidden="1"/>
    </xf>
    <xf numFmtId="0" fontId="39" fillId="4" borderId="6" xfId="0" applyFont="1" applyFill="1" applyBorder="1" applyAlignment="1" applyProtection="1">
      <alignment horizontal="center" wrapText="1" readingOrder="1"/>
      <protection hidden="1"/>
    </xf>
    <xf numFmtId="0" fontId="39" fillId="4" borderId="7" xfId="0" applyFont="1" applyFill="1" applyBorder="1" applyAlignment="1" applyProtection="1">
      <alignment horizontal="center" wrapText="1" readingOrder="1"/>
      <protection hidden="1"/>
    </xf>
    <xf numFmtId="0" fontId="39" fillId="4" borderId="8" xfId="0" applyFont="1" applyFill="1" applyBorder="1" applyAlignment="1" applyProtection="1">
      <alignment horizontal="center" wrapText="1" readingOrder="1"/>
      <protection hidden="1"/>
    </xf>
    <xf numFmtId="0" fontId="40" fillId="11" borderId="2" xfId="0" applyFont="1" applyFill="1" applyBorder="1" applyAlignment="1" applyProtection="1">
      <alignment horizontal="center" wrapText="1" readingOrder="1"/>
      <protection hidden="1"/>
    </xf>
    <xf numFmtId="0" fontId="0" fillId="2" borderId="0" xfId="0" applyFill="1"/>
    <xf numFmtId="0" fontId="11" fillId="2" borderId="9" xfId="1" applyFont="1" applyFill="1" applyBorder="1"/>
    <xf numFmtId="0" fontId="11" fillId="2" borderId="10" xfId="1" applyFont="1" applyFill="1" applyBorder="1"/>
    <xf numFmtId="0" fontId="11" fillId="2" borderId="11" xfId="1" applyFont="1" applyFill="1" applyBorder="1"/>
    <xf numFmtId="0" fontId="41" fillId="2" borderId="0" xfId="0" applyFont="1" applyFill="1" applyAlignment="1">
      <alignment vertical="center"/>
    </xf>
    <xf numFmtId="0" fontId="22" fillId="2" borderId="0" xfId="0" applyFont="1" applyFill="1"/>
    <xf numFmtId="0" fontId="42" fillId="2" borderId="0" xfId="0" applyFont="1" applyFill="1"/>
    <xf numFmtId="0" fontId="43" fillId="2" borderId="12" xfId="0" applyFont="1" applyFill="1" applyBorder="1" applyAlignment="1">
      <alignment horizontal="center" vertical="center" wrapText="1" readingOrder="1"/>
    </xf>
    <xf numFmtId="0" fontId="44" fillId="2" borderId="12" xfId="0" applyFont="1" applyFill="1" applyBorder="1" applyAlignment="1">
      <alignment horizontal="justify" vertical="center" wrapText="1" readingOrder="1"/>
    </xf>
    <xf numFmtId="9" fontId="43" fillId="2" borderId="13" xfId="0" applyNumberFormat="1"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4" fillId="2" borderId="14" xfId="0" applyFont="1" applyFill="1" applyBorder="1" applyAlignment="1">
      <alignment horizontal="justify" vertical="center" wrapText="1" readingOrder="1"/>
    </xf>
    <xf numFmtId="9" fontId="43" fillId="2" borderId="15" xfId="0" applyNumberFormat="1" applyFont="1" applyFill="1" applyBorder="1" applyAlignment="1">
      <alignment horizontal="center" vertical="center" wrapText="1" readingOrder="1"/>
    </xf>
    <xf numFmtId="0" fontId="44" fillId="2" borderId="15"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xf numFmtId="0" fontId="44" fillId="2" borderId="16" xfId="0" applyFont="1" applyFill="1" applyBorder="1" applyAlignment="1">
      <alignment horizontal="justify" vertical="center" wrapText="1" readingOrder="1"/>
    </xf>
    <xf numFmtId="0" fontId="44" fillId="2" borderId="17" xfId="0" applyFont="1" applyFill="1" applyBorder="1" applyAlignment="1">
      <alignment horizontal="center" vertical="center" wrapText="1" readingOrder="1"/>
    </xf>
    <xf numFmtId="0" fontId="45" fillId="2" borderId="0" xfId="0" applyFont="1" applyFill="1"/>
    <xf numFmtId="0" fontId="43" fillId="12" borderId="18" xfId="0" applyFont="1" applyFill="1" applyBorder="1" applyAlignment="1">
      <alignment horizontal="center" vertical="center" wrapText="1" readingOrder="1"/>
    </xf>
    <xf numFmtId="0" fontId="43" fillId="12" borderId="19" xfId="0" applyFont="1" applyFill="1" applyBorder="1" applyAlignment="1">
      <alignment horizontal="center" vertical="center" wrapText="1" readingOrder="1"/>
    </xf>
    <xf numFmtId="0" fontId="21" fillId="2" borderId="0" xfId="0" applyFont="1" applyFill="1"/>
    <xf numFmtId="0" fontId="4" fillId="2" borderId="0" xfId="0" applyFont="1" applyFill="1" applyAlignment="1">
      <alignment horizontal="center" vertical="center" wrapText="1"/>
    </xf>
    <xf numFmtId="0" fontId="34" fillId="2" borderId="0" xfId="0" applyFont="1" applyFill="1" applyAlignment="1">
      <alignment horizontal="justify" vertical="center" wrapText="1" readingOrder="1"/>
    </xf>
    <xf numFmtId="0" fontId="30" fillId="2" borderId="0" xfId="0" applyFont="1" applyFill="1"/>
    <xf numFmtId="0" fontId="31" fillId="2" borderId="0" xfId="0" applyFont="1" applyFill="1" applyAlignment="1">
      <alignment horizontal="left" vertical="center"/>
    </xf>
    <xf numFmtId="0" fontId="11" fillId="2" borderId="4" xfId="1" applyFont="1" applyFill="1" applyBorder="1"/>
    <xf numFmtId="0" fontId="16" fillId="2" borderId="0" xfId="0" applyFont="1" applyFill="1" applyAlignment="1">
      <alignment horizontal="left" vertical="center" wrapText="1"/>
    </xf>
    <xf numFmtId="0" fontId="17" fillId="2" borderId="0" xfId="0" applyFont="1" applyFill="1" applyAlignment="1">
      <alignment horizontal="left" vertical="top" wrapText="1"/>
    </xf>
    <xf numFmtId="0" fontId="11" fillId="2" borderId="0" xfId="1" applyFont="1" applyFill="1"/>
    <xf numFmtId="0" fontId="11" fillId="2" borderId="5" xfId="1" applyFont="1" applyFill="1" applyBorder="1"/>
    <xf numFmtId="0" fontId="11" fillId="2" borderId="6" xfId="1" applyFont="1" applyFill="1" applyBorder="1"/>
    <xf numFmtId="0" fontId="11" fillId="2" borderId="7" xfId="1" applyFont="1" applyFill="1" applyBorder="1"/>
    <xf numFmtId="0" fontId="11" fillId="2" borderId="8" xfId="1" applyFont="1" applyFill="1" applyBorder="1"/>
    <xf numFmtId="0" fontId="15" fillId="2" borderId="0" xfId="1" applyFont="1" applyFill="1" applyAlignment="1">
      <alignment horizontal="left" vertical="center" wrapText="1"/>
    </xf>
    <xf numFmtId="0" fontId="11" fillId="2" borderId="0" xfId="1" applyFont="1" applyFill="1" applyAlignment="1">
      <alignment horizontal="left" vertical="center" wrapText="1"/>
    </xf>
    <xf numFmtId="0" fontId="11" fillId="2" borderId="0" xfId="1" quotePrefix="1" applyFont="1" applyFill="1" applyAlignment="1">
      <alignment horizontal="left" vertical="center" wrapText="1"/>
    </xf>
    <xf numFmtId="0" fontId="13" fillId="2" borderId="4" xfId="1" quotePrefix="1" applyFont="1" applyFill="1" applyBorder="1" applyAlignment="1">
      <alignment horizontal="left" vertical="top" wrapText="1"/>
    </xf>
    <xf numFmtId="0" fontId="14" fillId="2" borderId="0" xfId="1" quotePrefix="1" applyFont="1" applyFill="1" applyAlignment="1">
      <alignment horizontal="left" vertical="top" wrapText="1"/>
    </xf>
    <xf numFmtId="0" fontId="14" fillId="2" borderId="5" xfId="1" quotePrefix="1" applyFont="1" applyFill="1" applyBorder="1" applyAlignment="1">
      <alignment horizontal="left" vertical="top" wrapText="1"/>
    </xf>
    <xf numFmtId="0" fontId="0" fillId="0" borderId="55" xfId="0" applyBorder="1"/>
    <xf numFmtId="0" fontId="0" fillId="0" borderId="56" xfId="0" applyBorder="1"/>
    <xf numFmtId="0" fontId="0" fillId="0" borderId="4" xfId="0" applyBorder="1"/>
    <xf numFmtId="0" fontId="0" fillId="0" borderId="6" xfId="0" applyBorder="1"/>
    <xf numFmtId="0" fontId="0" fillId="0" borderId="55" xfId="0" applyBorder="1" applyAlignment="1">
      <alignment wrapText="1"/>
    </xf>
    <xf numFmtId="0" fontId="0" fillId="0" borderId="56" xfId="0" applyBorder="1" applyAlignment="1">
      <alignment wrapText="1"/>
    </xf>
    <xf numFmtId="0" fontId="58" fillId="2" borderId="55" xfId="0" applyFont="1" applyFill="1" applyBorder="1"/>
    <xf numFmtId="0" fontId="58" fillId="2" borderId="56" xfId="0" applyFont="1" applyFill="1" applyBorder="1"/>
    <xf numFmtId="0" fontId="24" fillId="0" borderId="0" xfId="0" applyFont="1" applyAlignment="1">
      <alignment vertical="top" wrapText="1"/>
    </xf>
    <xf numFmtId="0" fontId="0" fillId="0" borderId="0" xfId="0" applyAlignment="1">
      <alignment vertical="top" wrapText="1"/>
    </xf>
    <xf numFmtId="0" fontId="0" fillId="0" borderId="74" xfId="0" applyBorder="1" applyAlignment="1">
      <alignment vertical="top" wrapText="1"/>
    </xf>
    <xf numFmtId="0" fontId="0" fillId="0" borderId="73" xfId="0" applyBorder="1" applyAlignment="1">
      <alignment vertical="top" wrapText="1"/>
    </xf>
    <xf numFmtId="0" fontId="0" fillId="0" borderId="71" xfId="0" applyBorder="1" applyAlignment="1">
      <alignment vertical="top" wrapText="1"/>
    </xf>
    <xf numFmtId="0" fontId="0" fillId="0" borderId="77" xfId="0" applyBorder="1" applyAlignment="1">
      <alignment vertical="top" wrapText="1"/>
    </xf>
    <xf numFmtId="0" fontId="0" fillId="0" borderId="76" xfId="0" applyBorder="1" applyAlignment="1">
      <alignment vertical="top" wrapText="1"/>
    </xf>
    <xf numFmtId="0" fontId="0" fillId="0" borderId="79" xfId="0" applyBorder="1" applyAlignment="1">
      <alignment vertical="top" wrapText="1"/>
    </xf>
    <xf numFmtId="0" fontId="0" fillId="0" borderId="80" xfId="0" applyBorder="1" applyAlignment="1">
      <alignment vertical="top" wrapText="1"/>
    </xf>
    <xf numFmtId="0" fontId="24" fillId="0" borderId="0" xfId="0" applyFont="1" applyAlignment="1">
      <alignment horizontal="center" vertical="top" wrapText="1"/>
    </xf>
    <xf numFmtId="0" fontId="0" fillId="0" borderId="0" xfId="0" applyAlignment="1">
      <alignment horizontal="center" vertical="top" wrapText="1"/>
    </xf>
    <xf numFmtId="0" fontId="0" fillId="0" borderId="73" xfId="0" applyBorder="1" applyAlignment="1">
      <alignment horizontal="center" vertical="top" wrapText="1"/>
    </xf>
    <xf numFmtId="0" fontId="0" fillId="0" borderId="75" xfId="0" applyBorder="1" applyAlignment="1">
      <alignment horizontal="center" vertical="top" wrapText="1"/>
    </xf>
    <xf numFmtId="0" fontId="60" fillId="0" borderId="0" xfId="5" quotePrefix="1" applyNumberFormat="1" applyAlignment="1">
      <alignment horizontal="center" vertical="top" wrapText="1"/>
    </xf>
    <xf numFmtId="0" fontId="0" fillId="0" borderId="72" xfId="0" applyBorder="1" applyAlignment="1">
      <alignment horizontal="center" vertical="top" wrapText="1"/>
    </xf>
    <xf numFmtId="0" fontId="0" fillId="0" borderId="76" xfId="0" applyBorder="1" applyAlignment="1">
      <alignment horizontal="center" vertical="top" wrapText="1"/>
    </xf>
    <xf numFmtId="0" fontId="60" fillId="0" borderId="76" xfId="5" quotePrefix="1" applyNumberFormat="1" applyBorder="1" applyAlignment="1">
      <alignment horizontal="center" vertical="top" wrapText="1"/>
    </xf>
    <xf numFmtId="0" fontId="0" fillId="0" borderId="78" xfId="0" applyBorder="1" applyAlignment="1">
      <alignment horizontal="center" vertical="top" wrapText="1"/>
    </xf>
    <xf numFmtId="0" fontId="0" fillId="0" borderId="80" xfId="0" applyBorder="1" applyAlignment="1">
      <alignment horizontal="center" vertical="top" wrapText="1"/>
    </xf>
    <xf numFmtId="0" fontId="0" fillId="0" borderId="81" xfId="0" applyBorder="1" applyAlignment="1">
      <alignment horizontal="center" vertical="top" wrapText="1"/>
    </xf>
    <xf numFmtId="0" fontId="25" fillId="0" borderId="0" xfId="0" applyFont="1" applyProtection="1">
      <protection locked="0"/>
    </xf>
    <xf numFmtId="0" fontId="54" fillId="2" borderId="4" xfId="0" applyFont="1" applyFill="1" applyBorder="1" applyAlignment="1">
      <alignment horizontal="center"/>
    </xf>
    <xf numFmtId="0" fontId="54" fillId="2" borderId="0" xfId="0" applyFont="1" applyFill="1" applyAlignment="1">
      <alignment horizontal="center"/>
    </xf>
    <xf numFmtId="0" fontId="55" fillId="2" borderId="0" xfId="0" applyFont="1" applyFill="1" applyAlignment="1">
      <alignment horizontal="center" vertical="center" wrapText="1"/>
    </xf>
    <xf numFmtId="0" fontId="59" fillId="2" borderId="85" xfId="0" applyFont="1" applyFill="1" applyBorder="1"/>
    <xf numFmtId="0" fontId="54" fillId="2" borderId="0" xfId="0" applyFont="1" applyFill="1"/>
    <xf numFmtId="0" fontId="54" fillId="0" borderId="0" xfId="0" applyFont="1"/>
    <xf numFmtId="0" fontId="63" fillId="0" borderId="0" xfId="0" applyFont="1" applyAlignment="1">
      <alignment vertical="center" wrapText="1"/>
    </xf>
    <xf numFmtId="0" fontId="63" fillId="0" borderId="0" xfId="0" applyFont="1" applyAlignment="1">
      <alignment vertical="center"/>
    </xf>
    <xf numFmtId="0" fontId="55" fillId="0" borderId="0" xfId="0" applyFont="1" applyAlignment="1">
      <alignment vertical="center"/>
    </xf>
    <xf numFmtId="0" fontId="64" fillId="2" borderId="0" xfId="0" applyFont="1" applyFill="1"/>
    <xf numFmtId="0" fontId="64" fillId="0" borderId="0" xfId="0" applyFont="1"/>
    <xf numFmtId="0" fontId="25" fillId="2" borderId="0" xfId="0" applyFont="1" applyFill="1"/>
    <xf numFmtId="0" fontId="25" fillId="0" borderId="0" xfId="0" applyFont="1"/>
    <xf numFmtId="0" fontId="25" fillId="2" borderId="0" xfId="0" applyFont="1" applyFill="1" applyAlignment="1">
      <alignment horizontal="center" vertical="center" wrapText="1"/>
    </xf>
    <xf numFmtId="0" fontId="0" fillId="0" borderId="54" xfId="0" applyBorder="1"/>
    <xf numFmtId="0" fontId="0" fillId="0" borderId="5" xfId="0" applyBorder="1"/>
    <xf numFmtId="0" fontId="0" fillId="0" borderId="8" xfId="0" applyBorder="1"/>
    <xf numFmtId="0" fontId="56" fillId="7" borderId="49" xfId="0" applyFont="1" applyFill="1" applyBorder="1" applyAlignment="1">
      <alignment horizontal="center" vertical="center" wrapText="1"/>
    </xf>
    <xf numFmtId="0" fontId="56" fillId="19"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0" fontId="72" fillId="2" borderId="0" xfId="0" applyFont="1" applyFill="1"/>
    <xf numFmtId="0" fontId="54" fillId="2" borderId="0" xfId="0" applyFont="1" applyFill="1" applyProtection="1">
      <protection locked="0"/>
    </xf>
    <xf numFmtId="0" fontId="54" fillId="0" borderId="0" xfId="0" applyFont="1" applyProtection="1">
      <protection locked="0"/>
    </xf>
    <xf numFmtId="0" fontId="63" fillId="0" borderId="0" xfId="0" applyFont="1" applyAlignment="1" applyProtection="1">
      <alignment vertical="center" wrapText="1"/>
      <protection locked="0"/>
    </xf>
    <xf numFmtId="0" fontId="63" fillId="0" borderId="0" xfId="0" applyFont="1" applyAlignment="1" applyProtection="1">
      <alignment vertical="center"/>
      <protection locked="0"/>
    </xf>
    <xf numFmtId="0" fontId="55" fillId="0" borderId="0" xfId="0" applyFont="1" applyAlignment="1" applyProtection="1">
      <alignment vertical="center"/>
      <protection locked="0"/>
    </xf>
    <xf numFmtId="0" fontId="25" fillId="2" borderId="0" xfId="0" applyFont="1" applyFill="1" applyProtection="1">
      <protection locked="0"/>
    </xf>
    <xf numFmtId="0" fontId="54" fillId="2" borderId="0" xfId="0" applyFont="1" applyFill="1" applyProtection="1">
      <protection locked="0" hidden="1"/>
    </xf>
    <xf numFmtId="0" fontId="54" fillId="0" borderId="0" xfId="0" applyFont="1" applyProtection="1">
      <protection locked="0" hidden="1"/>
    </xf>
    <xf numFmtId="0" fontId="63" fillId="0" borderId="0" xfId="0" applyFont="1" applyAlignment="1" applyProtection="1">
      <alignment vertical="center" wrapText="1"/>
      <protection locked="0" hidden="1"/>
    </xf>
    <xf numFmtId="0" fontId="63" fillId="0" borderId="0" xfId="0" applyFont="1" applyAlignment="1" applyProtection="1">
      <alignment vertical="center"/>
      <protection locked="0" hidden="1"/>
    </xf>
    <xf numFmtId="0" fontId="55" fillId="0" borderId="0" xfId="0" applyFont="1" applyAlignment="1" applyProtection="1">
      <alignment vertical="center"/>
      <protection locked="0" hidden="1"/>
    </xf>
    <xf numFmtId="0" fontId="64" fillId="2" borderId="0" xfId="0" applyFont="1" applyFill="1" applyProtection="1">
      <protection locked="0" hidden="1"/>
    </xf>
    <xf numFmtId="0" fontId="64" fillId="0" borderId="0" xfId="0" applyFont="1" applyProtection="1">
      <protection locked="0" hidden="1"/>
    </xf>
    <xf numFmtId="0" fontId="25" fillId="2" borderId="0" xfId="0" applyFont="1" applyFill="1" applyProtection="1">
      <protection locked="0" hidden="1"/>
    </xf>
    <xf numFmtId="0" fontId="25" fillId="0" borderId="0" xfId="0" applyFont="1" applyProtection="1">
      <protection locked="0" hidden="1"/>
    </xf>
    <xf numFmtId="0" fontId="54" fillId="2" borderId="0" xfId="0" applyFont="1" applyFill="1" applyProtection="1">
      <protection hidden="1"/>
    </xf>
    <xf numFmtId="0" fontId="65" fillId="0" borderId="15" xfId="0" applyFont="1" applyBorder="1" applyAlignment="1" applyProtection="1">
      <alignment vertical="center"/>
      <protection hidden="1"/>
    </xf>
    <xf numFmtId="0" fontId="54" fillId="2" borderId="4" xfId="0" applyFont="1" applyFill="1" applyBorder="1" applyAlignment="1" applyProtection="1">
      <alignment horizontal="center"/>
      <protection hidden="1"/>
    </xf>
    <xf numFmtId="0" fontId="54" fillId="2" borderId="0" xfId="0" applyFont="1" applyFill="1" applyAlignment="1" applyProtection="1">
      <alignment horizontal="center"/>
      <protection hidden="1"/>
    </xf>
    <xf numFmtId="0" fontId="55" fillId="2" borderId="0" xfId="0" applyFont="1" applyFill="1" applyAlignment="1" applyProtection="1">
      <alignment horizontal="center" vertical="center" wrapText="1"/>
      <protection hidden="1"/>
    </xf>
    <xf numFmtId="0" fontId="56" fillId="17" borderId="49" xfId="0" applyFont="1" applyFill="1" applyBorder="1" applyAlignment="1" applyProtection="1">
      <alignment horizontal="center" vertical="center" wrapText="1"/>
      <protection hidden="1"/>
    </xf>
    <xf numFmtId="0" fontId="25" fillId="2" borderId="0" xfId="0" applyFont="1" applyFill="1" applyAlignment="1" applyProtection="1">
      <alignment horizontal="center" vertical="center" wrapText="1"/>
      <protection locked="0"/>
    </xf>
    <xf numFmtId="0" fontId="56" fillId="18" borderId="49" xfId="0" applyFont="1" applyFill="1" applyBorder="1" applyAlignment="1" applyProtection="1">
      <alignment horizontal="center" vertical="center" wrapText="1"/>
      <protection hidden="1"/>
    </xf>
    <xf numFmtId="0" fontId="65" fillId="0" borderId="15" xfId="0" applyFont="1" applyBorder="1" applyAlignment="1">
      <alignment vertical="center"/>
    </xf>
    <xf numFmtId="0" fontId="0" fillId="0" borderId="55" xfId="0" applyFill="1" applyBorder="1"/>
    <xf numFmtId="0" fontId="24" fillId="0" borderId="85" xfId="0" applyFont="1" applyBorder="1"/>
    <xf numFmtId="0" fontId="24" fillId="0" borderId="85" xfId="0" applyFont="1" applyBorder="1" applyAlignment="1">
      <alignment vertical="center"/>
    </xf>
    <xf numFmtId="9" fontId="75" fillId="0" borderId="49" xfId="0" applyNumberFormat="1" applyFont="1" applyBorder="1" applyAlignment="1" applyProtection="1">
      <alignment horizontal="center" vertical="center"/>
      <protection hidden="1"/>
    </xf>
    <xf numFmtId="0" fontId="71" fillId="0" borderId="49" xfId="0" applyFont="1" applyBorder="1" applyAlignment="1" applyProtection="1">
      <alignment horizontal="center" vertical="center" textRotation="90" wrapText="1"/>
      <protection hidden="1"/>
    </xf>
    <xf numFmtId="0" fontId="71" fillId="0" borderId="49" xfId="0" applyFont="1" applyBorder="1" applyAlignment="1" applyProtection="1">
      <alignment horizontal="center" vertical="center" textRotation="90"/>
      <protection hidden="1"/>
    </xf>
    <xf numFmtId="0" fontId="75" fillId="0" borderId="49" xfId="0" applyFont="1" applyBorder="1" applyAlignment="1" applyProtection="1">
      <alignment horizontal="center" vertical="center" textRotation="90"/>
      <protection hidden="1"/>
    </xf>
    <xf numFmtId="0" fontId="75" fillId="0" borderId="100" xfId="0" applyFont="1" applyBorder="1" applyAlignment="1" applyProtection="1">
      <alignment horizontal="center" vertical="center" wrapText="1"/>
      <protection hidden="1"/>
    </xf>
    <xf numFmtId="14" fontId="75" fillId="0" borderId="49" xfId="0" applyNumberFormat="1" applyFont="1" applyBorder="1" applyAlignment="1" applyProtection="1">
      <alignment horizontal="center" vertical="center"/>
      <protection hidden="1"/>
    </xf>
    <xf numFmtId="0" fontId="75" fillId="0" borderId="49" xfId="0" applyFont="1" applyBorder="1" applyAlignment="1" applyProtection="1">
      <alignment horizontal="center" vertical="center" wrapText="1"/>
      <protection hidden="1"/>
    </xf>
    <xf numFmtId="0" fontId="75" fillId="0" borderId="49" xfId="0" applyFont="1" applyBorder="1" applyAlignment="1" applyProtection="1">
      <alignment horizontal="justify" vertical="center" wrapText="1"/>
      <protection hidden="1"/>
    </xf>
    <xf numFmtId="0" fontId="78" fillId="0" borderId="49" xfId="0" applyFont="1" applyBorder="1" applyAlignment="1" applyProtection="1">
      <alignment horizontal="justify" vertical="center" wrapText="1"/>
      <protection hidden="1"/>
    </xf>
    <xf numFmtId="0" fontId="75" fillId="0" borderId="49" xfId="0" applyFont="1" applyBorder="1" applyAlignment="1" applyProtection="1">
      <alignment horizontal="center" vertical="center"/>
      <protection hidden="1"/>
    </xf>
    <xf numFmtId="0" fontId="75" fillId="0" borderId="49" xfId="0" applyFont="1" applyBorder="1" applyAlignment="1" applyProtection="1">
      <alignment horizontal="justify" vertical="center"/>
      <protection hidden="1"/>
    </xf>
    <xf numFmtId="0" fontId="75" fillId="0" borderId="49" xfId="0" applyFont="1" applyFill="1" applyBorder="1" applyAlignment="1" applyProtection="1">
      <alignment horizontal="justify" vertical="center" wrapText="1"/>
      <protection hidden="1"/>
    </xf>
    <xf numFmtId="0" fontId="12" fillId="13" borderId="22" xfId="1" applyFont="1" applyFill="1" applyBorder="1" applyAlignment="1">
      <alignment horizontal="center" vertical="center" wrapText="1"/>
    </xf>
    <xf numFmtId="0" fontId="12" fillId="13" borderId="23" xfId="1" applyFont="1" applyFill="1" applyBorder="1" applyAlignment="1">
      <alignment horizontal="center" vertical="center" wrapText="1"/>
    </xf>
    <xf numFmtId="0" fontId="12" fillId="13" borderId="24" xfId="1" applyFont="1" applyFill="1" applyBorder="1" applyAlignment="1">
      <alignment horizontal="center" vertical="center" wrapText="1"/>
    </xf>
    <xf numFmtId="0" fontId="11" fillId="0" borderId="4" xfId="1" quotePrefix="1" applyFont="1" applyBorder="1" applyAlignment="1">
      <alignment horizontal="left" vertical="center" wrapText="1"/>
    </xf>
    <xf numFmtId="0" fontId="11" fillId="0" borderId="0" xfId="1" quotePrefix="1" applyFont="1" applyAlignment="1">
      <alignment horizontal="left" vertical="center" wrapText="1"/>
    </xf>
    <xf numFmtId="0" fontId="11" fillId="0" borderId="5" xfId="1" quotePrefix="1" applyFont="1" applyBorder="1" applyAlignment="1">
      <alignment horizontal="left" vertical="center" wrapText="1"/>
    </xf>
    <xf numFmtId="0" fontId="11" fillId="0" borderId="25" xfId="1" quotePrefix="1" applyFont="1" applyBorder="1" applyAlignment="1">
      <alignment horizontal="left" vertical="center" wrapText="1"/>
    </xf>
    <xf numFmtId="0" fontId="11" fillId="0" borderId="26" xfId="1" quotePrefix="1" applyFont="1" applyBorder="1" applyAlignment="1">
      <alignment horizontal="left" vertical="center" wrapText="1"/>
    </xf>
    <xf numFmtId="0" fontId="11" fillId="0" borderId="27" xfId="1" quotePrefix="1" applyFont="1" applyBorder="1" applyAlignment="1">
      <alignment horizontal="left" vertical="center" wrapText="1"/>
    </xf>
    <xf numFmtId="0" fontId="13" fillId="2" borderId="9" xfId="1" quotePrefix="1" applyFont="1" applyFill="1" applyBorder="1" applyAlignment="1">
      <alignment horizontal="left" vertical="top" wrapText="1"/>
    </xf>
    <xf numFmtId="0" fontId="14" fillId="2" borderId="10" xfId="1" quotePrefix="1" applyFont="1" applyFill="1" applyBorder="1" applyAlignment="1">
      <alignment horizontal="left" vertical="top" wrapText="1"/>
    </xf>
    <xf numFmtId="0" fontId="14" fillId="2" borderId="11" xfId="1" quotePrefix="1" applyFont="1" applyFill="1" applyBorder="1" applyAlignment="1">
      <alignment horizontal="left" vertical="top" wrapText="1"/>
    </xf>
    <xf numFmtId="0" fontId="11" fillId="0" borderId="4" xfId="1" quotePrefix="1" applyFont="1" applyBorder="1" applyAlignment="1">
      <alignment horizontal="left" vertical="top" wrapText="1"/>
    </xf>
    <xf numFmtId="0" fontId="11" fillId="0" borderId="0" xfId="1" quotePrefix="1" applyFont="1" applyAlignment="1">
      <alignment horizontal="left" vertical="top" wrapText="1"/>
    </xf>
    <xf numFmtId="0" fontId="11" fillId="0" borderId="5" xfId="1" quotePrefix="1" applyFont="1" applyBorder="1" applyAlignment="1">
      <alignment horizontal="left" vertical="top" wrapText="1"/>
    </xf>
    <xf numFmtId="0" fontId="16" fillId="13" borderId="28" xfId="3" applyFont="1" applyFill="1" applyBorder="1" applyAlignment="1">
      <alignment horizontal="center" vertical="center" wrapText="1"/>
    </xf>
    <xf numFmtId="0" fontId="16" fillId="13" borderId="61" xfId="3" applyFont="1" applyFill="1" applyBorder="1" applyAlignment="1">
      <alignment horizontal="center" vertical="center" wrapText="1"/>
    </xf>
    <xf numFmtId="0" fontId="16" fillId="13" borderId="62" xfId="1" applyFont="1" applyFill="1" applyBorder="1" applyAlignment="1">
      <alignment horizontal="center" vertical="center"/>
    </xf>
    <xf numFmtId="0" fontId="16" fillId="13" borderId="29" xfId="1" applyFont="1" applyFill="1" applyBorder="1" applyAlignment="1">
      <alignment horizontal="center" vertical="center"/>
    </xf>
    <xf numFmtId="0" fontId="1" fillId="2" borderId="25" xfId="1" quotePrefix="1" applyFont="1" applyFill="1" applyBorder="1" applyAlignment="1">
      <alignment horizontal="justify" vertical="center" wrapText="1"/>
    </xf>
    <xf numFmtId="0" fontId="1" fillId="2" borderId="26" xfId="1" quotePrefix="1" applyFont="1" applyFill="1" applyBorder="1" applyAlignment="1">
      <alignment horizontal="justify" vertical="center" wrapText="1"/>
    </xf>
    <xf numFmtId="0" fontId="1" fillId="2" borderId="27" xfId="1" quotePrefix="1" applyFont="1" applyFill="1" applyBorder="1" applyAlignment="1">
      <alignment horizontal="justify" vertical="center" wrapText="1"/>
    </xf>
    <xf numFmtId="0" fontId="16" fillId="2" borderId="32" xfId="3" applyFont="1" applyFill="1" applyBorder="1" applyAlignment="1">
      <alignment horizontal="left" vertical="top" wrapText="1" readingOrder="1"/>
    </xf>
    <xf numFmtId="0" fontId="16" fillId="2" borderId="33" xfId="3" applyFont="1" applyFill="1" applyBorder="1" applyAlignment="1">
      <alignment horizontal="left" vertical="top" wrapText="1" readingOrder="1"/>
    </xf>
    <xf numFmtId="0" fontId="17" fillId="2" borderId="34" xfId="1" applyFont="1" applyFill="1" applyBorder="1" applyAlignment="1">
      <alignment horizontal="justify" vertical="center" wrapText="1"/>
    </xf>
    <xf numFmtId="0" fontId="17" fillId="2" borderId="35" xfId="1" applyFont="1" applyFill="1" applyBorder="1" applyAlignment="1">
      <alignment horizontal="justify" vertical="center" wrapText="1"/>
    </xf>
    <xf numFmtId="0" fontId="16" fillId="2" borderId="36" xfId="0" applyFont="1" applyFill="1" applyBorder="1" applyAlignment="1">
      <alignment horizontal="left" vertical="center" wrapText="1"/>
    </xf>
    <xf numFmtId="0" fontId="16" fillId="2" borderId="37" xfId="0" applyFont="1" applyFill="1" applyBorder="1" applyAlignment="1">
      <alignment horizontal="left" vertical="center" wrapText="1"/>
    </xf>
    <xf numFmtId="0" fontId="17" fillId="2" borderId="20" xfId="1" applyFont="1" applyFill="1" applyBorder="1" applyAlignment="1">
      <alignment horizontal="justify" vertical="center" wrapText="1"/>
    </xf>
    <xf numFmtId="0" fontId="17" fillId="2" borderId="21" xfId="1" applyFont="1" applyFill="1" applyBorder="1" applyAlignment="1">
      <alignment horizontal="justify" vertical="center" wrapText="1"/>
    </xf>
    <xf numFmtId="0" fontId="11" fillId="2" borderId="4" xfId="1" applyFont="1" applyFill="1" applyBorder="1" applyAlignment="1">
      <alignment horizontal="left" vertical="top" wrapText="1"/>
    </xf>
    <xf numFmtId="0" fontId="11" fillId="2" borderId="0" xfId="1" applyFont="1" applyFill="1" applyAlignment="1">
      <alignment horizontal="left" vertical="top" wrapText="1"/>
    </xf>
    <xf numFmtId="0" fontId="11" fillId="2" borderId="5" xfId="1" applyFont="1" applyFill="1" applyBorder="1" applyAlignment="1">
      <alignment horizontal="left" vertical="top" wrapText="1"/>
    </xf>
    <xf numFmtId="0" fontId="16" fillId="2" borderId="30" xfId="0" applyFont="1" applyFill="1" applyBorder="1" applyAlignment="1">
      <alignment horizontal="left" vertical="center" wrapText="1"/>
    </xf>
    <xf numFmtId="0" fontId="16" fillId="2" borderId="31" xfId="0" applyFont="1" applyFill="1" applyBorder="1" applyAlignment="1">
      <alignment horizontal="left" vertical="center" wrapText="1"/>
    </xf>
    <xf numFmtId="0" fontId="16" fillId="2" borderId="38" xfId="0" applyFont="1" applyFill="1" applyBorder="1" applyAlignment="1">
      <alignment horizontal="left" vertical="center" wrapText="1"/>
    </xf>
    <xf numFmtId="0" fontId="16" fillId="2" borderId="39" xfId="0" applyFont="1" applyFill="1" applyBorder="1" applyAlignment="1">
      <alignment horizontal="left" vertical="center" wrapText="1"/>
    </xf>
    <xf numFmtId="0" fontId="17" fillId="2" borderId="40" xfId="0" applyFont="1" applyFill="1" applyBorder="1" applyAlignment="1">
      <alignment horizontal="justify" vertical="center" wrapText="1"/>
    </xf>
    <xf numFmtId="0" fontId="17" fillId="2" borderId="41" xfId="0" applyFont="1" applyFill="1" applyBorder="1" applyAlignment="1">
      <alignment horizontal="justify" vertical="center" wrapText="1"/>
    </xf>
    <xf numFmtId="0" fontId="75" fillId="0" borderId="101" xfId="0" applyFont="1" applyBorder="1" applyAlignment="1" applyProtection="1">
      <alignment horizontal="center" vertical="center" wrapText="1"/>
      <protection hidden="1"/>
    </xf>
    <xf numFmtId="0" fontId="75" fillId="0" borderId="103" xfId="0" applyFont="1" applyBorder="1" applyAlignment="1" applyProtection="1">
      <alignment horizontal="center" vertical="center" wrapText="1"/>
      <protection hidden="1"/>
    </xf>
    <xf numFmtId="0" fontId="75" fillId="0" borderId="57" xfId="0" applyFont="1" applyBorder="1" applyAlignment="1" applyProtection="1">
      <alignment horizontal="center" vertical="center" wrapText="1"/>
      <protection hidden="1"/>
    </xf>
    <xf numFmtId="0" fontId="75" fillId="0" borderId="50" xfId="0" applyFont="1" applyBorder="1" applyAlignment="1" applyProtection="1">
      <alignment horizontal="center" vertical="center" wrapText="1"/>
      <protection hidden="1"/>
    </xf>
    <xf numFmtId="14" fontId="75" fillId="0" borderId="57" xfId="0" applyNumberFormat="1" applyFont="1" applyBorder="1" applyAlignment="1" applyProtection="1">
      <alignment horizontal="center" vertical="center"/>
      <protection hidden="1"/>
    </xf>
    <xf numFmtId="14" fontId="75" fillId="0" borderId="50" xfId="0" applyNumberFormat="1" applyFont="1" applyBorder="1" applyAlignment="1" applyProtection="1">
      <alignment horizontal="center" vertical="center"/>
      <protection hidden="1"/>
    </xf>
    <xf numFmtId="0" fontId="71" fillId="0" borderId="57" xfId="0" applyFont="1" applyBorder="1" applyAlignment="1" applyProtection="1">
      <alignment horizontal="center" vertical="center"/>
      <protection hidden="1"/>
    </xf>
    <xf numFmtId="0" fontId="71" fillId="0" borderId="58" xfId="0" applyFont="1" applyBorder="1" applyAlignment="1" applyProtection="1">
      <alignment horizontal="center" vertical="center"/>
      <protection hidden="1"/>
    </xf>
    <xf numFmtId="0" fontId="71" fillId="0" borderId="50" xfId="0" applyFont="1" applyBorder="1" applyAlignment="1" applyProtection="1">
      <alignment horizontal="center" vertical="center"/>
      <protection hidden="1"/>
    </xf>
    <xf numFmtId="0" fontId="75" fillId="0" borderId="57" xfId="0" applyFont="1" applyBorder="1" applyAlignment="1" applyProtection="1">
      <alignment horizontal="center" vertical="center"/>
      <protection hidden="1"/>
    </xf>
    <xf numFmtId="0" fontId="75" fillId="0" borderId="58" xfId="0" applyFont="1" applyBorder="1" applyAlignment="1" applyProtection="1">
      <alignment horizontal="center" vertical="center"/>
      <protection hidden="1"/>
    </xf>
    <xf numFmtId="0" fontId="75" fillId="0" borderId="50" xfId="0" applyFont="1" applyBorder="1" applyAlignment="1" applyProtection="1">
      <alignment horizontal="center" vertical="center"/>
      <protection hidden="1"/>
    </xf>
    <xf numFmtId="0" fontId="76" fillId="0" borderId="57" xfId="0" applyFont="1" applyBorder="1" applyAlignment="1" applyProtection="1">
      <alignment horizontal="center" vertical="center" wrapText="1"/>
      <protection hidden="1"/>
    </xf>
    <xf numFmtId="0" fontId="76" fillId="0" borderId="58" xfId="0" applyFont="1" applyBorder="1" applyAlignment="1" applyProtection="1">
      <alignment horizontal="center" vertical="center" wrapText="1"/>
      <protection hidden="1"/>
    </xf>
    <xf numFmtId="0" fontId="76" fillId="0" borderId="50" xfId="0" applyFont="1" applyBorder="1" applyAlignment="1" applyProtection="1">
      <alignment horizontal="center" vertical="center" wrapText="1"/>
      <protection hidden="1"/>
    </xf>
    <xf numFmtId="0" fontId="75" fillId="0" borderId="58" xfId="0" applyFont="1" applyBorder="1" applyAlignment="1" applyProtection="1">
      <alignment horizontal="center" vertical="center" wrapText="1"/>
      <protection hidden="1"/>
    </xf>
    <xf numFmtId="0" fontId="71" fillId="0" borderId="49" xfId="0" applyFont="1" applyBorder="1" applyAlignment="1" applyProtection="1">
      <alignment horizontal="center" vertical="center"/>
      <protection hidden="1"/>
    </xf>
    <xf numFmtId="0" fontId="75" fillId="0" borderId="49" xfId="0" applyFont="1" applyBorder="1" applyAlignment="1" applyProtection="1">
      <alignment horizontal="center" vertical="center" wrapText="1"/>
      <protection hidden="1"/>
    </xf>
    <xf numFmtId="0" fontId="75" fillId="0" borderId="49" xfId="0" applyFont="1" applyBorder="1" applyAlignment="1" applyProtection="1">
      <alignment horizontal="justify" vertical="center" wrapText="1"/>
      <protection hidden="1"/>
    </xf>
    <xf numFmtId="0" fontId="78" fillId="0" borderId="49" xfId="0" applyFont="1" applyBorder="1" applyAlignment="1" applyProtection="1">
      <alignment horizontal="justify" vertical="center" wrapText="1"/>
      <protection hidden="1"/>
    </xf>
    <xf numFmtId="0" fontId="75" fillId="0" borderId="49" xfId="0" applyFont="1" applyBorder="1" applyAlignment="1" applyProtection="1">
      <alignment horizontal="center" vertical="center"/>
      <protection hidden="1"/>
    </xf>
    <xf numFmtId="0" fontId="78" fillId="0" borderId="57" xfId="0" applyFont="1" applyBorder="1" applyAlignment="1" applyProtection="1">
      <alignment horizontal="justify" vertical="center" wrapText="1"/>
      <protection hidden="1"/>
    </xf>
    <xf numFmtId="0" fontId="78" fillId="0" borderId="58" xfId="0" applyFont="1" applyBorder="1" applyAlignment="1" applyProtection="1">
      <alignment horizontal="justify" vertical="center" wrapText="1"/>
      <protection hidden="1"/>
    </xf>
    <xf numFmtId="0" fontId="78" fillId="0" borderId="50" xfId="0" applyFont="1" applyBorder="1" applyAlignment="1" applyProtection="1">
      <alignment horizontal="justify" vertical="center" wrapText="1"/>
      <protection hidden="1"/>
    </xf>
    <xf numFmtId="0" fontId="78" fillId="0" borderId="57" xfId="0" applyFont="1" applyBorder="1" applyAlignment="1" applyProtection="1">
      <alignment horizontal="center" vertical="center" wrapText="1"/>
      <protection hidden="1"/>
    </xf>
    <xf numFmtId="0" fontId="78" fillId="0" borderId="58" xfId="0" applyFont="1" applyBorder="1" applyAlignment="1" applyProtection="1">
      <alignment horizontal="center" vertical="center" wrapText="1"/>
      <protection hidden="1"/>
    </xf>
    <xf numFmtId="0" fontId="78" fillId="0" borderId="50" xfId="0" applyFont="1" applyBorder="1" applyAlignment="1" applyProtection="1">
      <alignment horizontal="center" vertical="center" wrapText="1"/>
      <protection hidden="1"/>
    </xf>
    <xf numFmtId="0" fontId="75" fillId="0" borderId="57" xfId="0" applyFont="1" applyFill="1" applyBorder="1" applyAlignment="1" applyProtection="1">
      <alignment horizontal="center" vertical="center" wrapText="1"/>
      <protection hidden="1"/>
    </xf>
    <xf numFmtId="0" fontId="75" fillId="0" borderId="58" xfId="0" applyFont="1" applyFill="1" applyBorder="1" applyAlignment="1" applyProtection="1">
      <alignment horizontal="center" vertical="center"/>
      <protection hidden="1"/>
    </xf>
    <xf numFmtId="0" fontId="75" fillId="0" borderId="50" xfId="0" applyFont="1" applyFill="1" applyBorder="1" applyAlignment="1" applyProtection="1">
      <alignment horizontal="center" vertical="center"/>
      <protection hidden="1"/>
    </xf>
    <xf numFmtId="0" fontId="75" fillId="0" borderId="58" xfId="0" applyFont="1" applyFill="1" applyBorder="1" applyAlignment="1" applyProtection="1">
      <alignment horizontal="center" vertical="center" wrapText="1"/>
      <protection hidden="1"/>
    </xf>
    <xf numFmtId="0" fontId="75" fillId="0" borderId="50" xfId="0" applyFont="1" applyFill="1" applyBorder="1" applyAlignment="1" applyProtection="1">
      <alignment horizontal="center" vertical="center" wrapText="1"/>
      <protection hidden="1"/>
    </xf>
    <xf numFmtId="0" fontId="75" fillId="0" borderId="57" xfId="0" applyFont="1" applyFill="1" applyBorder="1" applyAlignment="1" applyProtection="1">
      <alignment horizontal="center" vertical="center"/>
      <protection hidden="1"/>
    </xf>
    <xf numFmtId="0" fontId="75" fillId="0" borderId="57" xfId="0" applyFont="1" applyBorder="1" applyAlignment="1" applyProtection="1">
      <alignment horizontal="justify" vertical="center" wrapText="1"/>
      <protection hidden="1"/>
    </xf>
    <xf numFmtId="0" fontId="75" fillId="0" borderId="58" xfId="0" applyFont="1" applyBorder="1" applyAlignment="1" applyProtection="1">
      <alignment horizontal="justify" vertical="center" wrapText="1"/>
      <protection hidden="1"/>
    </xf>
    <xf numFmtId="0" fontId="75" fillId="0" borderId="50" xfId="0" applyFont="1" applyBorder="1" applyAlignment="1" applyProtection="1">
      <alignment horizontal="justify" vertical="center" wrapText="1"/>
      <protection hidden="1"/>
    </xf>
    <xf numFmtId="0" fontId="75" fillId="0" borderId="57" xfId="0" applyFont="1" applyFill="1" applyBorder="1" applyAlignment="1" applyProtection="1">
      <alignment horizontal="justify" vertical="center" wrapText="1"/>
      <protection hidden="1"/>
    </xf>
    <xf numFmtId="0" fontId="75" fillId="0" borderId="58" xfId="0" applyFont="1" applyFill="1" applyBorder="1" applyAlignment="1" applyProtection="1">
      <alignment horizontal="justify" vertical="center" wrapText="1"/>
      <protection hidden="1"/>
    </xf>
    <xf numFmtId="0" fontId="75" fillId="0" borderId="50" xfId="0" applyFont="1" applyFill="1" applyBorder="1" applyAlignment="1" applyProtection="1">
      <alignment horizontal="justify" vertical="center" wrapText="1"/>
      <protection hidden="1"/>
    </xf>
    <xf numFmtId="0" fontId="78" fillId="0" borderId="57" xfId="0" applyFont="1" applyFill="1" applyBorder="1" applyAlignment="1" applyProtection="1">
      <alignment horizontal="justify" vertical="center" wrapText="1"/>
      <protection hidden="1"/>
    </xf>
    <xf numFmtId="0" fontId="78" fillId="0" borderId="58" xfId="0" applyFont="1" applyFill="1" applyBorder="1" applyAlignment="1" applyProtection="1">
      <alignment horizontal="justify" vertical="center" wrapText="1"/>
      <protection hidden="1"/>
    </xf>
    <xf numFmtId="0" fontId="78" fillId="0" borderId="50" xfId="0" applyFont="1" applyFill="1" applyBorder="1" applyAlignment="1" applyProtection="1">
      <alignment horizontal="justify" vertical="center" wrapText="1"/>
      <protection hidden="1"/>
    </xf>
    <xf numFmtId="0" fontId="75" fillId="0" borderId="102" xfId="0" applyFont="1" applyBorder="1" applyAlignment="1" applyProtection="1">
      <alignment horizontal="center" vertical="center" wrapText="1"/>
      <protection hidden="1"/>
    </xf>
    <xf numFmtId="14" fontId="75" fillId="0" borderId="58" xfId="0" applyNumberFormat="1" applyFont="1" applyBorder="1" applyAlignment="1" applyProtection="1">
      <alignment horizontal="center" vertical="center"/>
      <protection hidden="1"/>
    </xf>
    <xf numFmtId="0" fontId="73" fillId="20" borderId="49" xfId="0" applyFont="1" applyFill="1" applyBorder="1" applyAlignment="1" applyProtection="1">
      <alignment horizontal="center" wrapText="1"/>
      <protection locked="0" hidden="1"/>
    </xf>
    <xf numFmtId="0" fontId="56" fillId="20" borderId="49" xfId="0" applyFont="1" applyFill="1" applyBorder="1" applyAlignment="1" applyProtection="1">
      <alignment horizontal="center" vertical="center" wrapText="1"/>
      <protection hidden="1"/>
    </xf>
    <xf numFmtId="0" fontId="72" fillId="20" borderId="49" xfId="0" applyFont="1" applyFill="1" applyBorder="1" applyAlignment="1" applyProtection="1">
      <alignment horizontal="center" vertical="center" wrapText="1"/>
      <protection hidden="1"/>
    </xf>
    <xf numFmtId="0" fontId="72" fillId="20" borderId="49" xfId="0" applyFont="1" applyFill="1" applyBorder="1" applyAlignment="1" applyProtection="1">
      <alignment horizontal="center" vertical="center" wrapText="1"/>
      <protection locked="0" hidden="1"/>
    </xf>
    <xf numFmtId="0" fontId="55" fillId="0" borderId="82" xfId="0" applyFont="1" applyBorder="1" applyAlignment="1" applyProtection="1">
      <alignment horizontal="center" vertical="center" wrapText="1"/>
      <protection hidden="1"/>
    </xf>
    <xf numFmtId="0" fontId="55" fillId="0" borderId="83" xfId="0" applyFont="1" applyBorder="1" applyAlignment="1" applyProtection="1">
      <alignment horizontal="center" vertical="center" wrapText="1"/>
      <protection hidden="1"/>
    </xf>
    <xf numFmtId="0" fontId="65" fillId="0" borderId="84" xfId="0" applyFont="1" applyBorder="1" applyAlignment="1" applyProtection="1">
      <alignment horizontal="left" vertical="center" wrapText="1"/>
      <protection hidden="1"/>
    </xf>
    <xf numFmtId="0" fontId="65" fillId="0" borderId="15" xfId="0" applyFont="1" applyBorder="1" applyAlignment="1" applyProtection="1">
      <alignment horizontal="left" vertical="center" wrapText="1"/>
      <protection hidden="1"/>
    </xf>
    <xf numFmtId="0" fontId="55" fillId="0" borderId="47" xfId="0" applyFont="1" applyBorder="1" applyAlignment="1" applyProtection="1">
      <alignment horizontal="center" vertical="center" wrapText="1"/>
      <protection hidden="1"/>
    </xf>
    <xf numFmtId="0" fontId="55" fillId="0" borderId="14" xfId="0" applyFont="1" applyBorder="1" applyAlignment="1" applyProtection="1">
      <alignment horizontal="center" vertical="center" wrapText="1"/>
      <protection hidden="1"/>
    </xf>
    <xf numFmtId="0" fontId="55" fillId="0" borderId="48" xfId="0" applyFont="1" applyBorder="1" applyAlignment="1" applyProtection="1">
      <alignment horizontal="center" vertical="center" wrapText="1"/>
      <protection hidden="1"/>
    </xf>
    <xf numFmtId="0" fontId="55" fillId="0" borderId="16" xfId="0" applyFont="1" applyBorder="1" applyAlignment="1" applyProtection="1">
      <alignment horizontal="center" vertical="center" wrapText="1"/>
      <protection hidden="1"/>
    </xf>
    <xf numFmtId="0" fontId="55" fillId="0" borderId="17" xfId="0" applyFont="1" applyBorder="1" applyAlignment="1" applyProtection="1">
      <alignment horizontal="center" vertical="center" wrapText="1"/>
      <protection hidden="1"/>
    </xf>
    <xf numFmtId="14" fontId="70" fillId="17" borderId="49" xfId="0" applyNumberFormat="1" applyFont="1" applyFill="1" applyBorder="1" applyAlignment="1" applyProtection="1">
      <alignment horizontal="center" vertical="center" wrapText="1"/>
      <protection hidden="1"/>
    </xf>
    <xf numFmtId="0" fontId="70" fillId="17" borderId="49" xfId="0" applyFont="1" applyFill="1" applyBorder="1" applyAlignment="1" applyProtection="1">
      <alignment horizontal="center" vertical="center" wrapText="1"/>
      <protection hidden="1"/>
    </xf>
    <xf numFmtId="0" fontId="56" fillId="17" borderId="49" xfId="0" applyFont="1" applyFill="1" applyBorder="1" applyAlignment="1" applyProtection="1">
      <alignment horizontal="center" vertical="center" wrapText="1"/>
      <protection hidden="1"/>
    </xf>
    <xf numFmtId="0" fontId="55" fillId="0" borderId="87" xfId="0" applyFont="1" applyBorder="1" applyAlignment="1" applyProtection="1">
      <alignment horizontal="center" vertical="center"/>
      <protection hidden="1"/>
    </xf>
    <xf numFmtId="0" fontId="55" fillId="0" borderId="10" xfId="0" applyFont="1" applyBorder="1" applyAlignment="1" applyProtection="1">
      <alignment horizontal="center" vertical="center"/>
      <protection hidden="1"/>
    </xf>
    <xf numFmtId="0" fontId="55" fillId="0" borderId="88" xfId="0" applyFont="1" applyBorder="1" applyAlignment="1" applyProtection="1">
      <alignment horizontal="center" vertical="center"/>
      <protection hidden="1"/>
    </xf>
    <xf numFmtId="0" fontId="55" fillId="0" borderId="89" xfId="0" applyFont="1" applyBorder="1" applyAlignment="1" applyProtection="1">
      <alignment horizontal="center" vertical="center"/>
      <protection hidden="1"/>
    </xf>
    <xf numFmtId="0" fontId="55" fillId="0" borderId="26" xfId="0" applyFont="1" applyBorder="1" applyAlignment="1" applyProtection="1">
      <alignment horizontal="center" vertical="center"/>
      <protection hidden="1"/>
    </xf>
    <xf numFmtId="0" fontId="55" fillId="0" borderId="90" xfId="0" applyFont="1" applyBorder="1" applyAlignment="1" applyProtection="1">
      <alignment horizontal="center" vertical="center"/>
      <protection hidden="1"/>
    </xf>
    <xf numFmtId="0" fontId="55" fillId="0" borderId="91" xfId="0" applyFont="1" applyBorder="1" applyAlignment="1" applyProtection="1">
      <alignment horizontal="center" vertical="center"/>
      <protection hidden="1"/>
    </xf>
    <xf numFmtId="0" fontId="55" fillId="0" borderId="23" xfId="0" applyFont="1" applyBorder="1" applyAlignment="1" applyProtection="1">
      <alignment horizontal="center" vertical="center"/>
      <protection hidden="1"/>
    </xf>
    <xf numFmtId="0" fontId="55" fillId="0" borderId="92" xfId="0" applyFont="1" applyBorder="1" applyAlignment="1" applyProtection="1">
      <alignment horizontal="center" vertical="center"/>
      <protection hidden="1"/>
    </xf>
    <xf numFmtId="0" fontId="55" fillId="0" borderId="93" xfId="0" applyFont="1" applyBorder="1" applyAlignment="1" applyProtection="1">
      <alignment horizontal="center" vertical="center" wrapText="1"/>
      <protection hidden="1"/>
    </xf>
    <xf numFmtId="0" fontId="55" fillId="0" borderId="94" xfId="0" applyFont="1" applyBorder="1" applyAlignment="1" applyProtection="1">
      <alignment horizontal="center" vertical="center" wrapText="1"/>
      <protection hidden="1"/>
    </xf>
    <xf numFmtId="0" fontId="55" fillId="0" borderId="95" xfId="0" applyFont="1" applyBorder="1" applyAlignment="1" applyProtection="1">
      <alignment horizontal="center" vertical="center" wrapText="1"/>
      <protection hidden="1"/>
    </xf>
    <xf numFmtId="0" fontId="55" fillId="0" borderId="93" xfId="0" applyFont="1" applyBorder="1" applyAlignment="1" applyProtection="1">
      <alignment horizontal="center" vertical="center"/>
      <protection hidden="1"/>
    </xf>
    <xf numFmtId="0" fontId="55" fillId="0" borderId="94" xfId="0" applyFont="1" applyBorder="1" applyAlignment="1" applyProtection="1">
      <alignment horizontal="center" vertical="center"/>
      <protection hidden="1"/>
    </xf>
    <xf numFmtId="0" fontId="55" fillId="0" borderId="95" xfId="0" applyFont="1" applyBorder="1" applyAlignment="1" applyProtection="1">
      <alignment horizontal="center" vertical="center"/>
      <protection hidden="1"/>
    </xf>
    <xf numFmtId="14" fontId="69" fillId="17" borderId="49" xfId="0" applyNumberFormat="1" applyFont="1" applyFill="1" applyBorder="1" applyAlignment="1" applyProtection="1">
      <alignment horizontal="center" vertical="center" wrapText="1"/>
      <protection hidden="1"/>
    </xf>
    <xf numFmtId="0" fontId="72" fillId="20" borderId="49" xfId="0" applyFont="1" applyFill="1" applyBorder="1" applyAlignment="1" applyProtection="1">
      <alignment horizontal="center" vertical="center" wrapText="1"/>
      <protection locked="0"/>
    </xf>
    <xf numFmtId="0" fontId="56" fillId="18" borderId="49" xfId="0" applyFont="1" applyFill="1" applyBorder="1" applyAlignment="1" applyProtection="1">
      <alignment horizontal="center" vertical="center" wrapText="1"/>
      <protection hidden="1"/>
    </xf>
    <xf numFmtId="14" fontId="70" fillId="18" borderId="49" xfId="0" applyNumberFormat="1" applyFont="1" applyFill="1" applyBorder="1" applyAlignment="1" applyProtection="1">
      <alignment horizontal="center" vertical="center" wrapText="1"/>
      <protection hidden="1"/>
    </xf>
    <xf numFmtId="0" fontId="70" fillId="18" borderId="49" xfId="0" applyFont="1" applyFill="1" applyBorder="1" applyAlignment="1" applyProtection="1">
      <alignment horizontal="center" vertical="center"/>
      <protection hidden="1"/>
    </xf>
    <xf numFmtId="14" fontId="69" fillId="18" borderId="49" xfId="0" applyNumberFormat="1" applyFont="1" applyFill="1" applyBorder="1" applyAlignment="1" applyProtection="1">
      <alignment horizontal="center" vertical="center" wrapText="1"/>
      <protection hidden="1"/>
    </xf>
    <xf numFmtId="0" fontId="56" fillId="20" borderId="49" xfId="0" applyFont="1" applyFill="1" applyBorder="1" applyAlignment="1">
      <alignment horizontal="center" vertical="center" wrapText="1"/>
    </xf>
    <xf numFmtId="0" fontId="72" fillId="20" borderId="49" xfId="0" applyFont="1" applyFill="1" applyBorder="1" applyAlignment="1">
      <alignment horizontal="center" vertical="center" wrapText="1"/>
    </xf>
    <xf numFmtId="0" fontId="55" fillId="0" borderId="82" xfId="0" applyFont="1" applyBorder="1" applyAlignment="1">
      <alignment horizontal="center" vertical="center" wrapText="1"/>
    </xf>
    <xf numFmtId="0" fontId="55" fillId="0" borderId="83" xfId="0" applyFont="1" applyBorder="1" applyAlignment="1">
      <alignment horizontal="center" vertical="center" wrapText="1"/>
    </xf>
    <xf numFmtId="0" fontId="65" fillId="0" borderId="84" xfId="0" applyFont="1" applyBorder="1" applyAlignment="1">
      <alignment horizontal="left" vertical="center" wrapText="1"/>
    </xf>
    <xf numFmtId="0" fontId="65" fillId="0" borderId="15" xfId="0" applyFont="1" applyBorder="1" applyAlignment="1">
      <alignment horizontal="left" vertical="center" wrapText="1"/>
    </xf>
    <xf numFmtId="0" fontId="55" fillId="0" borderId="47" xfId="0" applyFont="1" applyBorder="1" applyAlignment="1">
      <alignment horizontal="center" vertical="center" wrapText="1"/>
    </xf>
    <xf numFmtId="0" fontId="55" fillId="0" borderId="14" xfId="0" applyFont="1" applyBorder="1" applyAlignment="1">
      <alignment horizontal="center" vertical="center" wrapText="1"/>
    </xf>
    <xf numFmtId="0" fontId="55" fillId="0" borderId="48" xfId="0" applyFont="1" applyBorder="1" applyAlignment="1">
      <alignment horizontal="center" vertical="center" wrapText="1"/>
    </xf>
    <xf numFmtId="0" fontId="55" fillId="0" borderId="16" xfId="0" applyFont="1" applyBorder="1" applyAlignment="1">
      <alignment horizontal="center" vertical="center" wrapText="1"/>
    </xf>
    <xf numFmtId="0" fontId="55" fillId="0" borderId="17" xfId="0" applyFont="1" applyBorder="1" applyAlignment="1">
      <alignment horizontal="center" vertical="center" wrapText="1"/>
    </xf>
    <xf numFmtId="14" fontId="70" fillId="7" borderId="49" xfId="0" applyNumberFormat="1" applyFont="1" applyFill="1" applyBorder="1" applyAlignment="1">
      <alignment horizontal="center" vertical="center" wrapText="1"/>
    </xf>
    <xf numFmtId="0" fontId="70" fillId="7" borderId="49" xfId="0" applyFont="1" applyFill="1" applyBorder="1" applyAlignment="1">
      <alignment horizontal="center" vertical="center"/>
    </xf>
    <xf numFmtId="0" fontId="56" fillId="7" borderId="49" xfId="0" applyFont="1" applyFill="1" applyBorder="1" applyAlignment="1">
      <alignment horizontal="center" vertical="center" wrapText="1"/>
    </xf>
    <xf numFmtId="14" fontId="69" fillId="7" borderId="49" xfId="0" applyNumberFormat="1" applyFont="1" applyFill="1" applyBorder="1" applyAlignment="1">
      <alignment horizontal="center" vertical="center" wrapText="1"/>
    </xf>
    <xf numFmtId="0" fontId="55" fillId="0" borderId="91" xfId="0" applyFont="1" applyBorder="1" applyAlignment="1">
      <alignment horizontal="center" vertical="center"/>
    </xf>
    <xf numFmtId="0" fontId="55" fillId="0" borderId="23" xfId="0" applyFont="1" applyBorder="1" applyAlignment="1">
      <alignment horizontal="center" vertical="center"/>
    </xf>
    <xf numFmtId="0" fontId="55" fillId="0" borderId="92" xfId="0" applyFont="1" applyBorder="1" applyAlignment="1">
      <alignment horizontal="center" vertical="center"/>
    </xf>
    <xf numFmtId="0" fontId="55" fillId="0" borderId="87" xfId="0" applyFont="1" applyBorder="1" applyAlignment="1">
      <alignment horizontal="center" vertical="center"/>
    </xf>
    <xf numFmtId="0" fontId="55" fillId="0" borderId="10" xfId="0" applyFont="1" applyBorder="1" applyAlignment="1">
      <alignment horizontal="center" vertical="center"/>
    </xf>
    <xf numFmtId="0" fontId="55" fillId="0" borderId="88" xfId="0" applyFont="1" applyBorder="1" applyAlignment="1">
      <alignment horizontal="center" vertical="center"/>
    </xf>
    <xf numFmtId="0" fontId="55" fillId="0" borderId="89" xfId="0" applyFont="1" applyBorder="1" applyAlignment="1">
      <alignment horizontal="center" vertical="center"/>
    </xf>
    <xf numFmtId="0" fontId="55" fillId="0" borderId="26" xfId="0" applyFont="1" applyBorder="1" applyAlignment="1">
      <alignment horizontal="center" vertical="center"/>
    </xf>
    <xf numFmtId="0" fontId="55" fillId="0" borderId="90" xfId="0" applyFont="1" applyBorder="1" applyAlignment="1">
      <alignment horizontal="center" vertical="center"/>
    </xf>
    <xf numFmtId="0" fontId="55" fillId="0" borderId="93" xfId="0" applyFont="1" applyBorder="1" applyAlignment="1">
      <alignment horizontal="center" vertical="center"/>
    </xf>
    <xf numFmtId="0" fontId="55" fillId="0" borderId="94" xfId="0" applyFont="1" applyBorder="1" applyAlignment="1">
      <alignment horizontal="center" vertical="center"/>
    </xf>
    <xf numFmtId="0" fontId="55" fillId="0" borderId="95" xfId="0" applyFont="1" applyBorder="1" applyAlignment="1">
      <alignment horizontal="center" vertical="center"/>
    </xf>
    <xf numFmtId="0" fontId="55" fillId="0" borderId="93" xfId="0" applyFont="1" applyBorder="1" applyAlignment="1">
      <alignment horizontal="center" vertical="center" wrapText="1"/>
    </xf>
    <xf numFmtId="0" fontId="55" fillId="0" borderId="94" xfId="0" applyFont="1" applyBorder="1" applyAlignment="1">
      <alignment horizontal="center" vertical="center" wrapText="1"/>
    </xf>
    <xf numFmtId="0" fontId="55" fillId="0" borderId="95" xfId="0" applyFont="1" applyBorder="1" applyAlignment="1">
      <alignment horizontal="center" vertical="center" wrapText="1"/>
    </xf>
    <xf numFmtId="0" fontId="46" fillId="0" borderId="0" xfId="0" applyFont="1" applyAlignment="1">
      <alignment horizontal="center" vertical="center" wrapText="1"/>
    </xf>
    <xf numFmtId="0" fontId="47" fillId="4" borderId="4" xfId="0" applyFont="1" applyFill="1" applyBorder="1" applyAlignment="1" applyProtection="1">
      <alignment horizontal="center" wrapText="1" readingOrder="1"/>
      <protection hidden="1"/>
    </xf>
    <xf numFmtId="0" fontId="47" fillId="4" borderId="0" xfId="0" applyFont="1" applyFill="1" applyAlignment="1" applyProtection="1">
      <alignment horizontal="center" wrapText="1" readingOrder="1"/>
      <protection hidden="1"/>
    </xf>
    <xf numFmtId="0" fontId="47" fillId="4" borderId="5" xfId="0" applyFont="1" applyFill="1" applyBorder="1" applyAlignment="1" applyProtection="1">
      <alignment horizontal="center" wrapText="1" readingOrder="1"/>
      <protection hidden="1"/>
    </xf>
    <xf numFmtId="0" fontId="47" fillId="4" borderId="6" xfId="0" applyFont="1" applyFill="1" applyBorder="1" applyAlignment="1" applyProtection="1">
      <alignment horizontal="center" wrapText="1" readingOrder="1"/>
      <protection hidden="1"/>
    </xf>
    <xf numFmtId="0" fontId="47" fillId="4" borderId="7" xfId="0" applyFont="1" applyFill="1" applyBorder="1" applyAlignment="1" applyProtection="1">
      <alignment horizontal="center" wrapText="1" readingOrder="1"/>
      <protection hidden="1"/>
    </xf>
    <xf numFmtId="0" fontId="47" fillId="4" borderId="8" xfId="0" applyFont="1" applyFill="1" applyBorder="1" applyAlignment="1" applyProtection="1">
      <alignment horizontal="center" wrapText="1" readingOrder="1"/>
      <protection hidden="1"/>
    </xf>
    <xf numFmtId="0" fontId="47" fillId="4" borderId="1" xfId="0" applyFont="1" applyFill="1" applyBorder="1" applyAlignment="1" applyProtection="1">
      <alignment horizontal="center" wrapText="1" readingOrder="1"/>
      <protection hidden="1"/>
    </xf>
    <xf numFmtId="0" fontId="47" fillId="4" borderId="2" xfId="0" applyFont="1" applyFill="1" applyBorder="1" applyAlignment="1" applyProtection="1">
      <alignment horizontal="center" wrapText="1" readingOrder="1"/>
      <protection hidden="1"/>
    </xf>
    <xf numFmtId="0" fontId="47" fillId="4" borderId="3" xfId="0" applyFont="1" applyFill="1" applyBorder="1" applyAlignment="1" applyProtection="1">
      <alignment horizontal="center" wrapText="1" readingOrder="1"/>
      <protection hidden="1"/>
    </xf>
    <xf numFmtId="0" fontId="47" fillId="11" borderId="4" xfId="0" applyFont="1" applyFill="1" applyBorder="1" applyAlignment="1" applyProtection="1">
      <alignment horizontal="center" wrapText="1" readingOrder="1"/>
      <protection hidden="1"/>
    </xf>
    <xf numFmtId="0" fontId="47" fillId="11" borderId="0" xfId="0" applyFont="1" applyFill="1" applyAlignment="1" applyProtection="1">
      <alignment horizontal="center" wrapText="1" readingOrder="1"/>
      <protection hidden="1"/>
    </xf>
    <xf numFmtId="0" fontId="47" fillId="11" borderId="5" xfId="0" applyFont="1" applyFill="1" applyBorder="1" applyAlignment="1" applyProtection="1">
      <alignment horizontal="center" wrapText="1" readingOrder="1"/>
      <protection hidden="1"/>
    </xf>
    <xf numFmtId="0" fontId="47" fillId="11" borderId="6" xfId="0" applyFont="1" applyFill="1" applyBorder="1" applyAlignment="1" applyProtection="1">
      <alignment horizontal="center" wrapText="1" readingOrder="1"/>
      <protection hidden="1"/>
    </xf>
    <xf numFmtId="0" fontId="47" fillId="11" borderId="7" xfId="0" applyFont="1" applyFill="1" applyBorder="1" applyAlignment="1" applyProtection="1">
      <alignment horizontal="center" wrapText="1" readingOrder="1"/>
      <protection hidden="1"/>
    </xf>
    <xf numFmtId="0" fontId="47" fillId="11" borderId="8" xfId="0" applyFont="1" applyFill="1" applyBorder="1" applyAlignment="1" applyProtection="1">
      <alignment horizontal="center" wrapText="1" readingOrder="1"/>
      <protection hidden="1"/>
    </xf>
    <xf numFmtId="0" fontId="47" fillId="11" borderId="1" xfId="0" applyFont="1" applyFill="1" applyBorder="1" applyAlignment="1" applyProtection="1">
      <alignment horizontal="center" wrapText="1" readingOrder="1"/>
      <protection hidden="1"/>
    </xf>
    <xf numFmtId="0" fontId="47" fillId="11" borderId="2" xfId="0" applyFont="1" applyFill="1" applyBorder="1" applyAlignment="1" applyProtection="1">
      <alignment horizontal="center" wrapText="1" readingOrder="1"/>
      <protection hidden="1"/>
    </xf>
    <xf numFmtId="0" fontId="47" fillId="11" borderId="3" xfId="0" applyFont="1" applyFill="1" applyBorder="1" applyAlignment="1" applyProtection="1">
      <alignment horizontal="center" wrapText="1" readingOrder="1"/>
      <protection hidden="1"/>
    </xf>
    <xf numFmtId="0" fontId="47" fillId="9" borderId="4" xfId="0" applyFont="1" applyFill="1" applyBorder="1" applyAlignment="1" applyProtection="1">
      <alignment horizontal="center" vertical="center" wrapText="1" readingOrder="1"/>
      <protection hidden="1"/>
    </xf>
    <xf numFmtId="0" fontId="47" fillId="9" borderId="0" xfId="0" applyFont="1" applyFill="1" applyAlignment="1" applyProtection="1">
      <alignment horizontal="center" vertical="center" wrapText="1" readingOrder="1"/>
      <protection hidden="1"/>
    </xf>
    <xf numFmtId="0" fontId="47" fillId="9" borderId="5" xfId="0" applyFont="1" applyFill="1" applyBorder="1" applyAlignment="1" applyProtection="1">
      <alignment horizontal="center" vertical="center" wrapText="1" readingOrder="1"/>
      <protection hidden="1"/>
    </xf>
    <xf numFmtId="0" fontId="47" fillId="9" borderId="6" xfId="0" applyFont="1" applyFill="1" applyBorder="1" applyAlignment="1" applyProtection="1">
      <alignment horizontal="center" vertical="center" wrapText="1" readingOrder="1"/>
      <protection hidden="1"/>
    </xf>
    <xf numFmtId="0" fontId="47" fillId="9" borderId="7" xfId="0" applyFont="1" applyFill="1" applyBorder="1" applyAlignment="1" applyProtection="1">
      <alignment horizontal="center" vertical="center" wrapText="1" readingOrder="1"/>
      <protection hidden="1"/>
    </xf>
    <xf numFmtId="0" fontId="47" fillId="9" borderId="8" xfId="0" applyFont="1" applyFill="1" applyBorder="1" applyAlignment="1" applyProtection="1">
      <alignment horizontal="center" vertical="center" wrapText="1" readingOrder="1"/>
      <protection hidden="1"/>
    </xf>
    <xf numFmtId="0" fontId="47" fillId="9" borderId="1" xfId="0" applyFont="1" applyFill="1" applyBorder="1" applyAlignment="1" applyProtection="1">
      <alignment horizontal="center" vertical="center" wrapText="1" readingOrder="1"/>
      <protection hidden="1"/>
    </xf>
    <xf numFmtId="0" fontId="47" fillId="9" borderId="2" xfId="0" applyFont="1" applyFill="1" applyBorder="1" applyAlignment="1" applyProtection="1">
      <alignment horizontal="center" vertical="center" wrapText="1" readingOrder="1"/>
      <protection hidden="1"/>
    </xf>
    <xf numFmtId="0" fontId="47" fillId="9" borderId="3" xfId="0" applyFont="1" applyFill="1" applyBorder="1" applyAlignment="1" applyProtection="1">
      <alignment horizontal="center" vertical="center" wrapText="1" readingOrder="1"/>
      <protection hidden="1"/>
    </xf>
    <xf numFmtId="0" fontId="47" fillId="10" borderId="0" xfId="0" applyFont="1" applyFill="1" applyAlignment="1" applyProtection="1">
      <alignment horizontal="center" wrapText="1" readingOrder="1"/>
      <protection hidden="1"/>
    </xf>
    <xf numFmtId="0" fontId="47" fillId="10" borderId="5" xfId="0" applyFont="1" applyFill="1" applyBorder="1" applyAlignment="1" applyProtection="1">
      <alignment horizontal="center" wrapText="1" readingOrder="1"/>
      <protection hidden="1"/>
    </xf>
    <xf numFmtId="0" fontId="47" fillId="10" borderId="4" xfId="0" applyFont="1" applyFill="1" applyBorder="1" applyAlignment="1" applyProtection="1">
      <alignment horizontal="center" wrapText="1" readingOrder="1"/>
      <protection hidden="1"/>
    </xf>
    <xf numFmtId="0" fontId="47" fillId="10" borderId="6" xfId="0" applyFont="1" applyFill="1" applyBorder="1" applyAlignment="1" applyProtection="1">
      <alignment horizontal="center" wrapText="1" readingOrder="1"/>
      <protection hidden="1"/>
    </xf>
    <xf numFmtId="0" fontId="47" fillId="10" borderId="7" xfId="0" applyFont="1" applyFill="1" applyBorder="1" applyAlignment="1" applyProtection="1">
      <alignment horizontal="center" wrapText="1" readingOrder="1"/>
      <protection hidden="1"/>
    </xf>
    <xf numFmtId="0" fontId="47" fillId="10" borderId="8" xfId="0" applyFont="1" applyFill="1" applyBorder="1" applyAlignment="1" applyProtection="1">
      <alignment horizontal="center" wrapText="1" readingOrder="1"/>
      <protection hidden="1"/>
    </xf>
    <xf numFmtId="0" fontId="47" fillId="10" borderId="1" xfId="0" applyFont="1" applyFill="1" applyBorder="1" applyAlignment="1" applyProtection="1">
      <alignment horizontal="center" wrapText="1" readingOrder="1"/>
      <protection hidden="1"/>
    </xf>
    <xf numFmtId="0" fontId="47" fillId="10" borderId="2" xfId="0" applyFont="1" applyFill="1" applyBorder="1" applyAlignment="1" applyProtection="1">
      <alignment horizontal="center" wrapText="1" readingOrder="1"/>
      <protection hidden="1"/>
    </xf>
    <xf numFmtId="0" fontId="47" fillId="10" borderId="3" xfId="0" applyFont="1" applyFill="1" applyBorder="1" applyAlignment="1" applyProtection="1">
      <alignment horizontal="center" wrapText="1" readingOrder="1"/>
      <protection hidden="1"/>
    </xf>
    <xf numFmtId="0" fontId="48" fillId="14" borderId="0" xfId="0" applyFont="1" applyFill="1" applyAlignment="1">
      <alignment horizontal="center" vertical="center" wrapText="1" readingOrder="1"/>
    </xf>
    <xf numFmtId="0" fontId="49" fillId="0" borderId="1" xfId="0" applyFont="1" applyBorder="1" applyAlignment="1">
      <alignment horizontal="center" vertical="center" wrapText="1"/>
    </xf>
    <xf numFmtId="0" fontId="49" fillId="0" borderId="2" xfId="0" applyFont="1" applyBorder="1" applyAlignment="1">
      <alignment horizontal="center" vertical="center"/>
    </xf>
    <xf numFmtId="0" fontId="49" fillId="0" borderId="3" xfId="0" applyFont="1" applyBorder="1" applyAlignment="1">
      <alignment horizontal="center" vertical="center"/>
    </xf>
    <xf numFmtId="0" fontId="49" fillId="0" borderId="4" xfId="0" applyFont="1" applyBorder="1" applyAlignment="1">
      <alignment horizontal="center" vertical="center"/>
    </xf>
    <xf numFmtId="0" fontId="49" fillId="0" borderId="0" xfId="0" applyFont="1" applyAlignment="1">
      <alignment horizontal="center" vertical="center"/>
    </xf>
    <xf numFmtId="0" fontId="49" fillId="0" borderId="5" xfId="0" applyFont="1" applyBorder="1" applyAlignment="1">
      <alignment horizontal="center" vertical="center"/>
    </xf>
    <xf numFmtId="0" fontId="49" fillId="0" borderId="6" xfId="0" applyFont="1" applyBorder="1" applyAlignment="1">
      <alignment horizontal="center" vertical="center"/>
    </xf>
    <xf numFmtId="0" fontId="49" fillId="0" borderId="7" xfId="0" applyFont="1" applyBorder="1" applyAlignment="1">
      <alignment horizontal="center" vertical="center"/>
    </xf>
    <xf numFmtId="0" fontId="49" fillId="0" borderId="8" xfId="0" applyFont="1" applyBorder="1" applyAlignment="1">
      <alignment horizontal="center" vertical="center"/>
    </xf>
    <xf numFmtId="0" fontId="49" fillId="0" borderId="2" xfId="0" applyFont="1" applyBorder="1" applyAlignment="1">
      <alignment horizontal="center" vertical="center" wrapText="1"/>
    </xf>
    <xf numFmtId="0" fontId="50" fillId="10" borderId="63" xfId="0" applyFont="1" applyFill="1" applyBorder="1" applyAlignment="1">
      <alignment horizontal="center" vertical="center" wrapText="1" readingOrder="1"/>
    </xf>
    <xf numFmtId="0" fontId="50" fillId="10" borderId="64" xfId="0" applyFont="1" applyFill="1" applyBorder="1" applyAlignment="1">
      <alignment horizontal="center" vertical="center" wrapText="1" readingOrder="1"/>
    </xf>
    <xf numFmtId="0" fontId="50" fillId="10" borderId="65" xfId="0" applyFont="1" applyFill="1" applyBorder="1" applyAlignment="1">
      <alignment horizontal="center" vertical="center" wrapText="1" readingOrder="1"/>
    </xf>
    <xf numFmtId="0" fontId="50" fillId="10" borderId="66" xfId="0" applyFont="1" applyFill="1" applyBorder="1" applyAlignment="1">
      <alignment horizontal="center" vertical="center" wrapText="1" readingOrder="1"/>
    </xf>
    <xf numFmtId="0" fontId="50" fillId="10" borderId="0" xfId="0" applyFont="1" applyFill="1" applyAlignment="1">
      <alignment horizontal="center" vertical="center" wrapText="1" readingOrder="1"/>
    </xf>
    <xf numFmtId="0" fontId="50" fillId="10" borderId="67" xfId="0" applyFont="1" applyFill="1" applyBorder="1" applyAlignment="1">
      <alignment horizontal="center" vertical="center" wrapText="1" readingOrder="1"/>
    </xf>
    <xf numFmtId="0" fontId="50" fillId="10" borderId="68" xfId="0" applyFont="1" applyFill="1" applyBorder="1" applyAlignment="1">
      <alignment horizontal="center" vertical="center" wrapText="1" readingOrder="1"/>
    </xf>
    <xf numFmtId="0" fontId="50" fillId="10" borderId="69" xfId="0" applyFont="1" applyFill="1" applyBorder="1" applyAlignment="1">
      <alignment horizontal="center" vertical="center" wrapText="1" readingOrder="1"/>
    </xf>
    <xf numFmtId="0" fontId="50" fillId="10" borderId="70" xfId="0" applyFont="1" applyFill="1" applyBorder="1" applyAlignment="1">
      <alignment horizontal="center" vertical="center" wrapText="1" readingOrder="1"/>
    </xf>
    <xf numFmtId="0" fontId="50" fillId="9" borderId="63" xfId="0" applyFont="1" applyFill="1" applyBorder="1" applyAlignment="1">
      <alignment horizontal="center" vertical="center" wrapText="1" readingOrder="1"/>
    </xf>
    <xf numFmtId="0" fontId="50" fillId="9" borderId="64" xfId="0" applyFont="1" applyFill="1" applyBorder="1" applyAlignment="1">
      <alignment horizontal="center" vertical="center" wrapText="1" readingOrder="1"/>
    </xf>
    <xf numFmtId="0" fontId="50" fillId="9" borderId="65" xfId="0" applyFont="1" applyFill="1" applyBorder="1" applyAlignment="1">
      <alignment horizontal="center" vertical="center" wrapText="1" readingOrder="1"/>
    </xf>
    <xf numFmtId="0" fontId="50" fillId="9" borderId="66" xfId="0" applyFont="1" applyFill="1" applyBorder="1" applyAlignment="1">
      <alignment horizontal="center" vertical="center" wrapText="1" readingOrder="1"/>
    </xf>
    <xf numFmtId="0" fontId="50" fillId="9" borderId="0" xfId="0" applyFont="1" applyFill="1" applyAlignment="1">
      <alignment horizontal="center" vertical="center" wrapText="1" readingOrder="1"/>
    </xf>
    <xf numFmtId="0" fontId="50" fillId="9" borderId="67" xfId="0" applyFont="1" applyFill="1" applyBorder="1" applyAlignment="1">
      <alignment horizontal="center" vertical="center" wrapText="1" readingOrder="1"/>
    </xf>
    <xf numFmtId="0" fontId="50" fillId="9" borderId="68" xfId="0" applyFont="1" applyFill="1" applyBorder="1" applyAlignment="1">
      <alignment horizontal="center" vertical="center" wrapText="1" readingOrder="1"/>
    </xf>
    <xf numFmtId="0" fontId="50" fillId="9" borderId="69" xfId="0" applyFont="1" applyFill="1" applyBorder="1" applyAlignment="1">
      <alignment horizontal="center" vertical="center" wrapText="1" readingOrder="1"/>
    </xf>
    <xf numFmtId="0" fontId="50" fillId="9" borderId="70" xfId="0" applyFont="1" applyFill="1" applyBorder="1" applyAlignment="1">
      <alignment horizontal="center" vertical="center" wrapText="1" readingOrder="1"/>
    </xf>
    <xf numFmtId="0" fontId="50" fillId="11" borderId="63" xfId="0" applyFont="1" applyFill="1" applyBorder="1" applyAlignment="1">
      <alignment horizontal="center" vertical="center" wrapText="1" readingOrder="1"/>
    </xf>
    <xf numFmtId="0" fontId="50" fillId="11" borderId="64" xfId="0" applyFont="1" applyFill="1" applyBorder="1" applyAlignment="1">
      <alignment horizontal="center" vertical="center" wrapText="1" readingOrder="1"/>
    </xf>
    <xf numFmtId="0" fontId="50" fillId="11" borderId="65" xfId="0" applyFont="1" applyFill="1" applyBorder="1" applyAlignment="1">
      <alignment horizontal="center" vertical="center" wrapText="1" readingOrder="1"/>
    </xf>
    <xf numFmtId="0" fontId="50" fillId="11" borderId="66" xfId="0" applyFont="1" applyFill="1" applyBorder="1" applyAlignment="1">
      <alignment horizontal="center" vertical="center" wrapText="1" readingOrder="1"/>
    </xf>
    <xf numFmtId="0" fontId="50" fillId="11" borderId="0" xfId="0" applyFont="1" applyFill="1" applyAlignment="1">
      <alignment horizontal="center" vertical="center" wrapText="1" readingOrder="1"/>
    </xf>
    <xf numFmtId="0" fontId="50" fillId="11" borderId="67" xfId="0" applyFont="1" applyFill="1" applyBorder="1" applyAlignment="1">
      <alignment horizontal="center" vertical="center" wrapText="1" readingOrder="1"/>
    </xf>
    <xf numFmtId="0" fontId="50" fillId="11" borderId="68" xfId="0" applyFont="1" applyFill="1" applyBorder="1" applyAlignment="1">
      <alignment horizontal="center" vertical="center" wrapText="1" readingOrder="1"/>
    </xf>
    <xf numFmtId="0" fontId="50" fillId="11" borderId="69" xfId="0" applyFont="1" applyFill="1" applyBorder="1" applyAlignment="1">
      <alignment horizontal="center" vertical="center" wrapText="1" readingOrder="1"/>
    </xf>
    <xf numFmtId="0" fontId="50" fillId="11" borderId="70" xfId="0" applyFont="1" applyFill="1" applyBorder="1" applyAlignment="1">
      <alignment horizontal="center" vertical="center" wrapText="1" readingOrder="1"/>
    </xf>
    <xf numFmtId="0" fontId="50" fillId="4" borderId="63" xfId="0" applyFont="1" applyFill="1" applyBorder="1" applyAlignment="1">
      <alignment horizontal="center" vertical="center" wrapText="1" readingOrder="1"/>
    </xf>
    <xf numFmtId="0" fontId="50" fillId="4" borderId="64" xfId="0" applyFont="1" applyFill="1" applyBorder="1" applyAlignment="1">
      <alignment horizontal="center" vertical="center" wrapText="1" readingOrder="1"/>
    </xf>
    <xf numFmtId="0" fontId="50" fillId="4" borderId="65" xfId="0" applyFont="1" applyFill="1" applyBorder="1" applyAlignment="1">
      <alignment horizontal="center" vertical="center" wrapText="1" readingOrder="1"/>
    </xf>
    <xf numFmtId="0" fontId="50" fillId="4" borderId="66" xfId="0" applyFont="1" applyFill="1" applyBorder="1" applyAlignment="1">
      <alignment horizontal="center" vertical="center" wrapText="1" readingOrder="1"/>
    </xf>
    <xf numFmtId="0" fontId="50" fillId="4" borderId="0" xfId="0" applyFont="1" applyFill="1" applyAlignment="1">
      <alignment horizontal="center" vertical="center" wrapText="1" readingOrder="1"/>
    </xf>
    <xf numFmtId="0" fontId="50" fillId="4" borderId="67" xfId="0" applyFont="1" applyFill="1" applyBorder="1" applyAlignment="1">
      <alignment horizontal="center" vertical="center" wrapText="1" readingOrder="1"/>
    </xf>
    <xf numFmtId="0" fontId="50" fillId="4" borderId="68" xfId="0" applyFont="1" applyFill="1" applyBorder="1" applyAlignment="1">
      <alignment horizontal="center" vertical="center" wrapText="1" readingOrder="1"/>
    </xf>
    <xf numFmtId="0" fontId="50" fillId="4" borderId="69" xfId="0" applyFont="1" applyFill="1" applyBorder="1" applyAlignment="1">
      <alignment horizontal="center" vertical="center" wrapText="1" readingOrder="1"/>
    </xf>
    <xf numFmtId="0" fontId="50" fillId="4" borderId="70" xfId="0" applyFont="1" applyFill="1" applyBorder="1" applyAlignment="1">
      <alignment horizontal="center" vertical="center" wrapText="1" readingOrder="1"/>
    </xf>
    <xf numFmtId="0" fontId="48" fillId="14" borderId="0" xfId="0" applyFont="1" applyFill="1" applyAlignment="1">
      <alignment horizontal="center" vertical="center" textRotation="90" wrapText="1" readingOrder="1"/>
    </xf>
    <xf numFmtId="0" fontId="48" fillId="14" borderId="5" xfId="0" applyFont="1" applyFill="1" applyBorder="1" applyAlignment="1">
      <alignment horizontal="center" vertical="center" textRotation="90" wrapText="1" readingOrder="1"/>
    </xf>
    <xf numFmtId="0" fontId="52" fillId="0" borderId="1" xfId="0" applyFont="1" applyBorder="1" applyAlignment="1">
      <alignment horizontal="center" vertical="center" wrapText="1"/>
    </xf>
    <xf numFmtId="0" fontId="52" fillId="0" borderId="2" xfId="0" applyFont="1" applyBorder="1" applyAlignment="1">
      <alignment horizontal="center" vertical="center"/>
    </xf>
    <xf numFmtId="0" fontId="52" fillId="0" borderId="3" xfId="0" applyFont="1" applyBorder="1" applyAlignment="1">
      <alignment horizontal="center" vertical="center"/>
    </xf>
    <xf numFmtId="0" fontId="52" fillId="0" borderId="4" xfId="0" applyFont="1" applyBorder="1" applyAlignment="1">
      <alignment horizontal="center" vertical="center"/>
    </xf>
    <xf numFmtId="0" fontId="52" fillId="0" borderId="0" xfId="0" applyFont="1" applyAlignment="1">
      <alignment horizontal="center" vertical="center"/>
    </xf>
    <xf numFmtId="0" fontId="52" fillId="0" borderId="5" xfId="0" applyFont="1" applyBorder="1" applyAlignment="1">
      <alignment horizontal="center" vertical="center"/>
    </xf>
    <xf numFmtId="0" fontId="52" fillId="0" borderId="6" xfId="0" applyFont="1" applyBorder="1" applyAlignment="1">
      <alignment horizontal="center" vertical="center"/>
    </xf>
    <xf numFmtId="0" fontId="52" fillId="0" borderId="7" xfId="0" applyFont="1" applyBorder="1" applyAlignment="1">
      <alignment horizontal="center" vertical="center"/>
    </xf>
    <xf numFmtId="0" fontId="52" fillId="0" borderId="8" xfId="0" applyFont="1" applyBorder="1" applyAlignment="1">
      <alignment horizontal="center" vertical="center"/>
    </xf>
    <xf numFmtId="0" fontId="52" fillId="0" borderId="2" xfId="0" applyFont="1" applyBorder="1" applyAlignment="1">
      <alignment horizontal="center" vertical="center" wrapText="1"/>
    </xf>
    <xf numFmtId="0" fontId="52" fillId="0" borderId="4" xfId="0" applyFont="1" applyBorder="1" applyAlignment="1">
      <alignment horizontal="center" vertical="center" wrapText="1"/>
    </xf>
    <xf numFmtId="0" fontId="51" fillId="10" borderId="63" xfId="0" applyFont="1" applyFill="1" applyBorder="1" applyAlignment="1">
      <alignment horizontal="center" vertical="center" wrapText="1" readingOrder="1"/>
    </xf>
    <xf numFmtId="0" fontId="51" fillId="10" borderId="64" xfId="0" applyFont="1" applyFill="1" applyBorder="1" applyAlignment="1">
      <alignment horizontal="center" vertical="center" wrapText="1" readingOrder="1"/>
    </xf>
    <xf numFmtId="0" fontId="51" fillId="10" borderId="65" xfId="0" applyFont="1" applyFill="1" applyBorder="1" applyAlignment="1">
      <alignment horizontal="center" vertical="center" wrapText="1" readingOrder="1"/>
    </xf>
    <xf numFmtId="0" fontId="51" fillId="10" borderId="66" xfId="0" applyFont="1" applyFill="1" applyBorder="1" applyAlignment="1">
      <alignment horizontal="center" vertical="center" wrapText="1" readingOrder="1"/>
    </xf>
    <xf numFmtId="0" fontId="51" fillId="10" borderId="0" xfId="0" applyFont="1" applyFill="1" applyAlignment="1">
      <alignment horizontal="center" vertical="center" wrapText="1" readingOrder="1"/>
    </xf>
    <xf numFmtId="0" fontId="51" fillId="10" borderId="67" xfId="0" applyFont="1" applyFill="1" applyBorder="1" applyAlignment="1">
      <alignment horizontal="center" vertical="center" wrapText="1" readingOrder="1"/>
    </xf>
    <xf numFmtId="0" fontId="51" fillId="10" borderId="68" xfId="0" applyFont="1" applyFill="1" applyBorder="1" applyAlignment="1">
      <alignment horizontal="center" vertical="center" wrapText="1" readingOrder="1"/>
    </xf>
    <xf numFmtId="0" fontId="51" fillId="10" borderId="69" xfId="0" applyFont="1" applyFill="1" applyBorder="1" applyAlignment="1">
      <alignment horizontal="center" vertical="center" wrapText="1" readingOrder="1"/>
    </xf>
    <xf numFmtId="0" fontId="51" fillId="10" borderId="70" xfId="0" applyFont="1" applyFill="1" applyBorder="1" applyAlignment="1">
      <alignment horizontal="center" vertical="center" wrapText="1" readingOrder="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1" fillId="4" borderId="63" xfId="0" applyFont="1" applyFill="1" applyBorder="1" applyAlignment="1">
      <alignment horizontal="center" vertical="center" wrapText="1" readingOrder="1"/>
    </xf>
    <xf numFmtId="0" fontId="51" fillId="4" borderId="64" xfId="0" applyFont="1" applyFill="1" applyBorder="1" applyAlignment="1">
      <alignment horizontal="center" vertical="center" wrapText="1" readingOrder="1"/>
    </xf>
    <xf numFmtId="0" fontId="51" fillId="4" borderId="65" xfId="0" applyFont="1" applyFill="1" applyBorder="1" applyAlignment="1">
      <alignment horizontal="center" vertical="center" wrapText="1" readingOrder="1"/>
    </xf>
    <xf numFmtId="0" fontId="51" fillId="4" borderId="66" xfId="0" applyFont="1" applyFill="1" applyBorder="1" applyAlignment="1">
      <alignment horizontal="center" vertical="center" wrapText="1" readingOrder="1"/>
    </xf>
    <xf numFmtId="0" fontId="51" fillId="4" borderId="0" xfId="0" applyFont="1" applyFill="1" applyAlignment="1">
      <alignment horizontal="center" vertical="center" wrapText="1" readingOrder="1"/>
    </xf>
    <xf numFmtId="0" fontId="51" fillId="4" borderId="67" xfId="0" applyFont="1" applyFill="1" applyBorder="1" applyAlignment="1">
      <alignment horizontal="center" vertical="center" wrapText="1" readingOrder="1"/>
    </xf>
    <xf numFmtId="0" fontId="51" fillId="4" borderId="68" xfId="0" applyFont="1" applyFill="1" applyBorder="1" applyAlignment="1">
      <alignment horizontal="center" vertical="center" wrapText="1" readingOrder="1"/>
    </xf>
    <xf numFmtId="0" fontId="51" fillId="4" borderId="69" xfId="0" applyFont="1" applyFill="1" applyBorder="1" applyAlignment="1">
      <alignment horizontal="center" vertical="center" wrapText="1" readingOrder="1"/>
    </xf>
    <xf numFmtId="0" fontId="51" fillId="4" borderId="70" xfId="0" applyFont="1" applyFill="1" applyBorder="1" applyAlignment="1">
      <alignment horizontal="center" vertical="center" wrapText="1" readingOrder="1"/>
    </xf>
    <xf numFmtId="0" fontId="51" fillId="9" borderId="63" xfId="0" applyFont="1" applyFill="1" applyBorder="1" applyAlignment="1">
      <alignment horizontal="center" vertical="center" wrapText="1" readingOrder="1"/>
    </xf>
    <xf numFmtId="0" fontId="51" fillId="9" borderId="64" xfId="0" applyFont="1" applyFill="1" applyBorder="1" applyAlignment="1">
      <alignment horizontal="center" vertical="center" wrapText="1" readingOrder="1"/>
    </xf>
    <xf numFmtId="0" fontId="51" fillId="9" borderId="65" xfId="0" applyFont="1" applyFill="1" applyBorder="1" applyAlignment="1">
      <alignment horizontal="center" vertical="center" wrapText="1" readingOrder="1"/>
    </xf>
    <xf numFmtId="0" fontId="51" fillId="9" borderId="66" xfId="0" applyFont="1" applyFill="1" applyBorder="1" applyAlignment="1">
      <alignment horizontal="center" vertical="center" wrapText="1" readingOrder="1"/>
    </xf>
    <xf numFmtId="0" fontId="51" fillId="9" borderId="0" xfId="0" applyFont="1" applyFill="1" applyAlignment="1">
      <alignment horizontal="center" vertical="center" wrapText="1" readingOrder="1"/>
    </xf>
    <xf numFmtId="0" fontId="51" fillId="9" borderId="67" xfId="0" applyFont="1" applyFill="1" applyBorder="1" applyAlignment="1">
      <alignment horizontal="center" vertical="center" wrapText="1" readingOrder="1"/>
    </xf>
    <xf numFmtId="0" fontId="51" fillId="9" borderId="68" xfId="0" applyFont="1" applyFill="1" applyBorder="1" applyAlignment="1">
      <alignment horizontal="center" vertical="center" wrapText="1" readingOrder="1"/>
    </xf>
    <xf numFmtId="0" fontId="51" fillId="9" borderId="69" xfId="0" applyFont="1" applyFill="1" applyBorder="1" applyAlignment="1">
      <alignment horizontal="center" vertical="center" wrapText="1" readingOrder="1"/>
    </xf>
    <xf numFmtId="0" fontId="51" fillId="9" borderId="70" xfId="0" applyFont="1" applyFill="1" applyBorder="1" applyAlignment="1">
      <alignment horizontal="center" vertical="center" wrapText="1" readingOrder="1"/>
    </xf>
    <xf numFmtId="0" fontId="51" fillId="11" borderId="63" xfId="0" applyFont="1" applyFill="1" applyBorder="1" applyAlignment="1">
      <alignment horizontal="center" vertical="center" wrapText="1" readingOrder="1"/>
    </xf>
    <xf numFmtId="0" fontId="51" fillId="11" borderId="64" xfId="0" applyFont="1" applyFill="1" applyBorder="1" applyAlignment="1">
      <alignment horizontal="center" vertical="center" wrapText="1" readingOrder="1"/>
    </xf>
    <xf numFmtId="0" fontId="51" fillId="11" borderId="65" xfId="0" applyFont="1" applyFill="1" applyBorder="1" applyAlignment="1">
      <alignment horizontal="center" vertical="center" wrapText="1" readingOrder="1"/>
    </xf>
    <xf numFmtId="0" fontId="51" fillId="11" borderId="66" xfId="0" applyFont="1" applyFill="1" applyBorder="1" applyAlignment="1">
      <alignment horizontal="center" vertical="center" wrapText="1" readingOrder="1"/>
    </xf>
    <xf numFmtId="0" fontId="51" fillId="11" borderId="0" xfId="0" applyFont="1" applyFill="1" applyAlignment="1">
      <alignment horizontal="center" vertical="center" wrapText="1" readingOrder="1"/>
    </xf>
    <xf numFmtId="0" fontId="51" fillId="11" borderId="67" xfId="0" applyFont="1" applyFill="1" applyBorder="1" applyAlignment="1">
      <alignment horizontal="center" vertical="center" wrapText="1" readingOrder="1"/>
    </xf>
    <xf numFmtId="0" fontId="51" fillId="11" borderId="68" xfId="0" applyFont="1" applyFill="1" applyBorder="1" applyAlignment="1">
      <alignment horizontal="center" vertical="center" wrapText="1" readingOrder="1"/>
    </xf>
    <xf numFmtId="0" fontId="51" fillId="11" borderId="69" xfId="0" applyFont="1" applyFill="1" applyBorder="1" applyAlignment="1">
      <alignment horizontal="center" vertical="center" wrapText="1" readingOrder="1"/>
    </xf>
    <xf numFmtId="0" fontId="51" fillId="11" borderId="70" xfId="0" applyFont="1" applyFill="1" applyBorder="1" applyAlignment="1">
      <alignment horizontal="center" vertical="center" wrapText="1" readingOrder="1"/>
    </xf>
    <xf numFmtId="0" fontId="55" fillId="0" borderId="0" xfId="0" applyFont="1" applyAlignment="1">
      <alignment horizontal="center" vertical="center"/>
    </xf>
    <xf numFmtId="0" fontId="56" fillId="19" borderId="49" xfId="0" applyFont="1" applyFill="1" applyBorder="1" applyAlignment="1">
      <alignment horizontal="center" vertical="center" wrapText="1"/>
    </xf>
    <xf numFmtId="14" fontId="69" fillId="19" borderId="49" xfId="0" applyNumberFormat="1" applyFont="1" applyFill="1" applyBorder="1" applyAlignment="1">
      <alignment horizontal="center" vertical="center" wrapText="1"/>
    </xf>
    <xf numFmtId="14" fontId="70" fillId="19" borderId="49" xfId="0" applyNumberFormat="1" applyFont="1" applyFill="1" applyBorder="1" applyAlignment="1">
      <alignment horizontal="center" vertical="center" wrapText="1"/>
    </xf>
    <xf numFmtId="0" fontId="70" fillId="19" borderId="49" xfId="0" applyFont="1" applyFill="1" applyBorder="1" applyAlignment="1">
      <alignment horizontal="center" vertical="center"/>
    </xf>
    <xf numFmtId="14" fontId="70" fillId="16" borderId="49" xfId="0" applyNumberFormat="1" applyFont="1" applyFill="1" applyBorder="1" applyAlignment="1">
      <alignment horizontal="center" vertical="center" wrapText="1"/>
    </xf>
    <xf numFmtId="0" fontId="70" fillId="16" borderId="49" xfId="0" applyFont="1" applyFill="1" applyBorder="1" applyAlignment="1">
      <alignment horizontal="center" vertical="center"/>
    </xf>
    <xf numFmtId="0" fontId="68" fillId="16"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14" fontId="69" fillId="16" borderId="49" xfId="0" applyNumberFormat="1" applyFont="1" applyFill="1" applyBorder="1" applyAlignment="1">
      <alignment horizontal="center" vertical="center" wrapText="1"/>
    </xf>
    <xf numFmtId="0" fontId="56" fillId="0" borderId="0" xfId="0" applyFont="1" applyAlignment="1">
      <alignment horizontal="center" vertical="center"/>
    </xf>
    <xf numFmtId="0" fontId="57" fillId="12" borderId="42" xfId="0" applyFont="1" applyFill="1" applyBorder="1" applyAlignment="1">
      <alignment horizontal="center" vertical="center" wrapText="1" readingOrder="1"/>
    </xf>
    <xf numFmtId="0" fontId="57" fillId="12" borderId="43" xfId="0" applyFont="1" applyFill="1" applyBorder="1" applyAlignment="1">
      <alignment horizontal="center" vertical="center" wrapText="1" readingOrder="1"/>
    </xf>
    <xf numFmtId="0" fontId="57" fillId="12" borderId="44" xfId="0" applyFont="1" applyFill="1" applyBorder="1" applyAlignment="1">
      <alignment horizontal="center" vertical="center" wrapText="1" readingOrder="1"/>
    </xf>
    <xf numFmtId="0" fontId="58" fillId="2" borderId="0" xfId="0" applyFont="1" applyFill="1" applyAlignment="1">
      <alignment horizontal="justify" vertical="center" wrapText="1"/>
    </xf>
    <xf numFmtId="0" fontId="43" fillId="12" borderId="45" xfId="0" applyFont="1" applyFill="1" applyBorder="1" applyAlignment="1">
      <alignment horizontal="center" vertical="center" wrapText="1" readingOrder="1"/>
    </xf>
    <xf numFmtId="0" fontId="43" fillId="12" borderId="18" xfId="0" applyFont="1" applyFill="1" applyBorder="1" applyAlignment="1">
      <alignment horizontal="center" vertical="center" wrapText="1" readingOrder="1"/>
    </xf>
    <xf numFmtId="0" fontId="43" fillId="2" borderId="46" xfId="0" applyFont="1" applyFill="1" applyBorder="1" applyAlignment="1">
      <alignment horizontal="center" vertical="center" wrapText="1" readingOrder="1"/>
    </xf>
    <xf numFmtId="0" fontId="43" fillId="2" borderId="47" xfId="0" applyFont="1" applyFill="1" applyBorder="1" applyAlignment="1">
      <alignment horizontal="center" vertical="center" wrapText="1" readingOrder="1"/>
    </xf>
    <xf numFmtId="0" fontId="43" fillId="2" borderId="12" xfId="0"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3" fillId="2" borderId="48"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xf numFmtId="0" fontId="75" fillId="0" borderId="49" xfId="0" applyFont="1" applyFill="1" applyBorder="1" applyAlignment="1" applyProtection="1">
      <alignment horizontal="center" vertical="center" wrapText="1"/>
      <protection hidden="1"/>
    </xf>
    <xf numFmtId="0" fontId="75" fillId="0" borderId="49" xfId="0" applyFont="1" applyFill="1" applyBorder="1" applyAlignment="1" applyProtection="1">
      <alignment horizontal="justify" vertical="center" wrapText="1"/>
      <protection hidden="1"/>
    </xf>
    <xf numFmtId="0" fontId="78" fillId="0" borderId="49" xfId="0" applyFont="1" applyFill="1" applyBorder="1" applyAlignment="1" applyProtection="1">
      <alignment horizontal="justify" vertical="center" wrapText="1"/>
      <protection hidden="1"/>
    </xf>
    <xf numFmtId="0" fontId="75" fillId="0" borderId="49" xfId="0" applyFont="1" applyFill="1" applyBorder="1" applyAlignment="1" applyProtection="1">
      <alignment horizontal="center" vertical="center" textRotation="90"/>
      <protection hidden="1"/>
    </xf>
    <xf numFmtId="9" fontId="75" fillId="0" borderId="49" xfId="0" applyNumberFormat="1" applyFont="1" applyFill="1" applyBorder="1" applyAlignment="1" applyProtection="1">
      <alignment horizontal="center" vertical="center"/>
      <protection hidden="1"/>
    </xf>
    <xf numFmtId="0" fontId="78" fillId="0" borderId="57" xfId="0" applyFont="1" applyFill="1" applyBorder="1" applyAlignment="1" applyProtection="1">
      <alignment horizontal="center" vertical="center"/>
      <protection hidden="1"/>
    </xf>
    <xf numFmtId="0" fontId="78" fillId="0" borderId="58" xfId="0" applyFont="1" applyFill="1" applyBorder="1" applyAlignment="1" applyProtection="1">
      <alignment horizontal="center" vertical="center"/>
      <protection hidden="1"/>
    </xf>
    <xf numFmtId="0" fontId="78" fillId="0" borderId="50" xfId="0" applyFont="1" applyFill="1" applyBorder="1" applyAlignment="1" applyProtection="1">
      <alignment horizontal="center" vertical="center"/>
      <protection hidden="1"/>
    </xf>
    <xf numFmtId="0" fontId="75" fillId="0" borderId="14" xfId="0" applyFont="1" applyBorder="1" applyAlignment="1" applyProtection="1">
      <alignment horizontal="center" vertical="center" wrapText="1"/>
      <protection hidden="1"/>
    </xf>
    <xf numFmtId="0" fontId="75" fillId="0" borderId="104" xfId="0" applyFont="1" applyBorder="1" applyAlignment="1" applyProtection="1">
      <alignment horizontal="center" vertical="center" wrapText="1"/>
      <protection hidden="1"/>
    </xf>
    <xf numFmtId="0" fontId="75" fillId="0" borderId="105" xfId="0" applyFont="1" applyBorder="1" applyAlignment="1" applyProtection="1">
      <alignment horizontal="center" vertical="center" wrapText="1"/>
      <protection hidden="1"/>
    </xf>
    <xf numFmtId="0" fontId="75" fillId="0" borderId="106" xfId="0" applyFont="1" applyBorder="1" applyAlignment="1" applyProtection="1">
      <alignment horizontal="center" vertical="center" wrapText="1"/>
      <protection hidden="1"/>
    </xf>
    <xf numFmtId="17" fontId="75" fillId="0" borderId="49" xfId="0" applyNumberFormat="1" applyFont="1" applyBorder="1" applyAlignment="1" applyProtection="1">
      <alignment horizontal="center" vertical="center"/>
      <protection hidden="1"/>
    </xf>
    <xf numFmtId="49" fontId="75" fillId="0" borderId="57" xfId="0" applyNumberFormat="1" applyFont="1" applyBorder="1" applyAlignment="1" applyProtection="1">
      <alignment horizontal="center" vertical="center"/>
      <protection hidden="1"/>
    </xf>
    <xf numFmtId="49" fontId="75" fillId="0" borderId="57" xfId="0" applyNumberFormat="1" applyFont="1" applyBorder="1" applyAlignment="1" applyProtection="1">
      <alignment horizontal="center" vertical="center" wrapText="1"/>
      <protection hidden="1"/>
    </xf>
    <xf numFmtId="49" fontId="75" fillId="0" borderId="50" xfId="0" applyNumberFormat="1" applyFont="1" applyBorder="1" applyAlignment="1" applyProtection="1">
      <alignment horizontal="center" vertical="center"/>
      <protection hidden="1"/>
    </xf>
    <xf numFmtId="49" fontId="75" fillId="0" borderId="50" xfId="0" applyNumberFormat="1" applyFont="1" applyBorder="1" applyAlignment="1" applyProtection="1">
      <alignment horizontal="center" vertical="center" wrapText="1"/>
      <protection hidden="1"/>
    </xf>
    <xf numFmtId="0" fontId="34" fillId="0" borderId="49" xfId="0" applyFont="1" applyBorder="1" applyAlignment="1" applyProtection="1">
      <alignment horizontal="justify" vertical="center" wrapText="1"/>
      <protection hidden="1"/>
    </xf>
    <xf numFmtId="0" fontId="75" fillId="0" borderId="14" xfId="0" applyFont="1" applyFill="1" applyBorder="1" applyAlignment="1" applyProtection="1">
      <alignment vertical="center" wrapText="1"/>
      <protection hidden="1"/>
    </xf>
    <xf numFmtId="0" fontId="75" fillId="0" borderId="107" xfId="0" applyFont="1" applyBorder="1" applyAlignment="1" applyProtection="1">
      <alignment horizontal="justify" vertical="center" wrapText="1"/>
      <protection hidden="1"/>
    </xf>
    <xf numFmtId="0" fontId="56" fillId="0" borderId="42" xfId="0" applyFont="1" applyBorder="1" applyAlignment="1" applyProtection="1">
      <alignment horizontal="center" vertical="center" wrapText="1"/>
      <protection hidden="1"/>
    </xf>
    <xf numFmtId="0" fontId="56" fillId="0" borderId="43" xfId="0" applyFont="1" applyBorder="1" applyAlignment="1" applyProtection="1">
      <alignment horizontal="center" vertical="center" wrapText="1"/>
      <protection hidden="1"/>
    </xf>
    <xf numFmtId="0" fontId="56" fillId="0" borderId="44" xfId="0" applyFont="1" applyBorder="1" applyAlignment="1" applyProtection="1">
      <alignment horizontal="center" vertical="center" wrapText="1"/>
      <protection hidden="1"/>
    </xf>
    <xf numFmtId="0" fontId="71" fillId="0" borderId="45" xfId="0" applyFont="1" applyBorder="1" applyAlignment="1" applyProtection="1">
      <alignment horizontal="center" vertical="center"/>
      <protection hidden="1"/>
    </xf>
    <xf numFmtId="0" fontId="71" fillId="0" borderId="86" xfId="0" applyFont="1" applyBorder="1" applyAlignment="1" applyProtection="1">
      <alignment horizontal="center" vertical="center"/>
      <protection hidden="1"/>
    </xf>
    <xf numFmtId="0" fontId="71" fillId="0" borderId="18" xfId="0" applyFont="1" applyBorder="1" applyAlignment="1" applyProtection="1">
      <alignment horizontal="center" vertical="center"/>
      <protection hidden="1"/>
    </xf>
    <xf numFmtId="0" fontId="71" fillId="0" borderId="19" xfId="0" applyFont="1" applyBorder="1" applyAlignment="1" applyProtection="1">
      <alignment horizontal="center" vertical="center"/>
      <protection hidden="1"/>
    </xf>
    <xf numFmtId="0" fontId="76" fillId="0" borderId="82" xfId="0" applyFont="1" applyBorder="1" applyAlignment="1" applyProtection="1">
      <alignment horizontal="center" vertical="center"/>
      <protection hidden="1"/>
    </xf>
    <xf numFmtId="0" fontId="76" fillId="0" borderId="83" xfId="0" applyFont="1" applyBorder="1" applyAlignment="1" applyProtection="1">
      <alignment horizontal="center" vertical="center"/>
      <protection hidden="1"/>
    </xf>
    <xf numFmtId="0" fontId="76" fillId="0" borderId="84" xfId="0" applyFont="1" applyBorder="1" applyAlignment="1" applyProtection="1">
      <alignment horizontal="center" vertical="center"/>
      <protection hidden="1"/>
    </xf>
    <xf numFmtId="0" fontId="75" fillId="0" borderId="0" xfId="0" applyFont="1" applyProtection="1">
      <protection hidden="1"/>
    </xf>
    <xf numFmtId="0" fontId="75" fillId="0" borderId="1" xfId="0" applyFont="1" applyBorder="1" applyAlignment="1" applyProtection="1">
      <alignment horizontal="center" vertical="center"/>
      <protection hidden="1"/>
    </xf>
    <xf numFmtId="0" fontId="75" fillId="0" borderId="2" xfId="0" applyFont="1" applyBorder="1" applyAlignment="1" applyProtection="1">
      <alignment horizontal="center" vertical="center"/>
      <protection hidden="1"/>
    </xf>
    <xf numFmtId="0" fontId="75" fillId="0" borderId="3" xfId="0" applyFont="1" applyBorder="1" applyAlignment="1" applyProtection="1">
      <alignment horizontal="center" vertical="center"/>
      <protection hidden="1"/>
    </xf>
    <xf numFmtId="0" fontId="71" fillId="0" borderId="82" xfId="0" applyFont="1" applyBorder="1" applyAlignment="1" applyProtection="1">
      <alignment horizontal="center" vertical="center"/>
      <protection hidden="1"/>
    </xf>
    <xf numFmtId="0" fontId="71" fillId="0" borderId="92" xfId="0" applyFont="1" applyBorder="1" applyAlignment="1" applyProtection="1">
      <alignment horizontal="center" vertical="center"/>
      <protection hidden="1"/>
    </xf>
    <xf numFmtId="0" fontId="71" fillId="0" borderId="83" xfId="0" applyFont="1" applyBorder="1" applyAlignment="1" applyProtection="1">
      <alignment horizontal="center" vertical="center"/>
      <protection hidden="1"/>
    </xf>
    <xf numFmtId="0" fontId="71" fillId="0" borderId="84" xfId="0" applyFont="1" applyBorder="1" applyAlignment="1" applyProtection="1">
      <alignment horizontal="center" vertical="center"/>
      <protection hidden="1"/>
    </xf>
    <xf numFmtId="0" fontId="76" fillId="0" borderId="48" xfId="0" applyFont="1" applyBorder="1" applyAlignment="1" applyProtection="1">
      <alignment horizontal="center" vertical="center"/>
      <protection hidden="1"/>
    </xf>
    <xf numFmtId="0" fontId="76" fillId="0" borderId="16" xfId="0" applyFont="1" applyBorder="1" applyAlignment="1" applyProtection="1">
      <alignment horizontal="center" vertical="center"/>
      <protection hidden="1"/>
    </xf>
    <xf numFmtId="0" fontId="76" fillId="0" borderId="17" xfId="0" applyFont="1" applyBorder="1" applyAlignment="1" applyProtection="1">
      <alignment horizontal="center" vertical="center"/>
      <protection hidden="1"/>
    </xf>
    <xf numFmtId="0" fontId="75" fillId="0" borderId="4" xfId="0" applyFont="1" applyBorder="1" applyAlignment="1" applyProtection="1">
      <alignment horizontal="center" vertical="center"/>
      <protection hidden="1"/>
    </xf>
    <xf numFmtId="0" fontId="75" fillId="0" borderId="0" xfId="0" applyFont="1" applyAlignment="1" applyProtection="1">
      <alignment horizontal="center" vertical="center"/>
      <protection hidden="1"/>
    </xf>
    <xf numFmtId="0" fontId="75" fillId="0" borderId="5" xfId="0" applyFont="1" applyBorder="1" applyAlignment="1" applyProtection="1">
      <alignment horizontal="center" vertical="center"/>
      <protection hidden="1"/>
    </xf>
    <xf numFmtId="0" fontId="71" fillId="0" borderId="48" xfId="0" applyFont="1" applyBorder="1" applyAlignment="1" applyProtection="1">
      <alignment horizontal="center" vertical="center"/>
      <protection hidden="1"/>
    </xf>
    <xf numFmtId="0" fontId="71" fillId="0" borderId="96" xfId="0" applyFont="1" applyBorder="1" applyAlignment="1" applyProtection="1">
      <alignment horizontal="center" vertical="center"/>
      <protection hidden="1"/>
    </xf>
    <xf numFmtId="0" fontId="71" fillId="0" borderId="16" xfId="0" applyFont="1" applyBorder="1" applyAlignment="1" applyProtection="1">
      <alignment horizontal="center" vertical="center"/>
      <protection hidden="1"/>
    </xf>
    <xf numFmtId="0" fontId="71" fillId="0" borderId="17" xfId="0" applyFont="1" applyBorder="1" applyAlignment="1" applyProtection="1">
      <alignment horizontal="center" vertical="center"/>
      <protection hidden="1"/>
    </xf>
    <xf numFmtId="0" fontId="76" fillId="0" borderId="45" xfId="0" applyFont="1" applyBorder="1" applyAlignment="1" applyProtection="1">
      <alignment horizontal="center" vertical="center"/>
      <protection hidden="1"/>
    </xf>
    <xf numFmtId="0" fontId="76" fillId="0" borderId="18" xfId="0" applyFont="1" applyBorder="1" applyAlignment="1" applyProtection="1">
      <alignment horizontal="center" vertical="center"/>
      <protection hidden="1"/>
    </xf>
    <xf numFmtId="0" fontId="76" fillId="0" borderId="19" xfId="0" applyFont="1" applyBorder="1" applyAlignment="1" applyProtection="1">
      <alignment horizontal="center" vertical="center"/>
      <protection hidden="1"/>
    </xf>
    <xf numFmtId="0" fontId="75" fillId="2" borderId="0" xfId="0" applyFont="1" applyFill="1" applyProtection="1">
      <protection hidden="1"/>
    </xf>
    <xf numFmtId="0" fontId="75" fillId="0" borderId="6" xfId="0" applyFont="1" applyBorder="1" applyAlignment="1" applyProtection="1">
      <alignment horizontal="center" vertical="center"/>
      <protection hidden="1"/>
    </xf>
    <xf numFmtId="0" fontId="75" fillId="0" borderId="7" xfId="0" applyFont="1" applyBorder="1" applyAlignment="1" applyProtection="1">
      <alignment horizontal="center" vertical="center"/>
      <protection hidden="1"/>
    </xf>
    <xf numFmtId="0" fontId="75" fillId="0" borderId="8" xfId="0" applyFont="1" applyBorder="1" applyAlignment="1" applyProtection="1">
      <alignment horizontal="center" vertical="center"/>
      <protection hidden="1"/>
    </xf>
    <xf numFmtId="0" fontId="71" fillId="0" borderId="45" xfId="0" applyFont="1" applyBorder="1" applyAlignment="1" applyProtection="1">
      <alignment horizontal="center" vertical="center" wrapText="1"/>
      <protection hidden="1"/>
    </xf>
    <xf numFmtId="0" fontId="71" fillId="0" borderId="86" xfId="0" applyFont="1" applyBorder="1" applyAlignment="1" applyProtection="1">
      <alignment horizontal="center" vertical="center" wrapText="1"/>
      <protection hidden="1"/>
    </xf>
    <xf numFmtId="0" fontId="71" fillId="0" borderId="18" xfId="0" applyFont="1" applyBorder="1" applyAlignment="1" applyProtection="1">
      <alignment horizontal="center" vertical="center" wrapText="1"/>
      <protection hidden="1"/>
    </xf>
    <xf numFmtId="0" fontId="71" fillId="0" borderId="19" xfId="0" applyFont="1" applyBorder="1" applyAlignment="1" applyProtection="1">
      <alignment horizontal="center" vertical="center" wrapText="1"/>
      <protection hidden="1"/>
    </xf>
    <xf numFmtId="0" fontId="75" fillId="2" borderId="0" xfId="0" applyFont="1" applyFill="1" applyAlignment="1" applyProtection="1">
      <alignment horizontal="center" vertical="center"/>
      <protection hidden="1"/>
    </xf>
    <xf numFmtId="0" fontId="75" fillId="2" borderId="0" xfId="0" applyFont="1" applyFill="1" applyAlignment="1" applyProtection="1">
      <alignment horizontal="center" vertical="center" wrapText="1"/>
      <protection hidden="1"/>
    </xf>
    <xf numFmtId="0" fontId="75" fillId="2" borderId="0" xfId="0" applyFont="1" applyFill="1" applyAlignment="1" applyProtection="1">
      <alignment horizontal="left" vertical="center"/>
      <protection hidden="1"/>
    </xf>
    <xf numFmtId="0" fontId="75" fillId="2" borderId="0" xfId="0" applyFont="1" applyFill="1" applyAlignment="1" applyProtection="1">
      <alignment horizontal="center"/>
      <protection hidden="1"/>
    </xf>
    <xf numFmtId="0" fontId="77" fillId="2" borderId="0" xfId="0" applyFont="1" applyFill="1" applyAlignment="1" applyProtection="1">
      <alignment horizontal="left"/>
      <protection hidden="1"/>
    </xf>
    <xf numFmtId="0" fontId="71" fillId="15" borderId="51" xfId="0" applyFont="1" applyFill="1" applyBorder="1" applyAlignment="1" applyProtection="1">
      <alignment horizontal="left" vertical="center"/>
      <protection hidden="1"/>
    </xf>
    <xf numFmtId="0" fontId="71" fillId="15" borderId="52" xfId="0" applyFont="1" applyFill="1" applyBorder="1" applyAlignment="1" applyProtection="1">
      <alignment horizontal="left" vertical="center"/>
      <protection hidden="1"/>
    </xf>
    <xf numFmtId="0" fontId="71" fillId="15" borderId="53" xfId="0" applyFont="1" applyFill="1" applyBorder="1" applyAlignment="1" applyProtection="1">
      <alignment horizontal="left" vertical="center"/>
      <protection hidden="1"/>
    </xf>
    <xf numFmtId="0" fontId="71" fillId="2" borderId="51" xfId="0" applyFont="1" applyFill="1" applyBorder="1" applyAlignment="1" applyProtection="1">
      <alignment horizontal="left" vertical="center"/>
      <protection hidden="1"/>
    </xf>
    <xf numFmtId="0" fontId="71" fillId="2" borderId="52" xfId="0" applyFont="1" applyFill="1" applyBorder="1" applyAlignment="1" applyProtection="1">
      <alignment horizontal="left" vertical="center"/>
      <protection hidden="1"/>
    </xf>
    <xf numFmtId="0" fontId="71" fillId="2" borderId="53" xfId="0" applyFont="1" applyFill="1" applyBorder="1" applyAlignment="1" applyProtection="1">
      <alignment horizontal="left" vertical="center"/>
      <protection hidden="1"/>
    </xf>
    <xf numFmtId="0" fontId="75" fillId="2" borderId="0" xfId="0" applyFont="1" applyFill="1" applyAlignment="1" applyProtection="1">
      <alignment horizontal="left" vertical="center"/>
      <protection hidden="1"/>
    </xf>
    <xf numFmtId="0" fontId="71" fillId="15" borderId="51" xfId="0" applyFont="1" applyFill="1" applyBorder="1" applyAlignment="1" applyProtection="1">
      <alignment horizontal="left" vertical="center" wrapText="1"/>
      <protection hidden="1"/>
    </xf>
    <xf numFmtId="0" fontId="71" fillId="15" borderId="52" xfId="0" applyFont="1" applyFill="1" applyBorder="1" applyAlignment="1" applyProtection="1">
      <alignment horizontal="left" vertical="center" wrapText="1"/>
      <protection hidden="1"/>
    </xf>
    <xf numFmtId="0" fontId="71" fillId="15" borderId="53" xfId="0" applyFont="1" applyFill="1" applyBorder="1" applyAlignment="1" applyProtection="1">
      <alignment horizontal="left" vertical="center" wrapText="1"/>
      <protection hidden="1"/>
    </xf>
    <xf numFmtId="0" fontId="75" fillId="2" borderId="51" xfId="0" applyFont="1" applyFill="1" applyBorder="1" applyAlignment="1" applyProtection="1">
      <alignment horizontal="left" vertical="center" wrapText="1"/>
      <protection hidden="1"/>
    </xf>
    <xf numFmtId="0" fontId="75" fillId="2" borderId="52" xfId="0" applyFont="1" applyFill="1" applyBorder="1" applyAlignment="1" applyProtection="1">
      <alignment horizontal="left" vertical="center" wrapText="1"/>
      <protection hidden="1"/>
    </xf>
    <xf numFmtId="0" fontId="75" fillId="2" borderId="53" xfId="0" applyFont="1" applyFill="1" applyBorder="1" applyAlignment="1" applyProtection="1">
      <alignment horizontal="left" vertical="center" wrapText="1"/>
      <protection hidden="1"/>
    </xf>
    <xf numFmtId="0" fontId="71" fillId="15" borderId="50" xfId="0" applyFont="1" applyFill="1" applyBorder="1" applyAlignment="1" applyProtection="1">
      <alignment horizontal="center" vertical="center"/>
      <protection hidden="1"/>
    </xf>
    <xf numFmtId="0" fontId="71" fillId="15" borderId="49" xfId="0" applyFont="1" applyFill="1" applyBorder="1" applyAlignment="1" applyProtection="1">
      <alignment horizontal="center" vertical="center"/>
      <protection hidden="1"/>
    </xf>
    <xf numFmtId="0" fontId="71" fillId="15" borderId="51" xfId="0" applyFont="1" applyFill="1" applyBorder="1" applyAlignment="1" applyProtection="1">
      <alignment horizontal="center" vertical="center"/>
      <protection hidden="1"/>
    </xf>
    <xf numFmtId="0" fontId="71" fillId="15" borderId="100" xfId="0" applyFont="1" applyFill="1" applyBorder="1" applyAlignment="1" applyProtection="1">
      <alignment horizontal="center" vertical="center"/>
      <protection hidden="1"/>
    </xf>
    <xf numFmtId="0" fontId="75" fillId="15" borderId="49" xfId="0" applyFont="1" applyFill="1" applyBorder="1" applyAlignment="1" applyProtection="1">
      <alignment horizontal="center" vertical="center" textRotation="90"/>
      <protection hidden="1"/>
    </xf>
    <xf numFmtId="0" fontId="75" fillId="15" borderId="49" xfId="0" applyFont="1" applyFill="1" applyBorder="1" applyAlignment="1" applyProtection="1">
      <alignment horizontal="center" vertical="center" wrapText="1"/>
      <protection hidden="1"/>
    </xf>
    <xf numFmtId="0" fontId="75" fillId="15" borderId="49" xfId="0" applyFont="1" applyFill="1" applyBorder="1" applyAlignment="1" applyProtection="1">
      <alignment horizontal="center" vertical="center"/>
      <protection hidden="1"/>
    </xf>
    <xf numFmtId="0" fontId="75" fillId="15" borderId="51" xfId="0" applyFont="1" applyFill="1" applyBorder="1" applyAlignment="1" applyProtection="1">
      <alignment horizontal="center" vertical="center" wrapText="1"/>
      <protection hidden="1"/>
    </xf>
    <xf numFmtId="0" fontId="75" fillId="15" borderId="52" xfId="0" applyFont="1" applyFill="1" applyBorder="1" applyAlignment="1" applyProtection="1">
      <alignment horizontal="center" vertical="center"/>
      <protection hidden="1"/>
    </xf>
    <xf numFmtId="0" fontId="75" fillId="15" borderId="53" xfId="0" applyFont="1" applyFill="1" applyBorder="1" applyAlignment="1" applyProtection="1">
      <alignment horizontal="center" vertical="center"/>
      <protection hidden="1"/>
    </xf>
    <xf numFmtId="0" fontId="75" fillId="15" borderId="57" xfId="0" applyFont="1" applyFill="1" applyBorder="1" applyAlignment="1" applyProtection="1">
      <alignment horizontal="center" vertical="center" wrapText="1"/>
      <protection hidden="1"/>
    </xf>
    <xf numFmtId="0" fontId="75" fillId="15" borderId="49" xfId="0" applyFont="1" applyFill="1" applyBorder="1" applyAlignment="1" applyProtection="1">
      <alignment horizontal="center" vertical="center" textRotation="90" wrapText="1"/>
      <protection hidden="1"/>
    </xf>
    <xf numFmtId="0" fontId="75" fillId="15" borderId="51" xfId="0" applyFont="1" applyFill="1" applyBorder="1" applyAlignment="1" applyProtection="1">
      <alignment horizontal="center" vertical="center" textRotation="90" wrapText="1"/>
      <protection hidden="1"/>
    </xf>
    <xf numFmtId="0" fontId="75" fillId="15" borderId="100" xfId="0" applyFont="1" applyFill="1" applyBorder="1" applyAlignment="1" applyProtection="1">
      <alignment horizontal="center" vertical="center" wrapText="1"/>
      <protection hidden="1"/>
    </xf>
    <xf numFmtId="0" fontId="75" fillId="15" borderId="49" xfId="0" applyFont="1" applyFill="1" applyBorder="1" applyAlignment="1" applyProtection="1">
      <alignment horizontal="center" vertical="center" textRotation="90"/>
      <protection hidden="1"/>
    </xf>
    <xf numFmtId="0" fontId="75" fillId="15" borderId="49" xfId="0" applyFont="1" applyFill="1" applyBorder="1" applyAlignment="1" applyProtection="1">
      <alignment horizontal="center" vertical="center" textRotation="90" wrapText="1"/>
      <protection hidden="1"/>
    </xf>
    <xf numFmtId="0" fontId="75" fillId="15" borderId="50" xfId="0" applyFont="1" applyFill="1" applyBorder="1" applyAlignment="1" applyProtection="1">
      <alignment horizontal="center" vertical="center" wrapText="1"/>
      <protection hidden="1"/>
    </xf>
    <xf numFmtId="0" fontId="75" fillId="0" borderId="0" xfId="0" applyFont="1" applyAlignment="1" applyProtection="1">
      <alignment horizontal="center" vertical="center"/>
      <protection hidden="1"/>
    </xf>
    <xf numFmtId="0" fontId="71" fillId="0" borderId="57" xfId="0" applyFont="1" applyBorder="1" applyAlignment="1" applyProtection="1">
      <alignment horizontal="center" vertical="center" wrapText="1"/>
      <protection hidden="1"/>
    </xf>
    <xf numFmtId="9" fontId="75" fillId="0" borderId="57" xfId="0" applyNumberFormat="1" applyFont="1" applyBorder="1" applyAlignment="1" applyProtection="1">
      <alignment horizontal="center" vertical="center" wrapText="1"/>
      <protection hidden="1"/>
    </xf>
    <xf numFmtId="164" fontId="75" fillId="0" borderId="49" xfId="4" applyNumberFormat="1" applyFont="1" applyBorder="1" applyAlignment="1" applyProtection="1">
      <alignment horizontal="center" vertical="center"/>
      <protection hidden="1"/>
    </xf>
    <xf numFmtId="0" fontId="75" fillId="0" borderId="51" xfId="0" applyFont="1" applyBorder="1" applyAlignment="1" applyProtection="1">
      <alignment horizontal="center" vertical="center" textRotation="90"/>
      <protection hidden="1"/>
    </xf>
    <xf numFmtId="0" fontId="75" fillId="2" borderId="0" xfId="0" applyFont="1" applyFill="1" applyAlignment="1" applyProtection="1">
      <alignment vertical="center"/>
      <protection hidden="1"/>
    </xf>
    <xf numFmtId="0" fontId="75" fillId="0" borderId="0" xfId="0" applyFont="1" applyAlignment="1" applyProtection="1">
      <alignment vertical="center"/>
      <protection hidden="1"/>
    </xf>
    <xf numFmtId="0" fontId="71" fillId="0" borderId="58" xfId="0" applyFont="1" applyBorder="1" applyAlignment="1" applyProtection="1">
      <alignment horizontal="center" vertical="center" wrapText="1"/>
      <protection hidden="1"/>
    </xf>
    <xf numFmtId="9" fontId="75" fillId="0" borderId="58" xfId="0" applyNumberFormat="1" applyFont="1" applyBorder="1" applyAlignment="1" applyProtection="1">
      <alignment horizontal="center" vertical="center" wrapText="1"/>
      <protection hidden="1"/>
    </xf>
    <xf numFmtId="0" fontId="71" fillId="0" borderId="50" xfId="0" applyFont="1" applyBorder="1" applyAlignment="1" applyProtection="1">
      <alignment horizontal="center" vertical="center" wrapText="1"/>
      <protection hidden="1"/>
    </xf>
    <xf numFmtId="9" fontId="75" fillId="0" borderId="50" xfId="0" applyNumberFormat="1" applyFont="1" applyBorder="1" applyAlignment="1" applyProtection="1">
      <alignment horizontal="center" vertical="center" wrapText="1"/>
      <protection hidden="1"/>
    </xf>
    <xf numFmtId="0" fontId="71" fillId="0" borderId="49" xfId="0" applyFont="1" applyBorder="1" applyAlignment="1" applyProtection="1">
      <alignment horizontal="center" vertical="center" wrapText="1"/>
      <protection hidden="1"/>
    </xf>
    <xf numFmtId="9" fontId="75" fillId="0" borderId="49" xfId="0" applyNumberFormat="1" applyFont="1" applyBorder="1" applyAlignment="1" applyProtection="1">
      <alignment horizontal="center" vertical="center" wrapText="1"/>
      <protection hidden="1"/>
    </xf>
    <xf numFmtId="0" fontId="71" fillId="0" borderId="104" xfId="0" applyFont="1" applyBorder="1" applyAlignment="1" applyProtection="1">
      <alignment horizontal="center" vertical="center"/>
      <protection hidden="1"/>
    </xf>
    <xf numFmtId="0" fontId="71" fillId="0" borderId="105" xfId="0" applyFont="1" applyBorder="1" applyAlignment="1" applyProtection="1">
      <alignment horizontal="center" vertical="center"/>
      <protection hidden="1"/>
    </xf>
    <xf numFmtId="0" fontId="71" fillId="0" borderId="106" xfId="0" applyFont="1" applyBorder="1" applyAlignment="1" applyProtection="1">
      <alignment horizontal="center" vertical="center"/>
      <protection hidden="1"/>
    </xf>
    <xf numFmtId="9" fontId="75" fillId="0" borderId="49" xfId="0" applyNumberFormat="1" applyFont="1" applyBorder="1" applyAlignment="1" applyProtection="1">
      <alignment horizontal="center" vertical="center" wrapText="1"/>
      <protection hidden="1"/>
    </xf>
    <xf numFmtId="0" fontId="75" fillId="21" borderId="49" xfId="0" applyFont="1" applyFill="1" applyBorder="1" applyAlignment="1" applyProtection="1">
      <alignment horizontal="center" vertical="center" wrapText="1"/>
      <protection hidden="1"/>
    </xf>
    <xf numFmtId="0" fontId="75" fillId="2" borderId="101" xfId="0" applyFont="1" applyFill="1" applyBorder="1" applyAlignment="1" applyProtection="1">
      <alignment horizontal="center" vertical="center" wrapText="1"/>
      <protection hidden="1"/>
    </xf>
    <xf numFmtId="14" fontId="75" fillId="0" borderId="57" xfId="0" applyNumberFormat="1" applyFont="1" applyBorder="1" applyAlignment="1" applyProtection="1">
      <alignment horizontal="center" vertical="center" wrapText="1"/>
      <protection hidden="1"/>
    </xf>
    <xf numFmtId="0" fontId="75" fillId="2" borderId="102" xfId="0" applyFont="1" applyFill="1" applyBorder="1" applyAlignment="1" applyProtection="1">
      <alignment horizontal="center" vertical="center" wrapText="1"/>
      <protection hidden="1"/>
    </xf>
    <xf numFmtId="14" fontId="75" fillId="0" borderId="58" xfId="0" applyNumberFormat="1" applyFont="1" applyBorder="1" applyAlignment="1" applyProtection="1">
      <alignment horizontal="center" vertical="center" wrapText="1"/>
      <protection hidden="1"/>
    </xf>
    <xf numFmtId="0" fontId="75" fillId="2" borderId="103" xfId="0" applyFont="1" applyFill="1" applyBorder="1" applyAlignment="1" applyProtection="1">
      <alignment horizontal="center" vertical="center" wrapText="1"/>
      <protection hidden="1"/>
    </xf>
    <xf numFmtId="14" fontId="75" fillId="0" borderId="50" xfId="0" applyNumberFormat="1" applyFont="1" applyBorder="1" applyAlignment="1" applyProtection="1">
      <alignment horizontal="center" vertical="center" wrapText="1"/>
      <protection hidden="1"/>
    </xf>
    <xf numFmtId="0" fontId="86" fillId="2" borderId="101" xfId="0" applyFont="1" applyFill="1" applyBorder="1" applyAlignment="1" applyProtection="1">
      <alignment horizontal="center" vertical="center" wrapText="1"/>
      <protection hidden="1"/>
    </xf>
    <xf numFmtId="14" fontId="86" fillId="0" borderId="57" xfId="0" applyNumberFormat="1" applyFont="1" applyBorder="1" applyAlignment="1" applyProtection="1">
      <alignment horizontal="center" vertical="center" wrapText="1"/>
      <protection hidden="1"/>
    </xf>
    <xf numFmtId="14" fontId="86" fillId="0" borderId="57" xfId="0" applyNumberFormat="1" applyFont="1" applyBorder="1" applyAlignment="1" applyProtection="1">
      <alignment horizontal="center" vertical="center"/>
      <protection hidden="1"/>
    </xf>
    <xf numFmtId="0" fontId="86" fillId="0" borderId="57" xfId="0" applyFont="1" applyBorder="1" applyAlignment="1" applyProtection="1">
      <alignment horizontal="center" vertical="center" wrapText="1"/>
      <protection hidden="1"/>
    </xf>
    <xf numFmtId="0" fontId="86" fillId="0" borderId="57" xfId="0" applyFont="1" applyBorder="1" applyAlignment="1" applyProtection="1">
      <alignment horizontal="center" vertical="center"/>
      <protection hidden="1"/>
    </xf>
    <xf numFmtId="0" fontId="86" fillId="2" borderId="102" xfId="0" applyFont="1" applyFill="1" applyBorder="1" applyAlignment="1" applyProtection="1">
      <alignment horizontal="center" vertical="center" wrapText="1"/>
      <protection hidden="1"/>
    </xf>
    <xf numFmtId="14" fontId="86" fillId="0" borderId="58" xfId="0" applyNumberFormat="1" applyFont="1" applyBorder="1" applyAlignment="1" applyProtection="1">
      <alignment horizontal="center" vertical="center" wrapText="1"/>
      <protection hidden="1"/>
    </xf>
    <xf numFmtId="14" fontId="86" fillId="0" borderId="58" xfId="0" applyNumberFormat="1" applyFont="1" applyBorder="1" applyAlignment="1" applyProtection="1">
      <alignment horizontal="center" vertical="center"/>
      <protection hidden="1"/>
    </xf>
    <xf numFmtId="0" fontId="86" fillId="0" borderId="58" xfId="0" applyFont="1" applyBorder="1" applyAlignment="1" applyProtection="1">
      <alignment horizontal="center" vertical="center" wrapText="1"/>
      <protection hidden="1"/>
    </xf>
    <xf numFmtId="0" fontId="86" fillId="0" borderId="58" xfId="0" applyFont="1" applyBorder="1" applyAlignment="1" applyProtection="1">
      <alignment horizontal="center" vertical="center"/>
      <protection hidden="1"/>
    </xf>
    <xf numFmtId="0" fontId="86" fillId="2" borderId="103" xfId="0" applyFont="1" applyFill="1" applyBorder="1" applyAlignment="1" applyProtection="1">
      <alignment horizontal="center" vertical="center" wrapText="1"/>
      <protection hidden="1"/>
    </xf>
    <xf numFmtId="14" fontId="86" fillId="0" borderId="50" xfId="0" applyNumberFormat="1" applyFont="1" applyBorder="1" applyAlignment="1" applyProtection="1">
      <alignment horizontal="center" vertical="center" wrapText="1"/>
      <protection hidden="1"/>
    </xf>
    <xf numFmtId="14" fontId="86" fillId="0" borderId="50" xfId="0" applyNumberFormat="1" applyFont="1" applyBorder="1" applyAlignment="1" applyProtection="1">
      <alignment horizontal="center" vertical="center"/>
      <protection hidden="1"/>
    </xf>
    <xf numFmtId="0" fontId="86" fillId="0" borderId="50" xfId="0" applyFont="1" applyBorder="1" applyAlignment="1" applyProtection="1">
      <alignment horizontal="center" vertical="center" wrapText="1"/>
      <protection hidden="1"/>
    </xf>
    <xf numFmtId="0" fontId="86" fillId="0" borderId="50" xfId="0" applyFont="1" applyBorder="1" applyAlignment="1" applyProtection="1">
      <alignment horizontal="center" vertical="center"/>
      <protection hidden="1"/>
    </xf>
    <xf numFmtId="17" fontId="75" fillId="0" borderId="57" xfId="0" applyNumberFormat="1" applyFont="1" applyBorder="1" applyAlignment="1" applyProtection="1">
      <alignment horizontal="center" vertical="center"/>
      <protection hidden="1"/>
    </xf>
    <xf numFmtId="17" fontId="75" fillId="0" borderId="50" xfId="0" applyNumberFormat="1" applyFont="1" applyBorder="1" applyAlignment="1" applyProtection="1">
      <alignment horizontal="center" vertical="center"/>
      <protection hidden="1"/>
    </xf>
    <xf numFmtId="0" fontId="75" fillId="0" borderId="108" xfId="0" applyFont="1" applyBorder="1" applyAlignment="1" applyProtection="1">
      <alignment horizontal="justify" vertical="center" wrapText="1"/>
      <protection hidden="1"/>
    </xf>
    <xf numFmtId="0" fontId="75" fillId="0" borderId="97" xfId="0" applyFont="1" applyBorder="1" applyAlignment="1" applyProtection="1">
      <alignment horizontal="left" vertical="center" wrapText="1"/>
      <protection hidden="1"/>
    </xf>
    <xf numFmtId="0" fontId="75" fillId="0" borderId="98" xfId="0" applyFont="1" applyBorder="1" applyAlignment="1" applyProtection="1">
      <alignment horizontal="left" vertical="center" wrapText="1"/>
      <protection hidden="1"/>
    </xf>
    <xf numFmtId="0" fontId="75" fillId="0" borderId="99" xfId="0" applyFont="1" applyBorder="1" applyAlignment="1" applyProtection="1">
      <alignment horizontal="left" vertical="center" wrapText="1"/>
      <protection hidden="1"/>
    </xf>
    <xf numFmtId="0" fontId="75" fillId="0" borderId="0" xfId="0" applyFont="1" applyAlignment="1" applyProtection="1">
      <alignment wrapText="1"/>
      <protection hidden="1"/>
    </xf>
    <xf numFmtId="0" fontId="71" fillId="0" borderId="0" xfId="0" applyFont="1" applyAlignment="1" applyProtection="1">
      <alignment horizontal="left" vertical="center"/>
      <protection hidden="1"/>
    </xf>
    <xf numFmtId="0" fontId="75" fillId="0" borderId="0" xfId="0" applyFont="1" applyAlignment="1" applyProtection="1">
      <alignment horizontal="center" vertical="center" wrapText="1"/>
      <protection hidden="1"/>
    </xf>
    <xf numFmtId="0" fontId="75" fillId="0" borderId="0" xfId="0" applyFont="1" applyAlignment="1" applyProtection="1">
      <alignment horizontal="center"/>
      <protection hidden="1"/>
    </xf>
  </cellXfs>
  <cellStyles count="6">
    <cellStyle name="Hipervínculo" xfId="5" builtinId="8"/>
    <cellStyle name="Normal" xfId="0" builtinId="0"/>
    <cellStyle name="Normal - Style1 2" xfId="1"/>
    <cellStyle name="Normal 2" xfId="2"/>
    <cellStyle name="Normal 2 2" xfId="3"/>
    <cellStyle name="Porcentaje" xfId="4" builtinId="5"/>
  </cellStyles>
  <dxfs count="131">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D0FE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externalLink" Target="externalLinks/externalLink11.xml"/><Relationship Id="rId3" Type="http://schemas.openxmlformats.org/officeDocument/2006/relationships/worksheet" Target="worksheets/sheet3.xml"/><Relationship Id="rId21" Type="http://schemas.openxmlformats.org/officeDocument/2006/relationships/externalLink" Target="externalLinks/externalLink6.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externalLink" Target="externalLinks/externalLink1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9.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externalLink" Target="externalLinks/externalLink13.xml"/><Relationship Id="rId10" Type="http://schemas.openxmlformats.org/officeDocument/2006/relationships/worksheet" Target="worksheets/sheet10.xml"/><Relationship Id="rId19" Type="http://schemas.openxmlformats.org/officeDocument/2006/relationships/externalLink" Target="externalLinks/externalLink4.xml"/><Relationship Id="rId31"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externalLink" Target="externalLinks/externalLink12.xml"/><Relationship Id="rId30" Type="http://schemas.openxmlformats.org/officeDocument/2006/relationships/externalLink" Target="externalLinks/externalLink15.xml"/><Relationship Id="rId35"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1029567</xdr:colOff>
      <xdr:row>1</xdr:row>
      <xdr:rowOff>100582</xdr:rowOff>
    </xdr:from>
    <xdr:to>
      <xdr:col>3</xdr:col>
      <xdr:colOff>2170958</xdr:colOff>
      <xdr:row>4</xdr:row>
      <xdr:rowOff>744682</xdr:rowOff>
    </xdr:to>
    <xdr:pic>
      <xdr:nvPicPr>
        <xdr:cNvPr id="3" name="Imagen 2">
          <a:extLst>
            <a:ext uri="{FF2B5EF4-FFF2-40B4-BE49-F238E27FC236}">
              <a16:creationId xmlns:a16="http://schemas.microsoft.com/office/drawing/2014/main" xmlns="" id="{00000000-0008-0000-01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615" b="13197"/>
        <a:stretch/>
      </xdr:blipFill>
      <xdr:spPr bwMode="auto">
        <a:xfrm>
          <a:off x="2189885" y="966491"/>
          <a:ext cx="3005570" cy="14926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2643187</xdr:colOff>
      <xdr:row>2</xdr:row>
      <xdr:rowOff>238127</xdr:rowOff>
    </xdr:from>
    <xdr:to>
      <xdr:col>0</xdr:col>
      <xdr:colOff>5052579</xdr:colOff>
      <xdr:row>5</xdr:row>
      <xdr:rowOff>357620</xdr:rowOff>
    </xdr:to>
    <xdr:pic>
      <xdr:nvPicPr>
        <xdr:cNvPr id="4" name="Imagen 3">
          <a:extLst>
            <a:ext uri="{FF2B5EF4-FFF2-40B4-BE49-F238E27FC236}">
              <a16:creationId xmlns:a16="http://schemas.microsoft.com/office/drawing/2014/main" xmlns=""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187" y="1452565"/>
          <a:ext cx="2409392" cy="140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2500312</xdr:colOff>
      <xdr:row>2</xdr:row>
      <xdr:rowOff>214313</xdr:rowOff>
    </xdr:from>
    <xdr:to>
      <xdr:col>1</xdr:col>
      <xdr:colOff>150786</xdr:colOff>
      <xdr:row>5</xdr:row>
      <xdr:rowOff>428624</xdr:rowOff>
    </xdr:to>
    <xdr:pic>
      <xdr:nvPicPr>
        <xdr:cNvPr id="4" name="Imagen 3">
          <a:extLst>
            <a:ext uri="{FF2B5EF4-FFF2-40B4-BE49-F238E27FC236}">
              <a16:creationId xmlns:a16="http://schemas.microsoft.com/office/drawing/2014/main" xmlns=""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0312" y="1404938"/>
          <a:ext cx="3060674" cy="17859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2595563</xdr:colOff>
      <xdr:row>2</xdr:row>
      <xdr:rowOff>31931</xdr:rowOff>
    </xdr:from>
    <xdr:to>
      <xdr:col>0</xdr:col>
      <xdr:colOff>5235575</xdr:colOff>
      <xdr:row>5</xdr:row>
      <xdr:rowOff>276654</xdr:rowOff>
    </xdr:to>
    <xdr:pic>
      <xdr:nvPicPr>
        <xdr:cNvPr id="4" name="Imagen 3">
          <a:extLst>
            <a:ext uri="{FF2B5EF4-FFF2-40B4-BE49-F238E27FC236}">
              <a16:creationId xmlns:a16="http://schemas.microsoft.com/office/drawing/2014/main" xmlns="" id="{00000000-0008-0000-04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5563" y="1270181"/>
          <a:ext cx="2635249" cy="15305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0</xdr:col>
      <xdr:colOff>5090680</xdr:colOff>
      <xdr:row>4</xdr:row>
      <xdr:rowOff>381000</xdr:rowOff>
    </xdr:to>
    <xdr:pic>
      <xdr:nvPicPr>
        <xdr:cNvPr id="2" name="Imagen 1">
          <a:extLst>
            <a:ext uri="{FF2B5EF4-FFF2-40B4-BE49-F238E27FC236}">
              <a16:creationId xmlns:a16="http://schemas.microsoft.com/office/drawing/2014/main" xmlns=""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09392" cy="1233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1</xdr:col>
      <xdr:colOff>1471180</xdr:colOff>
      <xdr:row>5</xdr:row>
      <xdr:rowOff>219075</xdr:rowOff>
    </xdr:to>
    <xdr:pic>
      <xdr:nvPicPr>
        <xdr:cNvPr id="2" name="Imagen 1">
          <a:extLst>
            <a:ext uri="{FF2B5EF4-FFF2-40B4-BE49-F238E27FC236}">
              <a16:creationId xmlns:a16="http://schemas.microsoft.com/office/drawing/2014/main" xmlns=""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14155" cy="1509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icolas.corredor/Documents/HOMIL%20-NCR/ADMINISTRACI&#211;N%20DE%20RIESGOS/2021/Mapa%20de%20Riesgos%202021/Formato%20Mapa%20de%20Riesgos%20V.5/FT%20-%20Mapa%20de%20Riesgos%20Institucional%20HOMIL%20V.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MR_Tecnolog&#237;as_de_la_informaci&#243;n_202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icolas.corredor/OneDrive%20-%20Hospital%20Militar%20Central/HOMIL%20-NCR/ADMINISTRACI&#211;N%20DE%20RIESGOS/2023/Mapa%20de%20Riesgos%20por%20proceso%202023/Mapa_de_Riesgos_Tecnolog&#237;as_de_la_Informaci&#243;n_202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MR_Gerencia_y_Buen_Gobierno_202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Luisa.Moreno/Downloads/Mapa_de_Riesgos_Gesti&#243;n_de_Apoyo_Asistencial_y_Famac&#233;utico_2023%20(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MR_Gesti&#243;n_Humana_202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MR_Gesti&#243;n_Jur&#237;dica_2024.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RIESGOS%202024\2024\Mapa_de_Riesgos_por_Proceso_2024\MR_Gesti&#243;n_Log&#237;stica.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MR_Gesti&#243;n_Log&#237;stica_2024.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MR_Gesti&#243;n_de_Adquisiciones_2024.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nicolas.corredor/Downloads/MR_Gesti&#243;n_de_Adquisiciones_2024%2019012024%20final.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nicolas.corredor/OneDrive%20-%20Hospital%20Militar%20Central/HOMIL%20-NCR/ADMINISTRACI&#211;N%20DE%20RIESGOS/2023/Mapa%20de%20Riesgos%20por%20proceso%202023/Mapa_de_Riesgos_Gesti&#243;n_Financiera_2023.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MR_Gesti&#243;n_Financiera_2024.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MR_Gesti&#243;n_Documental_2024.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MR_Evaluaci&#243;n_mejoramiento_y_seguimiento_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sheetData>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row r="221">
          <cell r="B221" t="e">
            <v>#NAME?</v>
          </cell>
        </row>
      </sheetData>
      <sheetData sheetId="11"/>
      <sheetData sheetId="12"/>
      <sheetData sheetId="13"/>
      <sheetData sheetId="1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s Marin" refreshedDate="44186.276661689815" createdVersion="4" refreshedVersion="4" minRefreshableVersion="3" recordCount="1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id="1" name="Tabla1" displayName="Tabla1" ref="B209:C219" totalsRowShown="0" headerRowDxfId="130" dataDxfId="129">
  <autoFilter ref="B209:C219"/>
  <tableColumns count="2">
    <tableColumn id="1" name="Criterios" dataDxfId="128"/>
    <tableColumn id="2" name="Subcriterios" dataDxfId="127"/>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9.bin"/><Relationship Id="rId4" Type="http://schemas.openxmlformats.org/officeDocument/2006/relationships/comments" Target="../comments5.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10.bin"/><Relationship Id="rId4" Type="http://schemas.openxmlformats.org/officeDocument/2006/relationships/comments" Target="../comments6.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1.bin"/><Relationship Id="rId1" Type="http://schemas.openxmlformats.org/officeDocument/2006/relationships/pivotTable" Target="../pivotTables/pivotTable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H45"/>
  <sheetViews>
    <sheetView zoomScaleNormal="100" workbookViewId="0">
      <selection activeCell="B7" sqref="B7:H7"/>
    </sheetView>
  </sheetViews>
  <sheetFormatPr baseColWidth="10" defaultColWidth="11.42578125" defaultRowHeight="15" x14ac:dyDescent="0.25"/>
  <cols>
    <col min="1" max="1" width="2.85546875" style="69" customWidth="1"/>
    <col min="2" max="3" width="24.7109375" style="69" customWidth="1"/>
    <col min="4" max="4" width="16" style="69" customWidth="1"/>
    <col min="5" max="5" width="24.7109375" style="69" customWidth="1"/>
    <col min="6" max="6" width="27.7109375" style="69" customWidth="1"/>
    <col min="7" max="8" width="24.7109375" style="69" customWidth="1"/>
    <col min="9" max="16384" width="11.42578125" style="69"/>
  </cols>
  <sheetData>
    <row r="1" spans="2:8" ht="15.75" thickBot="1" x14ac:dyDescent="0.3"/>
    <row r="2" spans="2:8" ht="18" x14ac:dyDescent="0.25">
      <c r="B2" s="197" t="s">
        <v>0</v>
      </c>
      <c r="C2" s="198"/>
      <c r="D2" s="198"/>
      <c r="E2" s="198"/>
      <c r="F2" s="198"/>
      <c r="G2" s="198"/>
      <c r="H2" s="199"/>
    </row>
    <row r="3" spans="2:8" x14ac:dyDescent="0.25">
      <c r="B3" s="70"/>
      <c r="C3" s="71"/>
      <c r="D3" s="71"/>
      <c r="E3" s="71"/>
      <c r="F3" s="71"/>
      <c r="G3" s="71"/>
      <c r="H3" s="72"/>
    </row>
    <row r="4" spans="2:8" ht="63" customHeight="1" x14ac:dyDescent="0.25">
      <c r="B4" s="200" t="s">
        <v>1</v>
      </c>
      <c r="C4" s="201"/>
      <c r="D4" s="201"/>
      <c r="E4" s="201"/>
      <c r="F4" s="201"/>
      <c r="G4" s="201"/>
      <c r="H4" s="202"/>
    </row>
    <row r="5" spans="2:8" ht="63" customHeight="1" x14ac:dyDescent="0.25">
      <c r="B5" s="203"/>
      <c r="C5" s="204"/>
      <c r="D5" s="204"/>
      <c r="E5" s="204"/>
      <c r="F5" s="204"/>
      <c r="G5" s="204"/>
      <c r="H5" s="205"/>
    </row>
    <row r="6" spans="2:8" ht="16.5" x14ac:dyDescent="0.25">
      <c r="B6" s="206" t="s">
        <v>2</v>
      </c>
      <c r="C6" s="207"/>
      <c r="D6" s="207"/>
      <c r="E6" s="207"/>
      <c r="F6" s="207"/>
      <c r="G6" s="207"/>
      <c r="H6" s="208"/>
    </row>
    <row r="7" spans="2:8" ht="95.25" customHeight="1" x14ac:dyDescent="0.25">
      <c r="B7" s="216" t="s">
        <v>3</v>
      </c>
      <c r="C7" s="217"/>
      <c r="D7" s="217"/>
      <c r="E7" s="217"/>
      <c r="F7" s="217"/>
      <c r="G7" s="217"/>
      <c r="H7" s="218"/>
    </row>
    <row r="8" spans="2:8" ht="16.5" x14ac:dyDescent="0.25">
      <c r="B8" s="105"/>
      <c r="C8" s="106"/>
      <c r="D8" s="106"/>
      <c r="E8" s="106"/>
      <c r="F8" s="106"/>
      <c r="G8" s="106"/>
      <c r="H8" s="107"/>
    </row>
    <row r="9" spans="2:8" ht="16.5" customHeight="1" x14ac:dyDescent="0.25">
      <c r="B9" s="209" t="s">
        <v>4</v>
      </c>
      <c r="C9" s="210"/>
      <c r="D9" s="210"/>
      <c r="E9" s="210"/>
      <c r="F9" s="210"/>
      <c r="G9" s="210"/>
      <c r="H9" s="211"/>
    </row>
    <row r="10" spans="2:8" ht="44.25" customHeight="1" x14ac:dyDescent="0.25">
      <c r="B10" s="209"/>
      <c r="C10" s="210"/>
      <c r="D10" s="210"/>
      <c r="E10" s="210"/>
      <c r="F10" s="210"/>
      <c r="G10" s="210"/>
      <c r="H10" s="211"/>
    </row>
    <row r="11" spans="2:8" ht="15.75" thickBot="1" x14ac:dyDescent="0.3">
      <c r="B11" s="94"/>
      <c r="C11" s="97"/>
      <c r="D11" s="102"/>
      <c r="E11" s="103"/>
      <c r="F11" s="103"/>
      <c r="G11" s="104"/>
      <c r="H11" s="98"/>
    </row>
    <row r="12" spans="2:8" ht="15.75" thickTop="1" x14ac:dyDescent="0.25">
      <c r="B12" s="94"/>
      <c r="C12" s="212" t="s">
        <v>5</v>
      </c>
      <c r="D12" s="213"/>
      <c r="E12" s="214" t="s">
        <v>6</v>
      </c>
      <c r="F12" s="215"/>
      <c r="G12" s="97"/>
      <c r="H12" s="98"/>
    </row>
    <row r="13" spans="2:8" ht="35.25" customHeight="1" x14ac:dyDescent="0.25">
      <c r="B13" s="94"/>
      <c r="C13" s="219" t="s">
        <v>7</v>
      </c>
      <c r="D13" s="220"/>
      <c r="E13" s="221" t="s">
        <v>8</v>
      </c>
      <c r="F13" s="222"/>
      <c r="G13" s="97"/>
      <c r="H13" s="98"/>
    </row>
    <row r="14" spans="2:8" ht="17.25" customHeight="1" x14ac:dyDescent="0.25">
      <c r="B14" s="94"/>
      <c r="C14" s="219" t="s">
        <v>9</v>
      </c>
      <c r="D14" s="220"/>
      <c r="E14" s="221" t="s">
        <v>10</v>
      </c>
      <c r="F14" s="222"/>
      <c r="G14" s="97"/>
      <c r="H14" s="98"/>
    </row>
    <row r="15" spans="2:8" ht="19.5" customHeight="1" x14ac:dyDescent="0.25">
      <c r="B15" s="94"/>
      <c r="C15" s="219" t="s">
        <v>11</v>
      </c>
      <c r="D15" s="220"/>
      <c r="E15" s="221" t="s">
        <v>12</v>
      </c>
      <c r="F15" s="222"/>
      <c r="G15" s="97"/>
      <c r="H15" s="98"/>
    </row>
    <row r="16" spans="2:8" ht="69.75" customHeight="1" x14ac:dyDescent="0.25">
      <c r="B16" s="94"/>
      <c r="C16" s="219" t="s">
        <v>13</v>
      </c>
      <c r="D16" s="220"/>
      <c r="E16" s="221" t="s">
        <v>14</v>
      </c>
      <c r="F16" s="222"/>
      <c r="G16" s="97"/>
      <c r="H16" s="98"/>
    </row>
    <row r="17" spans="2:8" ht="34.5" customHeight="1" x14ac:dyDescent="0.25">
      <c r="B17" s="94"/>
      <c r="C17" s="223" t="s">
        <v>15</v>
      </c>
      <c r="D17" s="224"/>
      <c r="E17" s="225" t="s">
        <v>16</v>
      </c>
      <c r="F17" s="226"/>
      <c r="G17" s="97"/>
      <c r="H17" s="98"/>
    </row>
    <row r="18" spans="2:8" ht="27.75" customHeight="1" x14ac:dyDescent="0.25">
      <c r="B18" s="94"/>
      <c r="C18" s="223" t="s">
        <v>17</v>
      </c>
      <c r="D18" s="224"/>
      <c r="E18" s="225" t="s">
        <v>18</v>
      </c>
      <c r="F18" s="226"/>
      <c r="G18" s="97"/>
      <c r="H18" s="98"/>
    </row>
    <row r="19" spans="2:8" ht="28.5" customHeight="1" x14ac:dyDescent="0.25">
      <c r="B19" s="94"/>
      <c r="C19" s="223" t="s">
        <v>19</v>
      </c>
      <c r="D19" s="224"/>
      <c r="E19" s="225" t="s">
        <v>20</v>
      </c>
      <c r="F19" s="226"/>
      <c r="G19" s="97"/>
      <c r="H19" s="98"/>
    </row>
    <row r="20" spans="2:8" ht="72.75" customHeight="1" x14ac:dyDescent="0.25">
      <c r="B20" s="94"/>
      <c r="C20" s="223" t="s">
        <v>21</v>
      </c>
      <c r="D20" s="224"/>
      <c r="E20" s="225" t="s">
        <v>22</v>
      </c>
      <c r="F20" s="226"/>
      <c r="G20" s="97"/>
      <c r="H20" s="98"/>
    </row>
    <row r="21" spans="2:8" ht="64.5" customHeight="1" x14ac:dyDescent="0.25">
      <c r="B21" s="94"/>
      <c r="C21" s="223" t="s">
        <v>23</v>
      </c>
      <c r="D21" s="224"/>
      <c r="E21" s="225" t="s">
        <v>24</v>
      </c>
      <c r="F21" s="226"/>
      <c r="G21" s="97"/>
      <c r="H21" s="98"/>
    </row>
    <row r="22" spans="2:8" ht="71.25" customHeight="1" x14ac:dyDescent="0.25">
      <c r="B22" s="94"/>
      <c r="C22" s="223" t="s">
        <v>25</v>
      </c>
      <c r="D22" s="224"/>
      <c r="E22" s="225" t="s">
        <v>26</v>
      </c>
      <c r="F22" s="226"/>
      <c r="G22" s="97"/>
      <c r="H22" s="98"/>
    </row>
    <row r="23" spans="2:8" ht="55.5" customHeight="1" x14ac:dyDescent="0.25">
      <c r="B23" s="94"/>
      <c r="C23" s="230" t="s">
        <v>27</v>
      </c>
      <c r="D23" s="231"/>
      <c r="E23" s="225" t="s">
        <v>28</v>
      </c>
      <c r="F23" s="226"/>
      <c r="G23" s="97"/>
      <c r="H23" s="98"/>
    </row>
    <row r="24" spans="2:8" ht="42" customHeight="1" x14ac:dyDescent="0.25">
      <c r="B24" s="94"/>
      <c r="C24" s="230" t="s">
        <v>29</v>
      </c>
      <c r="D24" s="231"/>
      <c r="E24" s="225" t="s">
        <v>30</v>
      </c>
      <c r="F24" s="226"/>
      <c r="G24" s="97"/>
      <c r="H24" s="98"/>
    </row>
    <row r="25" spans="2:8" ht="59.25" customHeight="1" x14ac:dyDescent="0.25">
      <c r="B25" s="94"/>
      <c r="C25" s="230" t="s">
        <v>31</v>
      </c>
      <c r="D25" s="231"/>
      <c r="E25" s="225" t="s">
        <v>32</v>
      </c>
      <c r="F25" s="226"/>
      <c r="G25" s="97"/>
      <c r="H25" s="98"/>
    </row>
    <row r="26" spans="2:8" ht="23.25" customHeight="1" x14ac:dyDescent="0.25">
      <c r="B26" s="94"/>
      <c r="C26" s="230" t="s">
        <v>33</v>
      </c>
      <c r="D26" s="231"/>
      <c r="E26" s="225" t="s">
        <v>34</v>
      </c>
      <c r="F26" s="226"/>
      <c r="G26" s="97"/>
      <c r="H26" s="98"/>
    </row>
    <row r="27" spans="2:8" ht="30.75" customHeight="1" x14ac:dyDescent="0.25">
      <c r="B27" s="94"/>
      <c r="C27" s="230" t="s">
        <v>35</v>
      </c>
      <c r="D27" s="231"/>
      <c r="E27" s="225" t="s">
        <v>36</v>
      </c>
      <c r="F27" s="226"/>
      <c r="G27" s="97"/>
      <c r="H27" s="98"/>
    </row>
    <row r="28" spans="2:8" ht="35.25" customHeight="1" x14ac:dyDescent="0.25">
      <c r="B28" s="94"/>
      <c r="C28" s="230" t="s">
        <v>37</v>
      </c>
      <c r="D28" s="231"/>
      <c r="E28" s="225" t="s">
        <v>38</v>
      </c>
      <c r="F28" s="226"/>
      <c r="G28" s="97"/>
      <c r="H28" s="98"/>
    </row>
    <row r="29" spans="2:8" ht="33" customHeight="1" x14ac:dyDescent="0.25">
      <c r="B29" s="94"/>
      <c r="C29" s="230" t="s">
        <v>37</v>
      </c>
      <c r="D29" s="231"/>
      <c r="E29" s="225" t="s">
        <v>38</v>
      </c>
      <c r="F29" s="226"/>
      <c r="G29" s="97"/>
      <c r="H29" s="98"/>
    </row>
    <row r="30" spans="2:8" ht="30" customHeight="1" x14ac:dyDescent="0.25">
      <c r="B30" s="94"/>
      <c r="C30" s="230" t="s">
        <v>39</v>
      </c>
      <c r="D30" s="231"/>
      <c r="E30" s="225" t="s">
        <v>40</v>
      </c>
      <c r="F30" s="226"/>
      <c r="G30" s="97"/>
      <c r="H30" s="98"/>
    </row>
    <row r="31" spans="2:8" ht="35.25" customHeight="1" x14ac:dyDescent="0.25">
      <c r="B31" s="94"/>
      <c r="C31" s="230" t="s">
        <v>41</v>
      </c>
      <c r="D31" s="231"/>
      <c r="E31" s="225" t="s">
        <v>42</v>
      </c>
      <c r="F31" s="226"/>
      <c r="G31" s="97"/>
      <c r="H31" s="98"/>
    </row>
    <row r="32" spans="2:8" ht="31.5" customHeight="1" x14ac:dyDescent="0.25">
      <c r="B32" s="94"/>
      <c r="C32" s="230" t="s">
        <v>43</v>
      </c>
      <c r="D32" s="231"/>
      <c r="E32" s="225" t="s">
        <v>44</v>
      </c>
      <c r="F32" s="226"/>
      <c r="G32" s="97"/>
      <c r="H32" s="98"/>
    </row>
    <row r="33" spans="2:8" ht="35.25" customHeight="1" x14ac:dyDescent="0.25">
      <c r="B33" s="94"/>
      <c r="C33" s="230" t="s">
        <v>45</v>
      </c>
      <c r="D33" s="231"/>
      <c r="E33" s="225" t="s">
        <v>46</v>
      </c>
      <c r="F33" s="226"/>
      <c r="G33" s="97"/>
      <c r="H33" s="98"/>
    </row>
    <row r="34" spans="2:8" ht="59.25" customHeight="1" x14ac:dyDescent="0.25">
      <c r="B34" s="94"/>
      <c r="C34" s="230" t="s">
        <v>47</v>
      </c>
      <c r="D34" s="231"/>
      <c r="E34" s="225" t="s">
        <v>48</v>
      </c>
      <c r="F34" s="226"/>
      <c r="G34" s="97"/>
      <c r="H34" s="98"/>
    </row>
    <row r="35" spans="2:8" ht="29.25" customHeight="1" x14ac:dyDescent="0.25">
      <c r="B35" s="94"/>
      <c r="C35" s="230" t="s">
        <v>49</v>
      </c>
      <c r="D35" s="231"/>
      <c r="E35" s="225" t="s">
        <v>50</v>
      </c>
      <c r="F35" s="226"/>
      <c r="G35" s="97"/>
      <c r="H35" s="98"/>
    </row>
    <row r="36" spans="2:8" ht="82.5" customHeight="1" x14ac:dyDescent="0.25">
      <c r="B36" s="94"/>
      <c r="C36" s="230" t="s">
        <v>51</v>
      </c>
      <c r="D36" s="231"/>
      <c r="E36" s="225" t="s">
        <v>52</v>
      </c>
      <c r="F36" s="226"/>
      <c r="G36" s="97"/>
      <c r="H36" s="98"/>
    </row>
    <row r="37" spans="2:8" ht="46.5" customHeight="1" x14ac:dyDescent="0.25">
      <c r="B37" s="94"/>
      <c r="C37" s="230" t="s">
        <v>53</v>
      </c>
      <c r="D37" s="231"/>
      <c r="E37" s="225" t="s">
        <v>54</v>
      </c>
      <c r="F37" s="226"/>
      <c r="G37" s="97"/>
      <c r="H37" s="98"/>
    </row>
    <row r="38" spans="2:8" ht="6.75" customHeight="1" thickBot="1" x14ac:dyDescent="0.3">
      <c r="B38" s="94"/>
      <c r="C38" s="232"/>
      <c r="D38" s="233"/>
      <c r="E38" s="234"/>
      <c r="F38" s="235"/>
      <c r="G38" s="97"/>
      <c r="H38" s="98"/>
    </row>
    <row r="39" spans="2:8" ht="15.75" thickTop="1" x14ac:dyDescent="0.25">
      <c r="B39" s="94"/>
      <c r="C39" s="95"/>
      <c r="D39" s="95"/>
      <c r="E39" s="96"/>
      <c r="F39" s="96"/>
      <c r="G39" s="97"/>
      <c r="H39" s="98"/>
    </row>
    <row r="40" spans="2:8" ht="21" customHeight="1" x14ac:dyDescent="0.25">
      <c r="B40" s="227" t="s">
        <v>55</v>
      </c>
      <c r="C40" s="228"/>
      <c r="D40" s="228"/>
      <c r="E40" s="228"/>
      <c r="F40" s="228"/>
      <c r="G40" s="228"/>
      <c r="H40" s="229"/>
    </row>
    <row r="41" spans="2:8" ht="20.25" customHeight="1" x14ac:dyDescent="0.25">
      <c r="B41" s="227" t="s">
        <v>56</v>
      </c>
      <c r="C41" s="228"/>
      <c r="D41" s="228"/>
      <c r="E41" s="228"/>
      <c r="F41" s="228"/>
      <c r="G41" s="228"/>
      <c r="H41" s="229"/>
    </row>
    <row r="42" spans="2:8" ht="20.25" customHeight="1" x14ac:dyDescent="0.25">
      <c r="B42" s="227" t="s">
        <v>57</v>
      </c>
      <c r="C42" s="228"/>
      <c r="D42" s="228"/>
      <c r="E42" s="228"/>
      <c r="F42" s="228"/>
      <c r="G42" s="228"/>
      <c r="H42" s="229"/>
    </row>
    <row r="43" spans="2:8" ht="20.25" customHeight="1" x14ac:dyDescent="0.25">
      <c r="B43" s="227" t="s">
        <v>58</v>
      </c>
      <c r="C43" s="228"/>
      <c r="D43" s="228"/>
      <c r="E43" s="228"/>
      <c r="F43" s="228"/>
      <c r="G43" s="228"/>
      <c r="H43" s="229"/>
    </row>
    <row r="44" spans="2:8" x14ac:dyDescent="0.25">
      <c r="B44" s="227" t="s">
        <v>59</v>
      </c>
      <c r="C44" s="228"/>
      <c r="D44" s="228"/>
      <c r="E44" s="228"/>
      <c r="F44" s="228"/>
      <c r="G44" s="228"/>
      <c r="H44" s="229"/>
    </row>
    <row r="45" spans="2:8" ht="15.75" thickBot="1" x14ac:dyDescent="0.3">
      <c r="B45" s="99"/>
      <c r="C45" s="100"/>
      <c r="D45" s="100"/>
      <c r="E45" s="100"/>
      <c r="F45" s="100"/>
      <c r="G45" s="100"/>
      <c r="H45" s="101"/>
    </row>
  </sheetData>
  <mergeCells count="64">
    <mergeCell ref="E22:F22"/>
    <mergeCell ref="C22:D22"/>
    <mergeCell ref="E37:F37"/>
    <mergeCell ref="B40:H40"/>
    <mergeCell ref="C29:D29"/>
    <mergeCell ref="E29:F29"/>
    <mergeCell ref="E25:F25"/>
    <mergeCell ref="C28:D28"/>
    <mergeCell ref="E28:F28"/>
    <mergeCell ref="B44:H44"/>
    <mergeCell ref="E23:F23"/>
    <mergeCell ref="C23:D23"/>
    <mergeCell ref="C24:D24"/>
    <mergeCell ref="E24:F24"/>
    <mergeCell ref="C36:D36"/>
    <mergeCell ref="E26:F26"/>
    <mergeCell ref="E34:F34"/>
    <mergeCell ref="C32:D32"/>
    <mergeCell ref="C31:D31"/>
    <mergeCell ref="E31:F31"/>
    <mergeCell ref="E32:F32"/>
    <mergeCell ref="C27:D27"/>
    <mergeCell ref="E27:F27"/>
    <mergeCell ref="C33:D33"/>
    <mergeCell ref="C30:D30"/>
    <mergeCell ref="E20:F20"/>
    <mergeCell ref="E21:F21"/>
    <mergeCell ref="B42:H42"/>
    <mergeCell ref="B43:H43"/>
    <mergeCell ref="E30:F30"/>
    <mergeCell ref="E33:F33"/>
    <mergeCell ref="C34:D34"/>
    <mergeCell ref="C35:D35"/>
    <mergeCell ref="E35:F35"/>
    <mergeCell ref="C25:D25"/>
    <mergeCell ref="E36:F36"/>
    <mergeCell ref="B41:H41"/>
    <mergeCell ref="C38:D38"/>
    <mergeCell ref="E38:F38"/>
    <mergeCell ref="C37:D37"/>
    <mergeCell ref="C26:D26"/>
    <mergeCell ref="C13:D13"/>
    <mergeCell ref="E13:F13"/>
    <mergeCell ref="C17:D17"/>
    <mergeCell ref="E17:F17"/>
    <mergeCell ref="C21:D21"/>
    <mergeCell ref="C18:D18"/>
    <mergeCell ref="C19:D19"/>
    <mergeCell ref="C20:D20"/>
    <mergeCell ref="E18:F18"/>
    <mergeCell ref="C16:D16"/>
    <mergeCell ref="E16:F16"/>
    <mergeCell ref="C14:D14"/>
    <mergeCell ref="E14:F14"/>
    <mergeCell ref="C15:D15"/>
    <mergeCell ref="E15:F15"/>
    <mergeCell ref="E19:F19"/>
    <mergeCell ref="B2:H2"/>
    <mergeCell ref="B4:H5"/>
    <mergeCell ref="B6:H6"/>
    <mergeCell ref="B9:H10"/>
    <mergeCell ref="C12:D12"/>
    <mergeCell ref="E12:F12"/>
    <mergeCell ref="B7:H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tabColor rgb="FF002060"/>
  </sheetPr>
  <dimension ref="A1:BX571"/>
  <sheetViews>
    <sheetView tabSelected="1" view="pageBreakPreview" topLeftCell="A7" zoomScale="70" zoomScaleNormal="55" zoomScaleSheetLayoutView="70" workbookViewId="0">
      <selection sqref="A1:G1"/>
    </sheetView>
  </sheetViews>
  <sheetFormatPr baseColWidth="10" defaultColWidth="11.42578125" defaultRowHeight="69" customHeight="1" x14ac:dyDescent="0.3"/>
  <cols>
    <col min="1" max="1" width="4" style="599" bestFit="1" customWidth="1"/>
    <col min="2" max="2" width="18.85546875" style="599" customWidth="1"/>
    <col min="3" max="3" width="27.85546875" style="646" customWidth="1"/>
    <col min="4" max="4" width="40.140625" style="599" customWidth="1"/>
    <col min="5" max="6" width="28.28515625" style="599" customWidth="1"/>
    <col min="7" max="7" width="50.42578125" style="599" customWidth="1"/>
    <col min="8" max="8" width="47.5703125" style="535" customWidth="1"/>
    <col min="9" max="12" width="14.85546875" style="535" customWidth="1"/>
    <col min="13" max="13" width="22.28515625" style="647" customWidth="1"/>
    <col min="14" max="14" width="32.85546875" style="647" customWidth="1"/>
    <col min="15" max="15" width="17.85546875" style="535" customWidth="1"/>
    <col min="16" max="16" width="16.5703125" style="535" customWidth="1"/>
    <col min="17" max="17" width="9" style="535" customWidth="1"/>
    <col min="18" max="18" width="27.28515625" style="535" bestFit="1" customWidth="1"/>
    <col min="19" max="19" width="30.5703125" style="535" hidden="1" customWidth="1"/>
    <col min="20" max="20" width="17.5703125" style="535" customWidth="1"/>
    <col min="21" max="21" width="7.85546875" style="535" customWidth="1"/>
    <col min="22" max="22" width="16" style="535" customWidth="1"/>
    <col min="23" max="23" width="5.85546875" style="535" customWidth="1"/>
    <col min="24" max="24" width="75.140625" style="535" customWidth="1"/>
    <col min="25" max="25" width="15.7109375" style="535" bestFit="1" customWidth="1"/>
    <col min="26" max="26" width="6.85546875" style="535" customWidth="1"/>
    <col min="27" max="27" width="5" style="535" customWidth="1"/>
    <col min="28" max="28" width="5.5703125" style="535" customWidth="1"/>
    <col min="29" max="29" width="7.140625" style="535" customWidth="1"/>
    <col min="30" max="30" width="6.7109375" style="535" customWidth="1"/>
    <col min="31" max="31" width="7.5703125" style="535" customWidth="1"/>
    <col min="32" max="32" width="38.28515625" style="535" hidden="1" customWidth="1"/>
    <col min="33" max="38" width="11.140625" style="535" customWidth="1"/>
    <col min="39" max="39" width="41.5703125" style="535" customWidth="1"/>
    <col min="40" max="40" width="26" style="535" customWidth="1"/>
    <col min="41" max="41" width="27.7109375" style="535" bestFit="1" customWidth="1"/>
    <col min="42" max="42" width="23.85546875" style="535" bestFit="1" customWidth="1"/>
    <col min="43" max="43" width="32" style="535" customWidth="1"/>
    <col min="44" max="44" width="25.28515625" style="535" customWidth="1"/>
    <col min="45" max="16384" width="11.42578125" style="535"/>
  </cols>
  <sheetData>
    <row r="1" spans="1:76" ht="67.5" customHeight="1" thickBot="1" x14ac:dyDescent="0.35">
      <c r="A1" s="525" t="s">
        <v>60</v>
      </c>
      <c r="B1" s="526"/>
      <c r="C1" s="526"/>
      <c r="D1" s="526"/>
      <c r="E1" s="526"/>
      <c r="F1" s="526"/>
      <c r="G1" s="527"/>
      <c r="H1" s="528" t="s">
        <v>61</v>
      </c>
      <c r="I1" s="529"/>
      <c r="J1" s="529"/>
      <c r="K1" s="529"/>
      <c r="L1" s="529"/>
      <c r="M1" s="530"/>
      <c r="N1" s="530"/>
      <c r="O1" s="530"/>
      <c r="P1" s="530"/>
      <c r="Q1" s="530"/>
      <c r="R1" s="530"/>
      <c r="S1" s="530"/>
      <c r="T1" s="530"/>
      <c r="U1" s="530"/>
      <c r="V1" s="530"/>
      <c r="W1" s="530"/>
      <c r="X1" s="530"/>
      <c r="Y1" s="530"/>
      <c r="Z1" s="530"/>
      <c r="AA1" s="530"/>
      <c r="AB1" s="530"/>
      <c r="AC1" s="530"/>
      <c r="AD1" s="530"/>
      <c r="AE1" s="530"/>
      <c r="AF1" s="530"/>
      <c r="AG1" s="530"/>
      <c r="AH1" s="530"/>
      <c r="AI1" s="530"/>
      <c r="AJ1" s="530"/>
      <c r="AK1" s="530"/>
      <c r="AL1" s="530"/>
      <c r="AM1" s="530"/>
      <c r="AN1" s="530"/>
      <c r="AO1" s="531"/>
      <c r="AP1" s="532" t="s">
        <v>62</v>
      </c>
      <c r="AQ1" s="533"/>
      <c r="AR1" s="534"/>
    </row>
    <row r="2" spans="1:76" ht="21" thickBot="1" x14ac:dyDescent="0.35">
      <c r="A2" s="536"/>
      <c r="B2" s="537"/>
      <c r="C2" s="537"/>
      <c r="D2" s="537"/>
      <c r="E2" s="537"/>
      <c r="F2" s="537"/>
      <c r="G2" s="538"/>
      <c r="H2" s="539" t="s">
        <v>63</v>
      </c>
      <c r="I2" s="540"/>
      <c r="J2" s="540"/>
      <c r="K2" s="540"/>
      <c r="L2" s="540"/>
      <c r="M2" s="541"/>
      <c r="N2" s="541"/>
      <c r="O2" s="541"/>
      <c r="P2" s="541"/>
      <c r="Q2" s="541"/>
      <c r="R2" s="541"/>
      <c r="S2" s="541"/>
      <c r="T2" s="541"/>
      <c r="U2" s="541"/>
      <c r="V2" s="541"/>
      <c r="W2" s="541"/>
      <c r="X2" s="541"/>
      <c r="Y2" s="541"/>
      <c r="Z2" s="541"/>
      <c r="AA2" s="541"/>
      <c r="AB2" s="541"/>
      <c r="AC2" s="541"/>
      <c r="AD2" s="541"/>
      <c r="AE2" s="541"/>
      <c r="AF2" s="541"/>
      <c r="AG2" s="541"/>
      <c r="AH2" s="541"/>
      <c r="AI2" s="541"/>
      <c r="AJ2" s="541"/>
      <c r="AK2" s="541"/>
      <c r="AL2" s="541"/>
      <c r="AM2" s="541"/>
      <c r="AN2" s="541"/>
      <c r="AO2" s="542"/>
      <c r="AP2" s="543"/>
      <c r="AQ2" s="544"/>
      <c r="AR2" s="545"/>
    </row>
    <row r="3" spans="1:76" ht="21" thickBot="1" x14ac:dyDescent="0.35">
      <c r="A3" s="546"/>
      <c r="B3" s="547"/>
      <c r="C3" s="547"/>
      <c r="D3" s="547"/>
      <c r="E3" s="547"/>
      <c r="F3" s="547"/>
      <c r="G3" s="548"/>
      <c r="H3" s="549"/>
      <c r="I3" s="550"/>
      <c r="J3" s="550"/>
      <c r="K3" s="550"/>
      <c r="L3" s="550"/>
      <c r="M3" s="551"/>
      <c r="N3" s="551"/>
      <c r="O3" s="551"/>
      <c r="P3" s="551"/>
      <c r="Q3" s="551"/>
      <c r="R3" s="551"/>
      <c r="S3" s="551"/>
      <c r="T3" s="551"/>
      <c r="U3" s="551"/>
      <c r="V3" s="551"/>
      <c r="W3" s="551"/>
      <c r="X3" s="551"/>
      <c r="Y3" s="551"/>
      <c r="Z3" s="551"/>
      <c r="AA3" s="551"/>
      <c r="AB3" s="551"/>
      <c r="AC3" s="551"/>
      <c r="AD3" s="551"/>
      <c r="AE3" s="551"/>
      <c r="AF3" s="551"/>
      <c r="AG3" s="551"/>
      <c r="AH3" s="551"/>
      <c r="AI3" s="551"/>
      <c r="AJ3" s="551"/>
      <c r="AK3" s="551"/>
      <c r="AL3" s="551"/>
      <c r="AM3" s="551"/>
      <c r="AN3" s="551"/>
      <c r="AO3" s="552"/>
      <c r="AP3" s="553" t="s">
        <v>64</v>
      </c>
      <c r="AQ3" s="554"/>
      <c r="AR3" s="555"/>
    </row>
    <row r="4" spans="1:76" ht="21" thickBot="1" x14ac:dyDescent="0.35">
      <c r="A4" s="546"/>
      <c r="B4" s="547"/>
      <c r="C4" s="547"/>
      <c r="D4" s="547"/>
      <c r="E4" s="547"/>
      <c r="F4" s="547"/>
      <c r="G4" s="548"/>
      <c r="H4" s="528" t="s">
        <v>65</v>
      </c>
      <c r="I4" s="529"/>
      <c r="J4" s="529"/>
      <c r="K4" s="529"/>
      <c r="L4" s="529"/>
      <c r="M4" s="530"/>
      <c r="N4" s="530"/>
      <c r="O4" s="530"/>
      <c r="P4" s="530"/>
      <c r="Q4" s="530"/>
      <c r="R4" s="530"/>
      <c r="S4" s="530"/>
      <c r="T4" s="530"/>
      <c r="U4" s="530"/>
      <c r="V4" s="530"/>
      <c r="W4" s="530"/>
      <c r="X4" s="530"/>
      <c r="Y4" s="530"/>
      <c r="Z4" s="530"/>
      <c r="AA4" s="530"/>
      <c r="AB4" s="530"/>
      <c r="AC4" s="530"/>
      <c r="AD4" s="530"/>
      <c r="AE4" s="530"/>
      <c r="AF4" s="530"/>
      <c r="AG4" s="530"/>
      <c r="AH4" s="530"/>
      <c r="AI4" s="530"/>
      <c r="AJ4" s="530"/>
      <c r="AK4" s="530"/>
      <c r="AL4" s="530"/>
      <c r="AM4" s="530"/>
      <c r="AN4" s="530"/>
      <c r="AO4" s="531"/>
      <c r="AP4" s="553" t="s">
        <v>66</v>
      </c>
      <c r="AQ4" s="554"/>
      <c r="AR4" s="555"/>
      <c r="AS4" s="556"/>
      <c r="AT4" s="556"/>
      <c r="AU4" s="556"/>
      <c r="AV4" s="556"/>
      <c r="AW4" s="556"/>
      <c r="AX4" s="556"/>
      <c r="AY4" s="556"/>
      <c r="AZ4" s="556"/>
      <c r="BA4" s="556"/>
      <c r="BB4" s="556"/>
      <c r="BC4" s="556"/>
      <c r="BD4" s="556"/>
      <c r="BE4" s="556"/>
      <c r="BF4" s="556"/>
      <c r="BG4" s="556"/>
      <c r="BH4" s="556"/>
      <c r="BI4" s="556"/>
      <c r="BJ4" s="556"/>
      <c r="BK4" s="556"/>
      <c r="BL4" s="556"/>
      <c r="BM4" s="556"/>
      <c r="BN4" s="556"/>
      <c r="BO4" s="556"/>
      <c r="BP4" s="556"/>
      <c r="BQ4" s="556"/>
      <c r="BR4" s="556"/>
      <c r="BS4" s="556"/>
      <c r="BT4" s="556"/>
      <c r="BU4" s="556"/>
      <c r="BV4" s="556"/>
      <c r="BW4" s="556"/>
      <c r="BX4" s="556"/>
    </row>
    <row r="5" spans="1:76" ht="72.75" customHeight="1" thickBot="1" x14ac:dyDescent="0.35">
      <c r="A5" s="557"/>
      <c r="B5" s="558"/>
      <c r="C5" s="558"/>
      <c r="D5" s="558"/>
      <c r="E5" s="558"/>
      <c r="F5" s="558"/>
      <c r="G5" s="559"/>
      <c r="H5" s="560" t="s">
        <v>67</v>
      </c>
      <c r="I5" s="561"/>
      <c r="J5" s="561"/>
      <c r="K5" s="561"/>
      <c r="L5" s="561"/>
      <c r="M5" s="562"/>
      <c r="N5" s="562"/>
      <c r="O5" s="562"/>
      <c r="P5" s="562"/>
      <c r="Q5" s="562"/>
      <c r="R5" s="562"/>
      <c r="S5" s="562"/>
      <c r="T5" s="562"/>
      <c r="U5" s="562"/>
      <c r="V5" s="562"/>
      <c r="W5" s="562"/>
      <c r="X5" s="562"/>
      <c r="Y5" s="562"/>
      <c r="Z5" s="562"/>
      <c r="AA5" s="562"/>
      <c r="AB5" s="562"/>
      <c r="AC5" s="562"/>
      <c r="AD5" s="562"/>
      <c r="AE5" s="562"/>
      <c r="AF5" s="562"/>
      <c r="AG5" s="562"/>
      <c r="AH5" s="562"/>
      <c r="AI5" s="562"/>
      <c r="AJ5" s="562"/>
      <c r="AK5" s="562"/>
      <c r="AL5" s="562"/>
      <c r="AM5" s="562"/>
      <c r="AN5" s="562"/>
      <c r="AO5" s="563"/>
      <c r="AP5" s="553" t="s">
        <v>68</v>
      </c>
      <c r="AQ5" s="554"/>
      <c r="AR5" s="555"/>
      <c r="AS5" s="556"/>
      <c r="AT5" s="556"/>
      <c r="AU5" s="556"/>
      <c r="AV5" s="556"/>
      <c r="AW5" s="556"/>
      <c r="AX5" s="556"/>
      <c r="AY5" s="556"/>
      <c r="AZ5" s="556"/>
      <c r="BA5" s="556"/>
      <c r="BB5" s="556"/>
      <c r="BC5" s="556"/>
      <c r="BD5" s="556"/>
      <c r="BE5" s="556"/>
      <c r="BF5" s="556"/>
      <c r="BG5" s="556"/>
      <c r="BH5" s="556"/>
      <c r="BI5" s="556"/>
      <c r="BJ5" s="556"/>
      <c r="BK5" s="556"/>
      <c r="BL5" s="556"/>
      <c r="BM5" s="556"/>
      <c r="BN5" s="556"/>
      <c r="BO5" s="556"/>
      <c r="BP5" s="556"/>
      <c r="BQ5" s="556"/>
      <c r="BR5" s="556"/>
      <c r="BS5" s="556"/>
      <c r="BT5" s="556"/>
      <c r="BU5" s="556"/>
      <c r="BV5" s="556"/>
      <c r="BW5" s="556"/>
      <c r="BX5" s="556"/>
    </row>
    <row r="6" spans="1:76" ht="20.25" x14ac:dyDescent="0.3">
      <c r="A6" s="564"/>
      <c r="B6" s="564"/>
      <c r="C6" s="565"/>
      <c r="D6" s="564"/>
      <c r="E6" s="566"/>
      <c r="F6" s="564"/>
      <c r="G6" s="564"/>
      <c r="H6" s="556"/>
      <c r="I6" s="556"/>
      <c r="J6" s="556"/>
      <c r="K6" s="556"/>
      <c r="L6" s="556"/>
      <c r="M6" s="567"/>
      <c r="N6" s="567"/>
      <c r="O6" s="556"/>
      <c r="P6" s="556"/>
      <c r="Q6" s="556"/>
      <c r="R6" s="556"/>
      <c r="S6" s="556"/>
      <c r="T6" s="556"/>
      <c r="U6" s="556"/>
      <c r="V6" s="556"/>
      <c r="W6" s="556"/>
      <c r="X6" s="556"/>
      <c r="Y6" s="556"/>
      <c r="Z6" s="556"/>
      <c r="AA6" s="556"/>
      <c r="AB6" s="556"/>
      <c r="AC6" s="556"/>
      <c r="AD6" s="556"/>
      <c r="AE6" s="556"/>
      <c r="AF6" s="556"/>
      <c r="AG6" s="556"/>
      <c r="AH6" s="556"/>
      <c r="AI6" s="556"/>
      <c r="AJ6" s="556"/>
      <c r="AK6" s="556"/>
      <c r="AL6" s="556"/>
      <c r="AM6" s="556"/>
      <c r="AN6" s="556"/>
      <c r="AO6" s="568"/>
      <c r="AP6" s="568"/>
      <c r="AQ6" s="568"/>
      <c r="AR6" s="568"/>
      <c r="AS6" s="556"/>
      <c r="AT6" s="556"/>
      <c r="AU6" s="556"/>
      <c r="AV6" s="556"/>
      <c r="AW6" s="556"/>
      <c r="AX6" s="556"/>
      <c r="AY6" s="556"/>
      <c r="AZ6" s="556"/>
      <c r="BA6" s="556"/>
      <c r="BB6" s="556"/>
      <c r="BC6" s="556"/>
      <c r="BD6" s="556"/>
      <c r="BE6" s="556"/>
      <c r="BF6" s="556"/>
      <c r="BG6" s="556"/>
      <c r="BH6" s="556"/>
      <c r="BI6" s="556"/>
      <c r="BJ6" s="556"/>
      <c r="BK6" s="556"/>
      <c r="BL6" s="556"/>
      <c r="BM6" s="556"/>
      <c r="BN6" s="556"/>
      <c r="BO6" s="556"/>
      <c r="BP6" s="556"/>
      <c r="BQ6" s="556"/>
      <c r="BR6" s="556"/>
      <c r="BS6" s="556"/>
      <c r="BT6" s="556"/>
      <c r="BU6" s="556"/>
      <c r="BV6" s="556"/>
      <c r="BW6" s="556"/>
      <c r="BX6" s="556"/>
    </row>
    <row r="7" spans="1:76" ht="49.5" customHeight="1" x14ac:dyDescent="0.3">
      <c r="A7" s="569" t="s">
        <v>69</v>
      </c>
      <c r="B7" s="570"/>
      <c r="C7" s="570"/>
      <c r="D7" s="570"/>
      <c r="E7" s="571"/>
      <c r="F7" s="572" t="s">
        <v>1191</v>
      </c>
      <c r="G7" s="573"/>
      <c r="H7" s="573"/>
      <c r="I7" s="573"/>
      <c r="J7" s="573"/>
      <c r="K7" s="573"/>
      <c r="L7" s="573"/>
      <c r="M7" s="573"/>
      <c r="N7" s="573"/>
      <c r="O7" s="573"/>
      <c r="P7" s="573"/>
      <c r="Q7" s="573"/>
      <c r="R7" s="573"/>
      <c r="S7" s="573"/>
      <c r="T7" s="573"/>
      <c r="U7" s="573"/>
      <c r="V7" s="574"/>
      <c r="W7" s="575"/>
      <c r="X7" s="575"/>
      <c r="Y7" s="575"/>
      <c r="Z7" s="556"/>
      <c r="AA7" s="556"/>
      <c r="AB7" s="556"/>
      <c r="AC7" s="556"/>
      <c r="AD7" s="556"/>
      <c r="AE7" s="556"/>
      <c r="AF7" s="556"/>
      <c r="AG7" s="556"/>
      <c r="AH7" s="556"/>
      <c r="AI7" s="556"/>
      <c r="AJ7" s="556"/>
      <c r="AK7" s="556"/>
      <c r="AL7" s="556"/>
      <c r="AM7" s="556"/>
      <c r="AN7" s="556"/>
      <c r="AO7" s="556"/>
      <c r="AP7" s="556"/>
      <c r="AQ7" s="556"/>
      <c r="AR7" s="556"/>
      <c r="AS7" s="556"/>
      <c r="AT7" s="556"/>
      <c r="AU7" s="556"/>
      <c r="AV7" s="556"/>
      <c r="AW7" s="556"/>
      <c r="AX7" s="556"/>
      <c r="AY7" s="556"/>
      <c r="AZ7" s="556"/>
      <c r="BA7" s="556"/>
      <c r="BB7" s="556"/>
      <c r="BC7" s="556"/>
      <c r="BD7" s="556"/>
      <c r="BE7" s="556"/>
      <c r="BF7" s="556"/>
      <c r="BG7" s="556"/>
      <c r="BH7" s="556"/>
      <c r="BI7" s="556"/>
      <c r="BJ7" s="556"/>
      <c r="BK7" s="556"/>
      <c r="BL7" s="556"/>
      <c r="BM7" s="556"/>
      <c r="BN7" s="556"/>
      <c r="BO7" s="556"/>
      <c r="BP7" s="556"/>
      <c r="BQ7" s="556"/>
      <c r="BR7" s="556"/>
      <c r="BS7" s="556"/>
      <c r="BT7" s="556"/>
      <c r="BU7" s="556"/>
      <c r="BV7" s="556"/>
      <c r="BW7" s="556"/>
      <c r="BX7" s="556"/>
    </row>
    <row r="8" spans="1:76" ht="49.5" customHeight="1" x14ac:dyDescent="0.3">
      <c r="A8" s="576" t="s">
        <v>70</v>
      </c>
      <c r="B8" s="577"/>
      <c r="C8" s="577"/>
      <c r="D8" s="577"/>
      <c r="E8" s="578"/>
      <c r="F8" s="579" t="s">
        <v>1188</v>
      </c>
      <c r="G8" s="580"/>
      <c r="H8" s="580"/>
      <c r="I8" s="580"/>
      <c r="J8" s="580"/>
      <c r="K8" s="580"/>
      <c r="L8" s="580"/>
      <c r="M8" s="580"/>
      <c r="N8" s="580"/>
      <c r="O8" s="580"/>
      <c r="P8" s="580"/>
      <c r="Q8" s="580"/>
      <c r="R8" s="580"/>
      <c r="S8" s="580"/>
      <c r="T8" s="580"/>
      <c r="U8" s="580"/>
      <c r="V8" s="581"/>
      <c r="W8" s="556"/>
      <c r="X8" s="556"/>
      <c r="Y8" s="556"/>
      <c r="Z8" s="556"/>
      <c r="AA8" s="556"/>
      <c r="AB8" s="556"/>
      <c r="AC8" s="556"/>
      <c r="AD8" s="556"/>
      <c r="AE8" s="556"/>
      <c r="AF8" s="556"/>
      <c r="AG8" s="556"/>
      <c r="AH8" s="556"/>
      <c r="AI8" s="556"/>
      <c r="AJ8" s="556"/>
      <c r="AK8" s="556"/>
      <c r="AL8" s="556"/>
      <c r="AM8" s="556"/>
      <c r="AN8" s="556"/>
      <c r="AO8" s="556"/>
      <c r="AP8" s="556"/>
      <c r="AQ8" s="556"/>
      <c r="AR8" s="556"/>
      <c r="AS8" s="556"/>
      <c r="AT8" s="556"/>
      <c r="AU8" s="556"/>
      <c r="AV8" s="556"/>
      <c r="AW8" s="556"/>
      <c r="AX8" s="556"/>
      <c r="AY8" s="556"/>
      <c r="AZ8" s="556"/>
      <c r="BA8" s="556"/>
      <c r="BB8" s="556"/>
      <c r="BC8" s="556"/>
      <c r="BD8" s="556"/>
      <c r="BE8" s="556"/>
      <c r="BF8" s="556"/>
      <c r="BG8" s="556"/>
      <c r="BH8" s="556"/>
      <c r="BI8" s="556"/>
      <c r="BJ8" s="556"/>
      <c r="BK8" s="556"/>
      <c r="BL8" s="556"/>
      <c r="BM8" s="556"/>
      <c r="BN8" s="556"/>
      <c r="BO8" s="556"/>
      <c r="BP8" s="556"/>
      <c r="BQ8" s="556"/>
      <c r="BR8" s="556"/>
      <c r="BS8" s="556"/>
      <c r="BT8" s="556"/>
      <c r="BU8" s="556"/>
      <c r="BV8" s="556"/>
      <c r="BW8" s="556"/>
      <c r="BX8" s="556"/>
    </row>
    <row r="9" spans="1:76" ht="69" customHeight="1" x14ac:dyDescent="0.3">
      <c r="A9" s="569" t="s">
        <v>71</v>
      </c>
      <c r="B9" s="570"/>
      <c r="C9" s="570"/>
      <c r="D9" s="570"/>
      <c r="E9" s="571"/>
      <c r="F9" s="579" t="s">
        <v>1190</v>
      </c>
      <c r="G9" s="580"/>
      <c r="H9" s="580"/>
      <c r="I9" s="580"/>
      <c r="J9" s="580"/>
      <c r="K9" s="580"/>
      <c r="L9" s="580"/>
      <c r="M9" s="580"/>
      <c r="N9" s="580"/>
      <c r="O9" s="580"/>
      <c r="P9" s="580"/>
      <c r="Q9" s="580"/>
      <c r="R9" s="580"/>
      <c r="S9" s="580"/>
      <c r="T9" s="580"/>
      <c r="U9" s="580"/>
      <c r="V9" s="581"/>
      <c r="W9" s="556"/>
      <c r="X9" s="556"/>
      <c r="Y9" s="556"/>
      <c r="Z9" s="556"/>
      <c r="AA9" s="556"/>
      <c r="AB9" s="556"/>
      <c r="AC9" s="556"/>
      <c r="AD9" s="556"/>
      <c r="AE9" s="556"/>
      <c r="AF9" s="556"/>
      <c r="AG9" s="556"/>
      <c r="AH9" s="556"/>
      <c r="AI9" s="556"/>
      <c r="AJ9" s="556"/>
      <c r="AK9" s="556"/>
      <c r="AL9" s="556"/>
      <c r="AM9" s="556"/>
      <c r="AN9" s="556"/>
      <c r="AO9" s="556"/>
      <c r="AP9" s="556"/>
      <c r="AQ9" s="556"/>
      <c r="AR9" s="556"/>
      <c r="AS9" s="556"/>
      <c r="AT9" s="556"/>
      <c r="AU9" s="556"/>
      <c r="AV9" s="556"/>
      <c r="AW9" s="556"/>
      <c r="AX9" s="556"/>
      <c r="AY9" s="556"/>
      <c r="AZ9" s="556"/>
      <c r="BA9" s="556"/>
      <c r="BB9" s="556"/>
      <c r="BC9" s="556"/>
      <c r="BD9" s="556"/>
      <c r="BE9" s="556"/>
      <c r="BF9" s="556"/>
      <c r="BG9" s="556"/>
      <c r="BH9" s="556"/>
      <c r="BI9" s="556"/>
      <c r="BJ9" s="556"/>
      <c r="BK9" s="556"/>
      <c r="BL9" s="556"/>
      <c r="BM9" s="556"/>
      <c r="BN9" s="556"/>
      <c r="BO9" s="556"/>
      <c r="BP9" s="556"/>
      <c r="BQ9" s="556"/>
      <c r="BR9" s="556"/>
      <c r="BS9" s="556"/>
      <c r="BT9" s="556"/>
      <c r="BU9" s="556"/>
      <c r="BV9" s="556"/>
      <c r="BW9" s="556"/>
      <c r="BX9" s="556"/>
    </row>
    <row r="10" spans="1:76" ht="20.25" x14ac:dyDescent="0.3">
      <c r="A10" s="582" t="s">
        <v>72</v>
      </c>
      <c r="B10" s="582"/>
      <c r="C10" s="582"/>
      <c r="D10" s="582"/>
      <c r="E10" s="582"/>
      <c r="F10" s="582"/>
      <c r="G10" s="582"/>
      <c r="H10" s="582"/>
      <c r="I10" s="582"/>
      <c r="J10" s="582"/>
      <c r="K10" s="582"/>
      <c r="L10" s="582"/>
      <c r="M10" s="582"/>
      <c r="N10" s="582"/>
      <c r="O10" s="582"/>
      <c r="P10" s="582" t="s">
        <v>73</v>
      </c>
      <c r="Q10" s="582"/>
      <c r="R10" s="582"/>
      <c r="S10" s="582"/>
      <c r="T10" s="582"/>
      <c r="U10" s="582"/>
      <c r="V10" s="582"/>
      <c r="W10" s="583" t="s">
        <v>74</v>
      </c>
      <c r="X10" s="583"/>
      <c r="Y10" s="583"/>
      <c r="Z10" s="583"/>
      <c r="AA10" s="583"/>
      <c r="AB10" s="583"/>
      <c r="AC10" s="583"/>
      <c r="AD10" s="583"/>
      <c r="AE10" s="583"/>
      <c r="AF10" s="583" t="s">
        <v>75</v>
      </c>
      <c r="AG10" s="583"/>
      <c r="AH10" s="583"/>
      <c r="AI10" s="583"/>
      <c r="AJ10" s="583"/>
      <c r="AK10" s="583"/>
      <c r="AL10" s="584"/>
      <c r="AM10" s="585" t="s">
        <v>76</v>
      </c>
      <c r="AN10" s="583"/>
      <c r="AO10" s="583"/>
      <c r="AP10" s="583"/>
      <c r="AQ10" s="583"/>
      <c r="AR10" s="583"/>
      <c r="AS10" s="556"/>
      <c r="AT10" s="556"/>
      <c r="AU10" s="556"/>
      <c r="AV10" s="556"/>
      <c r="AW10" s="556"/>
      <c r="AX10" s="556"/>
      <c r="AY10" s="556"/>
      <c r="AZ10" s="556"/>
      <c r="BA10" s="556"/>
      <c r="BB10" s="556"/>
      <c r="BC10" s="556"/>
      <c r="BD10" s="556"/>
      <c r="BE10" s="556"/>
      <c r="BF10" s="556"/>
      <c r="BG10" s="556"/>
      <c r="BH10" s="556"/>
      <c r="BI10" s="556"/>
      <c r="BJ10" s="556"/>
      <c r="BK10" s="556"/>
      <c r="BL10" s="556"/>
      <c r="BM10" s="556"/>
      <c r="BN10" s="556"/>
      <c r="BO10" s="556"/>
      <c r="BP10" s="556"/>
      <c r="BQ10" s="556"/>
      <c r="BR10" s="556"/>
      <c r="BS10" s="556"/>
      <c r="BT10" s="556"/>
      <c r="BU10" s="556"/>
      <c r="BV10" s="556"/>
      <c r="BW10" s="556"/>
      <c r="BX10" s="556"/>
    </row>
    <row r="11" spans="1:76" ht="50.25" customHeight="1" x14ac:dyDescent="0.3">
      <c r="A11" s="586" t="s">
        <v>77</v>
      </c>
      <c r="B11" s="587" t="s">
        <v>78</v>
      </c>
      <c r="C11" s="587" t="s">
        <v>7</v>
      </c>
      <c r="D11" s="588" t="s">
        <v>79</v>
      </c>
      <c r="E11" s="588" t="s">
        <v>15</v>
      </c>
      <c r="F11" s="587" t="s">
        <v>17</v>
      </c>
      <c r="G11" s="587" t="s">
        <v>19</v>
      </c>
      <c r="H11" s="588" t="s">
        <v>21</v>
      </c>
      <c r="I11" s="589" t="s">
        <v>80</v>
      </c>
      <c r="J11" s="590"/>
      <c r="K11" s="590"/>
      <c r="L11" s="591"/>
      <c r="M11" s="587" t="s">
        <v>23</v>
      </c>
      <c r="N11" s="592" t="s">
        <v>81</v>
      </c>
      <c r="O11" s="587" t="s">
        <v>82</v>
      </c>
      <c r="P11" s="587" t="s">
        <v>83</v>
      </c>
      <c r="Q11" s="588" t="s">
        <v>84</v>
      </c>
      <c r="R11" s="587" t="s">
        <v>85</v>
      </c>
      <c r="S11" s="587" t="s">
        <v>86</v>
      </c>
      <c r="T11" s="587" t="s">
        <v>87</v>
      </c>
      <c r="U11" s="588" t="s">
        <v>84</v>
      </c>
      <c r="V11" s="587" t="s">
        <v>29</v>
      </c>
      <c r="W11" s="593" t="s">
        <v>88</v>
      </c>
      <c r="X11" s="587" t="s">
        <v>89</v>
      </c>
      <c r="Y11" s="587" t="s">
        <v>33</v>
      </c>
      <c r="Z11" s="587" t="s">
        <v>90</v>
      </c>
      <c r="AA11" s="587"/>
      <c r="AB11" s="587"/>
      <c r="AC11" s="587"/>
      <c r="AD11" s="587"/>
      <c r="AE11" s="587"/>
      <c r="AF11" s="593" t="s">
        <v>91</v>
      </c>
      <c r="AG11" s="593" t="s">
        <v>92</v>
      </c>
      <c r="AH11" s="593" t="s">
        <v>84</v>
      </c>
      <c r="AI11" s="593" t="s">
        <v>93</v>
      </c>
      <c r="AJ11" s="593" t="s">
        <v>84</v>
      </c>
      <c r="AK11" s="593" t="s">
        <v>94</v>
      </c>
      <c r="AL11" s="594" t="s">
        <v>49</v>
      </c>
      <c r="AM11" s="595" t="s">
        <v>76</v>
      </c>
      <c r="AN11" s="587" t="s">
        <v>95</v>
      </c>
      <c r="AO11" s="587" t="s">
        <v>96</v>
      </c>
      <c r="AP11" s="587" t="s">
        <v>97</v>
      </c>
      <c r="AQ11" s="587" t="s">
        <v>98</v>
      </c>
      <c r="AR11" s="587" t="s">
        <v>53</v>
      </c>
      <c r="AS11" s="556"/>
      <c r="AT11" s="556"/>
      <c r="AU11" s="556"/>
      <c r="AV11" s="556"/>
      <c r="AW11" s="556"/>
      <c r="AX11" s="556"/>
      <c r="AY11" s="556"/>
      <c r="AZ11" s="556"/>
      <c r="BA11" s="556"/>
      <c r="BB11" s="556"/>
      <c r="BC11" s="556"/>
      <c r="BD11" s="556"/>
      <c r="BE11" s="556"/>
      <c r="BF11" s="556"/>
      <c r="BG11" s="556"/>
      <c r="BH11" s="556"/>
      <c r="BI11" s="556"/>
      <c r="BJ11" s="556"/>
      <c r="BK11" s="556"/>
      <c r="BL11" s="556"/>
      <c r="BM11" s="556"/>
      <c r="BN11" s="556"/>
      <c r="BO11" s="556"/>
      <c r="BP11" s="556"/>
      <c r="BQ11" s="556"/>
      <c r="BR11" s="556"/>
      <c r="BS11" s="556"/>
      <c r="BT11" s="556"/>
      <c r="BU11" s="556"/>
      <c r="BV11" s="556"/>
      <c r="BW11" s="556"/>
      <c r="BX11" s="556"/>
    </row>
    <row r="12" spans="1:76" s="599" customFormat="1" ht="159.75" customHeight="1" x14ac:dyDescent="0.25">
      <c r="A12" s="586"/>
      <c r="B12" s="587"/>
      <c r="C12" s="587"/>
      <c r="D12" s="588"/>
      <c r="E12" s="588"/>
      <c r="F12" s="587"/>
      <c r="G12" s="587"/>
      <c r="H12" s="588"/>
      <c r="I12" s="596" t="s">
        <v>99</v>
      </c>
      <c r="J12" s="596" t="s">
        <v>100</v>
      </c>
      <c r="K12" s="597" t="s">
        <v>101</v>
      </c>
      <c r="L12" s="596" t="s">
        <v>102</v>
      </c>
      <c r="M12" s="587"/>
      <c r="N12" s="598"/>
      <c r="O12" s="587"/>
      <c r="P12" s="587"/>
      <c r="Q12" s="588"/>
      <c r="R12" s="587"/>
      <c r="S12" s="587"/>
      <c r="T12" s="588"/>
      <c r="U12" s="588"/>
      <c r="V12" s="587"/>
      <c r="W12" s="593"/>
      <c r="X12" s="587"/>
      <c r="Y12" s="587"/>
      <c r="Z12" s="596" t="s">
        <v>103</v>
      </c>
      <c r="AA12" s="596" t="s">
        <v>104</v>
      </c>
      <c r="AB12" s="596" t="s">
        <v>105</v>
      </c>
      <c r="AC12" s="596" t="s">
        <v>106</v>
      </c>
      <c r="AD12" s="596" t="s">
        <v>107</v>
      </c>
      <c r="AE12" s="596" t="s">
        <v>108</v>
      </c>
      <c r="AF12" s="593"/>
      <c r="AG12" s="593"/>
      <c r="AH12" s="593"/>
      <c r="AI12" s="593"/>
      <c r="AJ12" s="593"/>
      <c r="AK12" s="593"/>
      <c r="AL12" s="594"/>
      <c r="AM12" s="595"/>
      <c r="AN12" s="587"/>
      <c r="AO12" s="587"/>
      <c r="AP12" s="587"/>
      <c r="AQ12" s="587"/>
      <c r="AR12" s="587"/>
      <c r="AS12" s="564"/>
      <c r="AT12" s="564"/>
      <c r="AU12" s="564"/>
      <c r="AV12" s="564"/>
      <c r="AW12" s="564"/>
      <c r="AX12" s="564"/>
      <c r="AY12" s="564"/>
      <c r="AZ12" s="564"/>
      <c r="BA12" s="564"/>
      <c r="BB12" s="564"/>
      <c r="BC12" s="564"/>
      <c r="BD12" s="564"/>
      <c r="BE12" s="564"/>
      <c r="BF12" s="564"/>
      <c r="BG12" s="564"/>
      <c r="BH12" s="564"/>
      <c r="BI12" s="564"/>
      <c r="BJ12" s="564"/>
      <c r="BK12" s="564"/>
      <c r="BL12" s="564"/>
      <c r="BM12" s="564"/>
      <c r="BN12" s="564"/>
      <c r="BO12" s="564"/>
      <c r="BP12" s="564"/>
      <c r="BQ12" s="564"/>
      <c r="BR12" s="564"/>
      <c r="BS12" s="564"/>
      <c r="BT12" s="564"/>
      <c r="BU12" s="564"/>
      <c r="BV12" s="564"/>
      <c r="BW12" s="564"/>
      <c r="BX12" s="564"/>
    </row>
    <row r="13" spans="1:76" s="605" customFormat="1" ht="162" x14ac:dyDescent="0.25">
      <c r="A13" s="252">
        <v>1</v>
      </c>
      <c r="B13" s="245" t="s">
        <v>475</v>
      </c>
      <c r="C13" s="238" t="s">
        <v>268</v>
      </c>
      <c r="D13" s="238" t="s">
        <v>476</v>
      </c>
      <c r="E13" s="253" t="s">
        <v>243</v>
      </c>
      <c r="F13" s="254" t="s">
        <v>477</v>
      </c>
      <c r="G13" s="254" t="s">
        <v>478</v>
      </c>
      <c r="H13" s="255" t="s">
        <v>479</v>
      </c>
      <c r="I13" s="248" t="s">
        <v>480</v>
      </c>
      <c r="J13" s="248" t="s">
        <v>480</v>
      </c>
      <c r="K13" s="248" t="s">
        <v>480</v>
      </c>
      <c r="L13" s="248" t="s">
        <v>480</v>
      </c>
      <c r="M13" s="238" t="s">
        <v>242</v>
      </c>
      <c r="N13" s="238"/>
      <c r="O13" s="245">
        <v>5000</v>
      </c>
      <c r="P13" s="600" t="str">
        <f>IF(O13&lt;=0,"",IF(O13&lt;=2,"Muy Baja",IF(O13&lt;=24,"Baja",IF(O13&lt;=500,"Media",IF(O13&lt;=5000,"Alta","Muy Alta")))))</f>
        <v>Alta</v>
      </c>
      <c r="Q13" s="601">
        <f>IF(P13="","",IF(P13="Muy Baja",0.2,IF(P13="Baja",0.4,IF(P13="Media",0.6,IF(P13="Alta",0.8,IF(P13="Muy Alta",1,))))))</f>
        <v>0.8</v>
      </c>
      <c r="R13" s="601" t="s">
        <v>190</v>
      </c>
      <c r="S13" s="601" t="str">
        <f ca="1">IF(NOT(ISERROR(MATCH(R13,'Tabla Impacto'!$B$221:$B$223,0))),'Tabla Impacto'!$F$223&amp;"Por favor no seleccionar los criterios de impacto(Afectación Económica o presupuestal y Pérdida Reputacional)",R13)</f>
        <v>El riesgo afecta la imagen de la entidad internamente, de conocimiento general, nivel interno, de junta dircetiva y accionistas y/o de provedores</v>
      </c>
      <c r="T13" s="600" t="str">
        <f ca="1">+IF(OR(S13='[1]Tabla Impacto'!$C$11,S13='[1]Tabla Impacto'!$D$11),"Leve",IF(OR(S13='[1]Tabla Impacto'!$C$12,S13='[1]Tabla Impacto'!$D$12),"Menor",IF(OR(S13='[1]Tabla Impacto'!$C$13,S13='[1]Tabla Impacto'!$D$13),"Moderado",IF(OR(S13='[1]Tabla Impacto'!$C$14,S13='[1]Tabla Impacto'!$D$14),"Mayor",IF(OR(S13='[1]Tabla Impacto'!$C$15,S13='[1]Tabla Impacto'!$D$15),"Catastrófico","")))))</f>
        <v>Menor</v>
      </c>
      <c r="U13" s="601">
        <f ca="1">IF(T13="","",IF(T13="Leve",0.2,IF(T13="Menor",0.4,IF(T13="Moderado",0.6,IF(T13="Mayor",0.8,IF(T13="Catastrófico",1,))))))</f>
        <v>0.4</v>
      </c>
      <c r="V13" s="242" t="str">
        <f ca="1">IF(OR(AND(P13="Muy Baja",T13="Leve"),AND(P13="Muy Baja",T13="Menor"),AND(P13="Baja",T13="Leve")),"Bajo",IF(OR(AND(P13="Muy baja",T13="Moderado"),AND(P13="Baja",T13="Menor"),AND(P13="Baja",T13="Moderado"),AND(P13="Media",T13="Leve"),AND(P13="Media",T13="Menor"),AND(P13="Media",T13="Moderado"),AND(P13="Alta",T13="Leve"),AND(P13="Alta",T13="Menor")),"Moderado",IF(OR(AND(P13="Muy Baja",T13="Mayor"),AND(P13="Baja",T13="Mayor"),AND(P13="Media",T13="Mayor"),AND(P13="Alta",T13="Moderado"),AND(P13="Alta",T13="Mayor"),AND(P13="Muy Alta",T13="Leve"),AND(P13="Muy Alta",T13="Menor"),AND(P13="Muy Alta",T13="Moderado"),AND(P13="Muy Alta",T13="Mayor")),"Alto",IF(OR(AND(P13="Muy Baja",T13="Catastrófico"),AND(P13="Baja",T13="Catastrófico"),AND(P13="Media",T13="Catastrófico"),AND(P13="Alta",T13="Catastrófico"),AND(P13="Muy Alta",T13="Catastrófico")),"Extremo",""))))</f>
        <v>Moderado</v>
      </c>
      <c r="W13" s="194">
        <v>1</v>
      </c>
      <c r="X13" s="192" t="s">
        <v>481</v>
      </c>
      <c r="Y13" s="194" t="str">
        <f>IF(OR(Z13="Preventivo",Z13="Detectivo"),"Probabilidad",IF(Z13="Correctivo","Impacto",""))</f>
        <v>Probabilidad</v>
      </c>
      <c r="Z13" s="188" t="s">
        <v>211</v>
      </c>
      <c r="AA13" s="188" t="s">
        <v>219</v>
      </c>
      <c r="AB13" s="185" t="str">
        <f>IF(AND(Z13="Preventivo",AA13="Automático"),"50%",IF(AND(Z13="Preventivo",AA13="Manual"),"40%",IF(AND(Z13="Detectivo",AA13="Automático"),"40%",IF(AND(Z13="Detectivo",AA13="Manual"),"30%",IF(AND(Z13="Correctivo",AA13="Automático"),"35%",IF(AND(Z13="Correctivo",AA13="Manual"),"25%",""))))))</f>
        <v>40%</v>
      </c>
      <c r="AC13" s="188" t="s">
        <v>222</v>
      </c>
      <c r="AD13" s="188" t="s">
        <v>227</v>
      </c>
      <c r="AE13" s="188" t="s">
        <v>231</v>
      </c>
      <c r="AF13" s="602">
        <f>IFERROR(IF(Y13="Probabilidad",(Q13-(+Q13*AB13)),IF(Y13="Impacto",Q13,"")),"")</f>
        <v>0.48</v>
      </c>
      <c r="AG13" s="186" t="str">
        <f>IFERROR(IF(AF13="","",IF(AF13&lt;=0.2,"Muy Baja",IF(AF13&lt;=0.4,"Baja",IF(AF13&lt;=0.6,"Media",IF(AF13&lt;=0.8,"Alta","Muy Alta"))))),"")</f>
        <v>Media</v>
      </c>
      <c r="AH13" s="185">
        <f>+AF13</f>
        <v>0.48</v>
      </c>
      <c r="AI13" s="186" t="str">
        <f ca="1">IFERROR(IF(AJ13="","",IF(AJ13&lt;=0.2,"Leve",IF(AJ13&lt;=0.4,"Menor",IF(AJ13&lt;=0.6,"Moderado",IF(AJ13&lt;=0.8,"Mayor","Catastrófico"))))),"")</f>
        <v>Menor</v>
      </c>
      <c r="AJ13" s="185">
        <f ca="1">IFERROR(IF(Y13="Impacto",(U13-(+U13*AB13)),IF(Y13="Probabilidad",U13,"")),"")</f>
        <v>0.4</v>
      </c>
      <c r="AK13" s="187" t="str">
        <f ca="1">IFERROR(IF(OR(AND(AG13="Muy Baja",AI13="Leve"),AND(AG13="Muy Baja",AI13="Menor"),AND(AG13="Baja",AI13="Leve")),"Bajo",IF(OR(AND(AG13="Muy baja",AI13="Moderado"),AND(AG13="Baja",AI13="Menor"),AND(AG13="Baja",AI13="Moderado"),AND(AG13="Media",AI13="Leve"),AND(AG13="Media",AI13="Menor"),AND(AG13="Media",AI13="Moderado"),AND(AG13="Alta",AI13="Leve"),AND(AG13="Alta",AI13="Menor")),"Moderado",IF(OR(AND(AG13="Muy Baja",AI13="Mayor"),AND(AG13="Baja",AI13="Mayor"),AND(AG13="Media",AI13="Mayor"),AND(AG13="Alta",AI13="Moderado"),AND(AG13="Alta",AI13="Mayor"),AND(AG13="Muy Alta",AI13="Leve"),AND(AG13="Muy Alta",AI13="Menor"),AND(AG13="Muy Alta",AI13="Moderado"),AND(AG13="Muy Alta",AI13="Mayor")),"Alto",IF(OR(AND(AG13="Muy Baja",AI13="Catastrófico"),AND(AG13="Baja",AI13="Catastrófico"),AND(AG13="Media",AI13="Catastrófico"),AND(AG13="Alta",AI13="Catastrófico"),AND(AG13="Muy Alta",AI13="Catastrófico")),"Extremo","")))),"")</f>
        <v>Moderado</v>
      </c>
      <c r="AL13" s="603" t="s">
        <v>258</v>
      </c>
      <c r="AM13" s="189"/>
      <c r="AN13" s="194"/>
      <c r="AO13" s="190"/>
      <c r="AP13" s="190"/>
      <c r="AQ13" s="191"/>
      <c r="AR13" s="194"/>
      <c r="AS13" s="604"/>
      <c r="AT13" s="604"/>
      <c r="AU13" s="604"/>
      <c r="AV13" s="604"/>
      <c r="AW13" s="604"/>
      <c r="AX13" s="604"/>
      <c r="AY13" s="604"/>
      <c r="AZ13" s="604"/>
      <c r="BA13" s="604"/>
      <c r="BB13" s="604"/>
      <c r="BC13" s="604"/>
      <c r="BD13" s="604"/>
      <c r="BE13" s="604"/>
      <c r="BF13" s="604"/>
      <c r="BG13" s="604"/>
      <c r="BH13" s="604"/>
      <c r="BI13" s="604"/>
      <c r="BJ13" s="604"/>
      <c r="BK13" s="604"/>
      <c r="BL13" s="604"/>
      <c r="BM13" s="604"/>
      <c r="BN13" s="604"/>
      <c r="BO13" s="604"/>
      <c r="BP13" s="604"/>
      <c r="BQ13" s="604"/>
      <c r="BR13" s="604"/>
      <c r="BS13" s="604"/>
      <c r="BT13" s="604"/>
      <c r="BU13" s="604"/>
      <c r="BV13" s="604"/>
      <c r="BW13" s="604"/>
      <c r="BX13" s="604"/>
    </row>
    <row r="14" spans="1:76" s="605" customFormat="1" ht="141.75" x14ac:dyDescent="0.25">
      <c r="A14" s="252"/>
      <c r="B14" s="246"/>
      <c r="C14" s="251"/>
      <c r="D14" s="246"/>
      <c r="E14" s="253"/>
      <c r="F14" s="254"/>
      <c r="G14" s="254"/>
      <c r="H14" s="255"/>
      <c r="I14" s="249"/>
      <c r="J14" s="249"/>
      <c r="K14" s="249"/>
      <c r="L14" s="249"/>
      <c r="M14" s="251"/>
      <c r="N14" s="251"/>
      <c r="O14" s="246"/>
      <c r="P14" s="606"/>
      <c r="Q14" s="607"/>
      <c r="R14" s="607"/>
      <c r="S14" s="607">
        <f ca="1">IF(NOT(ISERROR(MATCH(R14,_xlfn.ANCHORARRAY(H25),0))),Q27&amp;"Por favor no seleccionar los criterios de impacto",R14)</f>
        <v>0</v>
      </c>
      <c r="T14" s="606"/>
      <c r="U14" s="607"/>
      <c r="V14" s="243"/>
      <c r="W14" s="194">
        <v>2</v>
      </c>
      <c r="X14" s="193" t="s">
        <v>482</v>
      </c>
      <c r="Y14" s="194" t="str">
        <f t="shared" ref="Y14:Y19" si="0">IF(OR(Z14="Preventivo",Z14="Detectivo"),"Probabilidad",IF(Z14="Correctivo","Impacto",""))</f>
        <v>Probabilidad</v>
      </c>
      <c r="Z14" s="188" t="s">
        <v>211</v>
      </c>
      <c r="AA14" s="188" t="s">
        <v>219</v>
      </c>
      <c r="AB14" s="185" t="str">
        <f>IF(AND(Z14="Preventivo",AA14="Automático"),"50%",IF(AND(Z14="Preventivo",AA14="Manual"),"40%",IF(AND(Z14="Detectivo",AA14="Automático"),"40%",IF(AND(Z14="Detectivo",AA14="Manual"),"30%",IF(AND(Z14="Correctivo",AA14="Automático"),"35%",IF(AND(Z14="Correctivo",AA14="Manual"),"25%",""))))))</f>
        <v>40%</v>
      </c>
      <c r="AC14" s="188" t="s">
        <v>222</v>
      </c>
      <c r="AD14" s="188" t="s">
        <v>227</v>
      </c>
      <c r="AE14" s="188" t="s">
        <v>231</v>
      </c>
      <c r="AF14" s="602">
        <f>IFERROR(IF(AND(Y13="Probabilidad",Y14="Probabilidad"),(AH13-(+AH13*AB14)),IF(Y14="Probabilidad",(Q13-(+Q13*AB14)),IF(Y14="Impacto",AH13,""))),"")</f>
        <v>0.28799999999999998</v>
      </c>
      <c r="AG14" s="186" t="str">
        <f t="shared" ref="AG14:AG19" si="1">IFERROR(IF(AF14="","",IF(AF14&lt;=0.2,"Muy Baja",IF(AF14&lt;=0.4,"Baja",IF(AF14&lt;=0.6,"Media",IF(AF14&lt;=0.8,"Alta","Muy Alta"))))),"")</f>
        <v>Baja</v>
      </c>
      <c r="AH14" s="185">
        <f t="shared" ref="AH14:AH19" si="2">+AF14</f>
        <v>0.28799999999999998</v>
      </c>
      <c r="AI14" s="186" t="str">
        <f t="shared" ref="AI14:AI19" ca="1" si="3">IFERROR(IF(AJ14="","",IF(AJ14&lt;=0.2,"Leve",IF(AJ14&lt;=0.4,"Menor",IF(AJ14&lt;=0.6,"Moderado",IF(AJ14&lt;=0.8,"Mayor","Catastrófico"))))),"")</f>
        <v>Menor</v>
      </c>
      <c r="AJ14" s="185">
        <f ca="1">IFERROR(IF(AND(Y13="Impacto",Y14="Impacto"),(AJ13-(+AJ13*AB14)),IF(Y14="Impacto",(U13-(+U13*AB14)),IF(Y14="Probabilidad",AJ13,""))),"")</f>
        <v>0.4</v>
      </c>
      <c r="AK14" s="187" t="str">
        <f t="shared" ref="AK14:AK19" ca="1" si="4">IFERROR(IF(OR(AND(AG14="Muy Baja",AI14="Leve"),AND(AG14="Muy Baja",AI14="Menor"),AND(AG14="Baja",AI14="Leve")),"Bajo",IF(OR(AND(AG14="Muy baja",AI14="Moderado"),AND(AG14="Baja",AI14="Menor"),AND(AG14="Baja",AI14="Moderado"),AND(AG14="Media",AI14="Leve"),AND(AG14="Media",AI14="Menor"),AND(AG14="Media",AI14="Moderado"),AND(AG14="Alta",AI14="Leve"),AND(AG14="Alta",AI14="Menor")),"Moderado",IF(OR(AND(AG14="Muy Baja",AI14="Mayor"),AND(AG14="Baja",AI14="Mayor"),AND(AG14="Media",AI14="Mayor"),AND(AG14="Alta",AI14="Moderado"),AND(AG14="Alta",AI14="Mayor"),AND(AG14="Muy Alta",AI14="Leve"),AND(AG14="Muy Alta",AI14="Menor"),AND(AG14="Muy Alta",AI14="Moderado"),AND(AG14="Muy Alta",AI14="Mayor")),"Alto",IF(OR(AND(AG14="Muy Baja",AI14="Catastrófico"),AND(AG14="Baja",AI14="Catastrófico"),AND(AG14="Media",AI14="Catastrófico"),AND(AG14="Alta",AI14="Catastrófico"),AND(AG14="Muy Alta",AI14="Catastrófico")),"Extremo","")))),"")</f>
        <v>Moderado</v>
      </c>
      <c r="AL14" s="603" t="s">
        <v>258</v>
      </c>
      <c r="AM14" s="189"/>
      <c r="AN14" s="194"/>
      <c r="AO14" s="190"/>
      <c r="AP14" s="190"/>
      <c r="AQ14" s="191"/>
      <c r="AR14" s="194"/>
      <c r="AS14" s="604"/>
      <c r="AT14" s="604"/>
      <c r="AU14" s="604"/>
      <c r="AV14" s="604"/>
      <c r="AW14" s="604"/>
      <c r="AX14" s="604"/>
      <c r="AY14" s="604"/>
      <c r="AZ14" s="604"/>
      <c r="BA14" s="604"/>
      <c r="BB14" s="604"/>
      <c r="BC14" s="604"/>
      <c r="BD14" s="604"/>
      <c r="BE14" s="604"/>
      <c r="BF14" s="604"/>
      <c r="BG14" s="604"/>
      <c r="BH14" s="604"/>
      <c r="BI14" s="604"/>
      <c r="BJ14" s="604"/>
      <c r="BK14" s="604"/>
      <c r="BL14" s="604"/>
      <c r="BM14" s="604"/>
      <c r="BN14" s="604"/>
      <c r="BO14" s="604"/>
      <c r="BP14" s="604"/>
      <c r="BQ14" s="604"/>
      <c r="BR14" s="604"/>
      <c r="BS14" s="604"/>
      <c r="BT14" s="604"/>
      <c r="BU14" s="604"/>
      <c r="BV14" s="604"/>
      <c r="BW14" s="604"/>
      <c r="BX14" s="604"/>
    </row>
    <row r="15" spans="1:76" s="605" customFormat="1" ht="69" hidden="1" customHeight="1" x14ac:dyDescent="0.25">
      <c r="A15" s="252"/>
      <c r="B15" s="246"/>
      <c r="C15" s="251"/>
      <c r="D15" s="246"/>
      <c r="E15" s="253"/>
      <c r="F15" s="254"/>
      <c r="G15" s="254"/>
      <c r="H15" s="255"/>
      <c r="I15" s="249"/>
      <c r="J15" s="249"/>
      <c r="K15" s="249"/>
      <c r="L15" s="249"/>
      <c r="M15" s="251"/>
      <c r="N15" s="251"/>
      <c r="O15" s="246"/>
      <c r="P15" s="606"/>
      <c r="Q15" s="607"/>
      <c r="R15" s="607"/>
      <c r="S15" s="607">
        <f ca="1">IF(NOT(ISERROR(MATCH(R15,_xlfn.ANCHORARRAY(H26),0))),Q28&amp;"Por favor no seleccionar los criterios de impacto",R15)</f>
        <v>0</v>
      </c>
      <c r="T15" s="606"/>
      <c r="U15" s="607"/>
      <c r="V15" s="243"/>
      <c r="W15" s="194">
        <v>3</v>
      </c>
      <c r="X15" s="192"/>
      <c r="Y15" s="194" t="str">
        <f t="shared" si="0"/>
        <v/>
      </c>
      <c r="Z15" s="188"/>
      <c r="AA15" s="188"/>
      <c r="AB15" s="185" t="str">
        <f t="shared" ref="AB15:AB18" si="5">IF(AND(Z15="Preventivo",AA15="Automático"),"50%",IF(AND(Z15="Preventivo",AA15="Manual"),"40%",IF(AND(Z15="Detectivo",AA15="Automático"),"40%",IF(AND(Z15="Detectivo",AA15="Manual"),"30%",IF(AND(Z15="Correctivo",AA15="Automático"),"35%",IF(AND(Z15="Correctivo",AA15="Manual"),"25%",""))))))</f>
        <v/>
      </c>
      <c r="AC15" s="188"/>
      <c r="AD15" s="188"/>
      <c r="AE15" s="188"/>
      <c r="AF15" s="602" t="str">
        <f t="shared" ref="AF15:AF17" si="6">IFERROR(IF(AND(Y14="Probabilidad",Y15="Probabilidad"),(AH14-(+AH14*AB15)),IF(Y15="Probabilidad",(Q14-(+Q14*AB15)),IF(Y15="Impacto",AH14,""))),"")</f>
        <v/>
      </c>
      <c r="AG15" s="186" t="str">
        <f t="shared" si="1"/>
        <v/>
      </c>
      <c r="AH15" s="185" t="str">
        <f t="shared" si="2"/>
        <v/>
      </c>
      <c r="AI15" s="186" t="str">
        <f t="shared" si="3"/>
        <v/>
      </c>
      <c r="AJ15" s="185" t="str">
        <f>IFERROR(IF(AND(Y14="Impacto",Y15="Impacto"),(AJ14-(+AJ14*AB15)),IF(AND(Y14="Probabilidad",Y15="Impacto"),(AJ13-(+AJ13*AB15)),IF(Y15="Probabilidad",AJ14,""))),"")</f>
        <v/>
      </c>
      <c r="AK15" s="187" t="str">
        <f t="shared" si="4"/>
        <v/>
      </c>
      <c r="AL15" s="603"/>
      <c r="AM15" s="189"/>
      <c r="AN15" s="194"/>
      <c r="AO15" s="190"/>
      <c r="AP15" s="190"/>
      <c r="AQ15" s="191"/>
      <c r="AR15" s="194"/>
      <c r="AS15" s="604"/>
      <c r="AT15" s="604"/>
      <c r="AU15" s="604"/>
      <c r="AV15" s="604"/>
      <c r="AW15" s="604"/>
      <c r="AX15" s="604"/>
      <c r="AY15" s="604"/>
      <c r="AZ15" s="604"/>
      <c r="BA15" s="604"/>
      <c r="BB15" s="604"/>
      <c r="BC15" s="604"/>
      <c r="BD15" s="604"/>
      <c r="BE15" s="604"/>
      <c r="BF15" s="604"/>
      <c r="BG15" s="604"/>
      <c r="BH15" s="604"/>
      <c r="BI15" s="604"/>
      <c r="BJ15" s="604"/>
      <c r="BK15" s="604"/>
      <c r="BL15" s="604"/>
      <c r="BM15" s="604"/>
      <c r="BN15" s="604"/>
      <c r="BO15" s="604"/>
      <c r="BP15" s="604"/>
      <c r="BQ15" s="604"/>
      <c r="BR15" s="604"/>
      <c r="BS15" s="604"/>
      <c r="BT15" s="604"/>
      <c r="BU15" s="604"/>
      <c r="BV15" s="604"/>
      <c r="BW15" s="604"/>
      <c r="BX15" s="604"/>
    </row>
    <row r="16" spans="1:76" s="605" customFormat="1" ht="69" hidden="1" customHeight="1" x14ac:dyDescent="0.25">
      <c r="A16" s="252"/>
      <c r="B16" s="246"/>
      <c r="C16" s="251"/>
      <c r="D16" s="246"/>
      <c r="E16" s="253"/>
      <c r="F16" s="254"/>
      <c r="G16" s="254"/>
      <c r="H16" s="255"/>
      <c r="I16" s="249"/>
      <c r="J16" s="249"/>
      <c r="K16" s="249"/>
      <c r="L16" s="249"/>
      <c r="M16" s="251"/>
      <c r="N16" s="251"/>
      <c r="O16" s="246"/>
      <c r="P16" s="606"/>
      <c r="Q16" s="607"/>
      <c r="R16" s="607"/>
      <c r="S16" s="607">
        <f ca="1">IF(NOT(ISERROR(MATCH(R16,_xlfn.ANCHORARRAY(H27),0))),Q29&amp;"Por favor no seleccionar los criterios de impacto",R16)</f>
        <v>0</v>
      </c>
      <c r="T16" s="606"/>
      <c r="U16" s="607"/>
      <c r="V16" s="243"/>
      <c r="W16" s="194">
        <v>4</v>
      </c>
      <c r="X16" s="192"/>
      <c r="Y16" s="194" t="str">
        <f t="shared" si="0"/>
        <v/>
      </c>
      <c r="Z16" s="188"/>
      <c r="AA16" s="188"/>
      <c r="AB16" s="185" t="str">
        <f t="shared" si="5"/>
        <v/>
      </c>
      <c r="AC16" s="188"/>
      <c r="AD16" s="188"/>
      <c r="AE16" s="188"/>
      <c r="AF16" s="602" t="str">
        <f t="shared" si="6"/>
        <v/>
      </c>
      <c r="AG16" s="186" t="str">
        <f t="shared" si="1"/>
        <v/>
      </c>
      <c r="AH16" s="185" t="str">
        <f t="shared" si="2"/>
        <v/>
      </c>
      <c r="AI16" s="186" t="str">
        <f t="shared" si="3"/>
        <v/>
      </c>
      <c r="AJ16" s="185" t="str">
        <f t="shared" ref="AJ16:AJ18" si="7">IFERROR(IF(AND(Y15="Impacto",Y16="Impacto"),(AJ15-(+AJ15*AB16)),IF(AND(Y15="Probabilidad",Y16="Impacto"),(AJ14-(+AJ14*AB16)),IF(Y16="Probabilidad",AJ15,""))),"")</f>
        <v/>
      </c>
      <c r="AK16" s="187" t="str">
        <f t="shared" si="4"/>
        <v/>
      </c>
      <c r="AL16" s="603"/>
      <c r="AM16" s="189"/>
      <c r="AN16" s="194"/>
      <c r="AO16" s="190"/>
      <c r="AP16" s="190"/>
      <c r="AQ16" s="191"/>
      <c r="AR16" s="194"/>
      <c r="AS16" s="604"/>
      <c r="AT16" s="604"/>
      <c r="AU16" s="604"/>
      <c r="AV16" s="604"/>
      <c r="AW16" s="604"/>
      <c r="AX16" s="604"/>
      <c r="AY16" s="604"/>
      <c r="AZ16" s="604"/>
      <c r="BA16" s="604"/>
      <c r="BB16" s="604"/>
      <c r="BC16" s="604"/>
      <c r="BD16" s="604"/>
      <c r="BE16" s="604"/>
      <c r="BF16" s="604"/>
      <c r="BG16" s="604"/>
      <c r="BH16" s="604"/>
      <c r="BI16" s="604"/>
      <c r="BJ16" s="604"/>
      <c r="BK16" s="604"/>
      <c r="BL16" s="604"/>
      <c r="BM16" s="604"/>
      <c r="BN16" s="604"/>
      <c r="BO16" s="604"/>
      <c r="BP16" s="604"/>
      <c r="BQ16" s="604"/>
      <c r="BR16" s="604"/>
      <c r="BS16" s="604"/>
      <c r="BT16" s="604"/>
      <c r="BU16" s="604"/>
      <c r="BV16" s="604"/>
      <c r="BW16" s="604"/>
      <c r="BX16" s="604"/>
    </row>
    <row r="17" spans="1:76" s="605" customFormat="1" ht="69" hidden="1" customHeight="1" x14ac:dyDescent="0.25">
      <c r="A17" s="252"/>
      <c r="B17" s="246"/>
      <c r="C17" s="251"/>
      <c r="D17" s="246"/>
      <c r="E17" s="253"/>
      <c r="F17" s="254"/>
      <c r="G17" s="254"/>
      <c r="H17" s="255"/>
      <c r="I17" s="249"/>
      <c r="J17" s="249"/>
      <c r="K17" s="249"/>
      <c r="L17" s="249"/>
      <c r="M17" s="251"/>
      <c r="N17" s="251"/>
      <c r="O17" s="246"/>
      <c r="P17" s="606"/>
      <c r="Q17" s="607"/>
      <c r="R17" s="607"/>
      <c r="S17" s="607">
        <f ca="1">IF(NOT(ISERROR(MATCH(R17,_xlfn.ANCHORARRAY(H28),0))),Q30&amp;"Por favor no seleccionar los criterios de impacto",R17)</f>
        <v>0</v>
      </c>
      <c r="T17" s="606"/>
      <c r="U17" s="607"/>
      <c r="V17" s="243"/>
      <c r="W17" s="194">
        <v>5</v>
      </c>
      <c r="X17" s="192"/>
      <c r="Y17" s="194" t="str">
        <f t="shared" si="0"/>
        <v/>
      </c>
      <c r="Z17" s="188"/>
      <c r="AA17" s="188"/>
      <c r="AB17" s="185" t="str">
        <f t="shared" si="5"/>
        <v/>
      </c>
      <c r="AC17" s="188"/>
      <c r="AD17" s="188"/>
      <c r="AE17" s="188"/>
      <c r="AF17" s="602" t="str">
        <f t="shared" si="6"/>
        <v/>
      </c>
      <c r="AG17" s="186" t="str">
        <f t="shared" si="1"/>
        <v/>
      </c>
      <c r="AH17" s="185" t="str">
        <f t="shared" si="2"/>
        <v/>
      </c>
      <c r="AI17" s="186" t="str">
        <f t="shared" si="3"/>
        <v/>
      </c>
      <c r="AJ17" s="185" t="str">
        <f t="shared" si="7"/>
        <v/>
      </c>
      <c r="AK17" s="187" t="str">
        <f t="shared" si="4"/>
        <v/>
      </c>
      <c r="AL17" s="603"/>
      <c r="AM17" s="189"/>
      <c r="AN17" s="194"/>
      <c r="AO17" s="190"/>
      <c r="AP17" s="190"/>
      <c r="AQ17" s="191"/>
      <c r="AR17" s="194"/>
      <c r="AS17" s="604"/>
      <c r="AT17" s="604"/>
      <c r="AU17" s="604"/>
      <c r="AV17" s="604"/>
      <c r="AW17" s="604"/>
      <c r="AX17" s="604"/>
      <c r="AY17" s="604"/>
      <c r="AZ17" s="604"/>
      <c r="BA17" s="604"/>
      <c r="BB17" s="604"/>
      <c r="BC17" s="604"/>
      <c r="BD17" s="604"/>
      <c r="BE17" s="604"/>
      <c r="BF17" s="604"/>
      <c r="BG17" s="604"/>
      <c r="BH17" s="604"/>
      <c r="BI17" s="604"/>
      <c r="BJ17" s="604"/>
      <c r="BK17" s="604"/>
      <c r="BL17" s="604"/>
      <c r="BM17" s="604"/>
      <c r="BN17" s="604"/>
      <c r="BO17" s="604"/>
      <c r="BP17" s="604"/>
      <c r="BQ17" s="604"/>
      <c r="BR17" s="604"/>
      <c r="BS17" s="604"/>
      <c r="BT17" s="604"/>
      <c r="BU17" s="604"/>
      <c r="BV17" s="604"/>
      <c r="BW17" s="604"/>
      <c r="BX17" s="604"/>
    </row>
    <row r="18" spans="1:76" s="605" customFormat="1" ht="69" hidden="1" customHeight="1" x14ac:dyDescent="0.25">
      <c r="A18" s="252"/>
      <c r="B18" s="247"/>
      <c r="C18" s="239"/>
      <c r="D18" s="247"/>
      <c r="E18" s="253"/>
      <c r="F18" s="254"/>
      <c r="G18" s="254"/>
      <c r="H18" s="255"/>
      <c r="I18" s="250"/>
      <c r="J18" s="250"/>
      <c r="K18" s="250"/>
      <c r="L18" s="250"/>
      <c r="M18" s="239"/>
      <c r="N18" s="239"/>
      <c r="O18" s="247"/>
      <c r="P18" s="608"/>
      <c r="Q18" s="609"/>
      <c r="R18" s="609"/>
      <c r="S18" s="609">
        <f ca="1">IF(NOT(ISERROR(MATCH(R18,_xlfn.ANCHORARRAY(H29),0))),Q31&amp;"Por favor no seleccionar los criterios de impacto",R18)</f>
        <v>0</v>
      </c>
      <c r="T18" s="608"/>
      <c r="U18" s="609"/>
      <c r="V18" s="244"/>
      <c r="W18" s="194">
        <v>6</v>
      </c>
      <c r="X18" s="192"/>
      <c r="Y18" s="194" t="str">
        <f t="shared" si="0"/>
        <v/>
      </c>
      <c r="Z18" s="188"/>
      <c r="AA18" s="188"/>
      <c r="AB18" s="185" t="str">
        <f t="shared" si="5"/>
        <v/>
      </c>
      <c r="AC18" s="188"/>
      <c r="AD18" s="188"/>
      <c r="AE18" s="188"/>
      <c r="AF18" s="602" t="str">
        <f t="shared" ref="AF18" si="8">IFERROR(IF(AND(Y17="Probabilidad",Y18="Probabilidad"),(AH17-(+AH17*AB18)),IF(Y18="Probabilidad",(Q17-(+Q17*AB18)),IF(Y18="Impacto",AH17,""))),"")</f>
        <v/>
      </c>
      <c r="AG18" s="186" t="str">
        <f t="shared" si="1"/>
        <v/>
      </c>
      <c r="AH18" s="185" t="str">
        <f t="shared" si="2"/>
        <v/>
      </c>
      <c r="AI18" s="186" t="str">
        <f t="shared" si="3"/>
        <v/>
      </c>
      <c r="AJ18" s="185" t="str">
        <f t="shared" si="7"/>
        <v/>
      </c>
      <c r="AK18" s="187" t="str">
        <f t="shared" si="4"/>
        <v/>
      </c>
      <c r="AL18" s="603"/>
      <c r="AM18" s="189"/>
      <c r="AN18" s="194"/>
      <c r="AO18" s="190"/>
      <c r="AP18" s="190"/>
      <c r="AQ18" s="191"/>
      <c r="AR18" s="194"/>
      <c r="AS18" s="604"/>
      <c r="AT18" s="604"/>
      <c r="AU18" s="604"/>
      <c r="AV18" s="604"/>
      <c r="AW18" s="604"/>
      <c r="AX18" s="604"/>
      <c r="AY18" s="604"/>
      <c r="AZ18" s="604"/>
      <c r="BA18" s="604"/>
      <c r="BB18" s="604"/>
      <c r="BC18" s="604"/>
      <c r="BD18" s="604"/>
      <c r="BE18" s="604"/>
      <c r="BF18" s="604"/>
      <c r="BG18" s="604"/>
      <c r="BH18" s="604"/>
      <c r="BI18" s="604"/>
      <c r="BJ18" s="604"/>
      <c r="BK18" s="604"/>
      <c r="BL18" s="604"/>
      <c r="BM18" s="604"/>
      <c r="BN18" s="604"/>
      <c r="BO18" s="604"/>
      <c r="BP18" s="604"/>
      <c r="BQ18" s="604"/>
      <c r="BR18" s="604"/>
      <c r="BS18" s="604"/>
      <c r="BT18" s="604"/>
      <c r="BU18" s="604"/>
      <c r="BV18" s="604"/>
      <c r="BW18" s="604"/>
      <c r="BX18" s="604"/>
    </row>
    <row r="19" spans="1:76" s="605" customFormat="1" ht="126.75" customHeight="1" x14ac:dyDescent="0.25">
      <c r="A19" s="252">
        <v>2</v>
      </c>
      <c r="B19" s="245" t="s">
        <v>483</v>
      </c>
      <c r="C19" s="238" t="s">
        <v>268</v>
      </c>
      <c r="D19" s="238" t="s">
        <v>484</v>
      </c>
      <c r="E19" s="253" t="s">
        <v>243</v>
      </c>
      <c r="F19" s="254" t="s">
        <v>485</v>
      </c>
      <c r="G19" s="254" t="s">
        <v>486</v>
      </c>
      <c r="H19" s="255" t="s">
        <v>487</v>
      </c>
      <c r="I19" s="248" t="s">
        <v>480</v>
      </c>
      <c r="J19" s="248" t="s">
        <v>480</v>
      </c>
      <c r="K19" s="248" t="s">
        <v>480</v>
      </c>
      <c r="L19" s="248" t="s">
        <v>480</v>
      </c>
      <c r="M19" s="253" t="s">
        <v>242</v>
      </c>
      <c r="N19" s="238"/>
      <c r="O19" s="256">
        <v>500</v>
      </c>
      <c r="P19" s="610" t="str">
        <f>IF(O19&lt;=0,"",IF(O19&lt;=2,"Muy Baja",IF(O19&lt;=24,"Baja",IF(O19&lt;=500,"Media",IF(O19&lt;=5000,"Alta","Muy Alta")))))</f>
        <v>Media</v>
      </c>
      <c r="Q19" s="611">
        <f>IF(P19="","",IF(P19="Muy Baja",0.2,IF(P19="Baja",0.4,IF(P19="Media",0.6,IF(P19="Alta",0.8,IF(P19="Muy Alta",1,))))))</f>
        <v>0.6</v>
      </c>
      <c r="R19" s="611" t="s">
        <v>193</v>
      </c>
      <c r="S19" s="611" t="str">
        <f ca="1">IF(NOT(ISERROR(MATCH(R19,'Tabla Impacto'!$B$221:$B$223,0))),'Tabla Impacto'!$F$223&amp;"Por favor no seleccionar los criterios de impacto(Afectación Económica o presupuestal y Pérdida Reputacional)",R19)</f>
        <v>El riesgo afecta la imagen de la entidad con algunos usuarios de relevancia frente al logro de los objetivos</v>
      </c>
      <c r="T19" s="610" t="str">
        <f ca="1">+IF(OR(S19='[1]Tabla Impacto'!$C$11,S19='[1]Tabla Impacto'!$D$11),"Leve",IF(OR(S19='[1]Tabla Impacto'!$C$12,S19='[1]Tabla Impacto'!$D$12),"Menor",IF(OR(S19='[1]Tabla Impacto'!$C$13,S19='[1]Tabla Impacto'!$D$13),"Moderado",IF(OR(S19='[1]Tabla Impacto'!$C$14,S19='[1]Tabla Impacto'!$D$14),"Mayor",IF(OR(S19='[1]Tabla Impacto'!$C$15,S19='[1]Tabla Impacto'!$D$15),"Catastrófico","")))))</f>
        <v>Moderado</v>
      </c>
      <c r="U19" s="611">
        <f t="shared" ref="U19" ca="1" si="9">IF(T19="","",IF(T19="Leve",0.2,IF(T19="Menor",0.4,IF(T19="Moderado",0.6,IF(T19="Mayor",0.8,IF(T19="Catastrófico",1,))))))</f>
        <v>0.6</v>
      </c>
      <c r="V19" s="252" t="str">
        <f t="shared" ref="V19" ca="1" si="10">IF(OR(AND(P19="Muy Baja",T19="Leve"),AND(P19="Muy Baja",T19="Menor"),AND(P19="Baja",T19="Leve")),"Bajo",IF(OR(AND(P19="Muy baja",T19="Moderado"),AND(P19="Baja",T19="Menor"),AND(P19="Baja",T19="Moderado"),AND(P19="Media",T19="Leve"),AND(P19="Media",T19="Menor"),AND(P19="Media",T19="Moderado"),AND(P19="Alta",T19="Leve"),AND(P19="Alta",T19="Menor")),"Moderado",IF(OR(AND(P19="Muy Baja",T19="Mayor"),AND(P19="Baja",T19="Mayor"),AND(P19="Media",T19="Mayor"),AND(P19="Alta",T19="Moderado"),AND(P19="Alta",T19="Mayor"),AND(P19="Muy Alta",T19="Leve"),AND(P19="Muy Alta",T19="Menor"),AND(P19="Muy Alta",T19="Moderado"),AND(P19="Muy Alta",T19="Mayor")),"Alto",IF(OR(AND(P19="Muy Baja",T19="Catastrófico"),AND(P19="Baja",T19="Catastrófico"),AND(P19="Media",T19="Catastrófico"),AND(P19="Alta",T19="Catastrófico"),AND(P19="Muy Alta",T19="Catastrófico")),"Extremo",""))))</f>
        <v>Moderado</v>
      </c>
      <c r="W19" s="194">
        <v>1</v>
      </c>
      <c r="X19" s="192" t="s">
        <v>488</v>
      </c>
      <c r="Y19" s="194" t="str">
        <f t="shared" si="0"/>
        <v>Probabilidad</v>
      </c>
      <c r="Z19" s="188" t="s">
        <v>211</v>
      </c>
      <c r="AA19" s="188" t="s">
        <v>219</v>
      </c>
      <c r="AB19" s="185" t="s">
        <v>490</v>
      </c>
      <c r="AC19" s="188" t="s">
        <v>222</v>
      </c>
      <c r="AD19" s="188" t="s">
        <v>227</v>
      </c>
      <c r="AE19" s="188" t="s">
        <v>231</v>
      </c>
      <c r="AF19" s="602">
        <f>IFERROR(IF(Y19="Probabilidad",(Q19-(+Q19*AB19)),IF(Y19="Impacto",Q19,"")),"")</f>
        <v>0.36</v>
      </c>
      <c r="AG19" s="186" t="str">
        <f t="shared" si="1"/>
        <v>Baja</v>
      </c>
      <c r="AH19" s="185">
        <f t="shared" si="2"/>
        <v>0.36</v>
      </c>
      <c r="AI19" s="186" t="str">
        <f t="shared" ca="1" si="3"/>
        <v>Moderado</v>
      </c>
      <c r="AJ19" s="185">
        <f t="shared" ref="AJ19" ca="1" si="11">IFERROR(IF(Y19="Impacto",(U19-(+U19*AB19)),IF(Y19="Probabilidad",U19,"")),"")</f>
        <v>0.6</v>
      </c>
      <c r="AK19" s="187" t="str">
        <f t="shared" ca="1" si="4"/>
        <v>Moderado</v>
      </c>
      <c r="AL19" s="603" t="s">
        <v>258</v>
      </c>
      <c r="AM19" s="189"/>
      <c r="AN19" s="194"/>
      <c r="AO19" s="190"/>
      <c r="AP19" s="190"/>
      <c r="AQ19" s="191"/>
      <c r="AR19" s="194"/>
      <c r="AS19" s="604"/>
      <c r="AT19" s="604"/>
      <c r="AU19" s="604"/>
      <c r="AV19" s="604"/>
      <c r="AW19" s="604"/>
      <c r="AX19" s="604"/>
      <c r="AY19" s="604"/>
      <c r="AZ19" s="604"/>
      <c r="BA19" s="604"/>
      <c r="BB19" s="604"/>
      <c r="BC19" s="604"/>
      <c r="BD19" s="604"/>
      <c r="BE19" s="604"/>
      <c r="BF19" s="604"/>
      <c r="BG19" s="604"/>
      <c r="BH19" s="604"/>
      <c r="BI19" s="604"/>
      <c r="BJ19" s="604"/>
      <c r="BK19" s="604"/>
      <c r="BL19" s="604"/>
      <c r="BM19" s="604"/>
      <c r="BN19" s="604"/>
      <c r="BO19" s="604"/>
      <c r="BP19" s="604"/>
      <c r="BQ19" s="604"/>
      <c r="BR19" s="604"/>
      <c r="BS19" s="604"/>
      <c r="BT19" s="604"/>
      <c r="BU19" s="604"/>
      <c r="BV19" s="604"/>
      <c r="BW19" s="604"/>
      <c r="BX19" s="604"/>
    </row>
    <row r="20" spans="1:76" s="605" customFormat="1" ht="144" customHeight="1" x14ac:dyDescent="0.25">
      <c r="A20" s="252"/>
      <c r="B20" s="246"/>
      <c r="C20" s="251"/>
      <c r="D20" s="246"/>
      <c r="E20" s="253"/>
      <c r="F20" s="254"/>
      <c r="G20" s="254"/>
      <c r="H20" s="255"/>
      <c r="I20" s="249"/>
      <c r="J20" s="249"/>
      <c r="K20" s="249"/>
      <c r="L20" s="249"/>
      <c r="M20" s="253"/>
      <c r="N20" s="251"/>
      <c r="O20" s="256"/>
      <c r="P20" s="610"/>
      <c r="Q20" s="611"/>
      <c r="R20" s="611"/>
      <c r="S20" s="611">
        <f ca="1">IF(NOT(ISERROR(MATCH(R20,_xlfn.ANCHORARRAY(H31),0))),Q33&amp;"Por favor no seleccionar los criterios de impacto",R20)</f>
        <v>0</v>
      </c>
      <c r="T20" s="610"/>
      <c r="U20" s="611"/>
      <c r="V20" s="252"/>
      <c r="W20" s="194">
        <v>2</v>
      </c>
      <c r="X20" s="192" t="s">
        <v>489</v>
      </c>
      <c r="Y20" s="194" t="str">
        <f t="shared" ref="Y20:Y37" si="12">IF(OR(Z20="Preventivo",Z20="Detectivo"),"Probabilidad",IF(Z20="Correctivo","Impacto",""))</f>
        <v>Probabilidad</v>
      </c>
      <c r="Z20" s="188" t="s">
        <v>211</v>
      </c>
      <c r="AA20" s="188" t="s">
        <v>219</v>
      </c>
      <c r="AB20" s="185" t="s">
        <v>490</v>
      </c>
      <c r="AC20" s="188" t="s">
        <v>222</v>
      </c>
      <c r="AD20" s="188" t="s">
        <v>227</v>
      </c>
      <c r="AE20" s="188" t="s">
        <v>231</v>
      </c>
      <c r="AF20" s="602">
        <f>IFERROR(IF(AND(Y19="Probabilidad",Y20="Probabilidad"),(AH19-(+AH19*AB20)),IF(Y20="Probabilidad",(Q19-(+Q19*AB20)),IF(Y20="Impacto",AH19,""))),"")</f>
        <v>0.216</v>
      </c>
      <c r="AG20" s="186" t="str">
        <f t="shared" ref="AG20:AG37" si="13">IFERROR(IF(AF20="","",IF(AF20&lt;=0.2,"Muy Baja",IF(AF20&lt;=0.4,"Baja",IF(AF20&lt;=0.6,"Media",IF(AF20&lt;=0.8,"Alta","Muy Alta"))))),"")</f>
        <v>Baja</v>
      </c>
      <c r="AH20" s="185">
        <f t="shared" ref="AH20:AH37" si="14">+AF20</f>
        <v>0.216</v>
      </c>
      <c r="AI20" s="186" t="str">
        <f t="shared" ref="AI20:AI37" ca="1" si="15">IFERROR(IF(AJ20="","",IF(AJ20&lt;=0.2,"Leve",IF(AJ20&lt;=0.4,"Menor",IF(AJ20&lt;=0.6,"Moderado",IF(AJ20&lt;=0.8,"Mayor","Catastrófico"))))),"")</f>
        <v>Moderado</v>
      </c>
      <c r="AJ20" s="185">
        <f t="shared" ref="AJ20" ca="1" si="16">IFERROR(IF(AND(Y19="Impacto",Y20="Impacto"),(AJ19-(+AJ19*AB20)),IF(Y20="Impacto",(U19-(+U19*AB20)),IF(Y20="Probabilidad",AJ19,""))),"")</f>
        <v>0.6</v>
      </c>
      <c r="AK20" s="187" t="str">
        <f t="shared" ref="AK20:AK37" ca="1" si="17">IFERROR(IF(OR(AND(AG20="Muy Baja",AI20="Leve"),AND(AG20="Muy Baja",AI20="Menor"),AND(AG20="Baja",AI20="Leve")),"Bajo",IF(OR(AND(AG20="Muy baja",AI20="Moderado"),AND(AG20="Baja",AI20="Menor"),AND(AG20="Baja",AI20="Moderado"),AND(AG20="Media",AI20="Leve"),AND(AG20="Media",AI20="Menor"),AND(AG20="Media",AI20="Moderado"),AND(AG20="Alta",AI20="Leve"),AND(AG20="Alta",AI20="Menor")),"Moderado",IF(OR(AND(AG20="Muy Baja",AI20="Mayor"),AND(AG20="Baja",AI20="Mayor"),AND(AG20="Media",AI20="Mayor"),AND(AG20="Alta",AI20="Moderado"),AND(AG20="Alta",AI20="Mayor"),AND(AG20="Muy Alta",AI20="Leve"),AND(AG20="Muy Alta",AI20="Menor"),AND(AG20="Muy Alta",AI20="Moderado"),AND(AG20="Muy Alta",AI20="Mayor")),"Alto",IF(OR(AND(AG20="Muy Baja",AI20="Catastrófico"),AND(AG20="Baja",AI20="Catastrófico"),AND(AG20="Media",AI20="Catastrófico"),AND(AG20="Alta",AI20="Catastrófico"),AND(AG20="Muy Alta",AI20="Catastrófico")),"Extremo","")))),"")</f>
        <v>Moderado</v>
      </c>
      <c r="AL20" s="603" t="s">
        <v>258</v>
      </c>
      <c r="AM20" s="189"/>
      <c r="AN20" s="194"/>
      <c r="AO20" s="190"/>
      <c r="AP20" s="190"/>
      <c r="AQ20" s="191"/>
      <c r="AR20" s="194"/>
      <c r="AS20" s="604"/>
      <c r="AT20" s="604"/>
      <c r="AU20" s="604"/>
      <c r="AV20" s="604"/>
      <c r="AW20" s="604"/>
      <c r="AX20" s="604"/>
      <c r="AY20" s="604"/>
      <c r="AZ20" s="604"/>
      <c r="BA20" s="604"/>
      <c r="BB20" s="604"/>
      <c r="BC20" s="604"/>
      <c r="BD20" s="604"/>
      <c r="BE20" s="604"/>
      <c r="BF20" s="604"/>
      <c r="BG20" s="604"/>
      <c r="BH20" s="604"/>
      <c r="BI20" s="604"/>
      <c r="BJ20" s="604"/>
      <c r="BK20" s="604"/>
      <c r="BL20" s="604"/>
      <c r="BM20" s="604"/>
      <c r="BN20" s="604"/>
      <c r="BO20" s="604"/>
      <c r="BP20" s="604"/>
      <c r="BQ20" s="604"/>
      <c r="BR20" s="604"/>
      <c r="BS20" s="604"/>
      <c r="BT20" s="604"/>
      <c r="BU20" s="604"/>
      <c r="BV20" s="604"/>
      <c r="BW20" s="604"/>
      <c r="BX20" s="604"/>
    </row>
    <row r="21" spans="1:76" s="605" customFormat="1" ht="69" hidden="1" customHeight="1" x14ac:dyDescent="0.25">
      <c r="A21" s="252"/>
      <c r="B21" s="246"/>
      <c r="C21" s="251"/>
      <c r="D21" s="246"/>
      <c r="E21" s="253"/>
      <c r="F21" s="254"/>
      <c r="G21" s="254"/>
      <c r="H21" s="255"/>
      <c r="I21" s="249"/>
      <c r="J21" s="249"/>
      <c r="K21" s="249"/>
      <c r="L21" s="249"/>
      <c r="M21" s="253"/>
      <c r="N21" s="251"/>
      <c r="O21" s="256"/>
      <c r="P21" s="610"/>
      <c r="Q21" s="611"/>
      <c r="R21" s="611"/>
      <c r="S21" s="611">
        <f ca="1">IF(NOT(ISERROR(MATCH(R21,_xlfn.ANCHORARRAY(H32),0))),Q34&amp;"Por favor no seleccionar los criterios de impacto",R21)</f>
        <v>0</v>
      </c>
      <c r="T21" s="610"/>
      <c r="U21" s="611"/>
      <c r="V21" s="252"/>
      <c r="W21" s="194">
        <v>3</v>
      </c>
      <c r="X21" s="192"/>
      <c r="Y21" s="194" t="str">
        <f t="shared" si="12"/>
        <v/>
      </c>
      <c r="Z21" s="188"/>
      <c r="AA21" s="188"/>
      <c r="AB21" s="185" t="str">
        <f t="shared" ref="AB21:AB36" si="18">IF(AND(Z21="Preventivo",AA21="Automático"),"50%",IF(AND(Z21="Preventivo",AA21="Manual"),"40%",IF(AND(Z21="Detectivo",AA21="Automático"),"40%",IF(AND(Z21="Detectivo",AA21="Manual"),"30%",IF(AND(Z21="Correctivo",AA21="Automático"),"35%",IF(AND(Z21="Correctivo",AA21="Manual"),"25%",""))))))</f>
        <v/>
      </c>
      <c r="AC21" s="188"/>
      <c r="AD21" s="188"/>
      <c r="AE21" s="188"/>
      <c r="AF21" s="602" t="str">
        <f t="shared" ref="AF21:AF24" si="19">IFERROR(IF(AND(Y20="Probabilidad",Y21="Probabilidad"),(AH20-(+AH20*AB21)),IF(Y21="Probabilidad",(Q20-(+Q20*AB21)),IF(Y21="Impacto",AH20,""))),"")</f>
        <v/>
      </c>
      <c r="AG21" s="186" t="str">
        <f t="shared" si="13"/>
        <v/>
      </c>
      <c r="AH21" s="185" t="str">
        <f t="shared" si="14"/>
        <v/>
      </c>
      <c r="AI21" s="186" t="str">
        <f t="shared" si="15"/>
        <v/>
      </c>
      <c r="AJ21" s="185" t="str">
        <f t="shared" ref="AJ21:AJ24" si="20">IFERROR(IF(AND(Y20="Impacto",Y21="Impacto"),(AJ20-(+AJ20*AB21)),IF(AND(Y20="Probabilidad",Y21="Impacto"),(AJ19-(+AJ19*AB21)),IF(Y21="Probabilidad",AJ20,""))),"")</f>
        <v/>
      </c>
      <c r="AK21" s="187" t="str">
        <f t="shared" si="17"/>
        <v/>
      </c>
      <c r="AL21" s="603"/>
      <c r="AM21" s="189"/>
      <c r="AN21" s="194"/>
      <c r="AO21" s="190"/>
      <c r="AP21" s="190"/>
      <c r="AQ21" s="191"/>
      <c r="AR21" s="194"/>
      <c r="AS21" s="604"/>
      <c r="AT21" s="604"/>
      <c r="AU21" s="604"/>
      <c r="AV21" s="604"/>
      <c r="AW21" s="604"/>
      <c r="AX21" s="604"/>
      <c r="AY21" s="604"/>
      <c r="AZ21" s="604"/>
      <c r="BA21" s="604"/>
      <c r="BB21" s="604"/>
      <c r="BC21" s="604"/>
      <c r="BD21" s="604"/>
      <c r="BE21" s="604"/>
      <c r="BF21" s="604"/>
      <c r="BG21" s="604"/>
      <c r="BH21" s="604"/>
      <c r="BI21" s="604"/>
      <c r="BJ21" s="604"/>
      <c r="BK21" s="604"/>
      <c r="BL21" s="604"/>
      <c r="BM21" s="604"/>
      <c r="BN21" s="604"/>
      <c r="BO21" s="604"/>
      <c r="BP21" s="604"/>
      <c r="BQ21" s="604"/>
      <c r="BR21" s="604"/>
      <c r="BS21" s="604"/>
      <c r="BT21" s="604"/>
      <c r="BU21" s="604"/>
      <c r="BV21" s="604"/>
      <c r="BW21" s="604"/>
      <c r="BX21" s="604"/>
    </row>
    <row r="22" spans="1:76" s="605" customFormat="1" ht="69" hidden="1" customHeight="1" x14ac:dyDescent="0.25">
      <c r="A22" s="252"/>
      <c r="B22" s="246"/>
      <c r="C22" s="251"/>
      <c r="D22" s="246"/>
      <c r="E22" s="253"/>
      <c r="F22" s="254"/>
      <c r="G22" s="254"/>
      <c r="H22" s="255"/>
      <c r="I22" s="249"/>
      <c r="J22" s="249"/>
      <c r="K22" s="249"/>
      <c r="L22" s="249"/>
      <c r="M22" s="253"/>
      <c r="N22" s="251"/>
      <c r="O22" s="256"/>
      <c r="P22" s="610"/>
      <c r="Q22" s="611"/>
      <c r="R22" s="611"/>
      <c r="S22" s="611">
        <f ca="1">IF(NOT(ISERROR(MATCH(R22,_xlfn.ANCHORARRAY(H33),0))),Q35&amp;"Por favor no seleccionar los criterios de impacto",R22)</f>
        <v>0</v>
      </c>
      <c r="T22" s="610"/>
      <c r="U22" s="611"/>
      <c r="V22" s="252"/>
      <c r="W22" s="194">
        <v>4</v>
      </c>
      <c r="X22" s="192"/>
      <c r="Y22" s="194" t="str">
        <f t="shared" si="12"/>
        <v/>
      </c>
      <c r="Z22" s="188"/>
      <c r="AA22" s="188"/>
      <c r="AB22" s="185" t="str">
        <f t="shared" si="18"/>
        <v/>
      </c>
      <c r="AC22" s="188"/>
      <c r="AD22" s="188"/>
      <c r="AE22" s="188"/>
      <c r="AF22" s="602" t="str">
        <f t="shared" si="19"/>
        <v/>
      </c>
      <c r="AG22" s="186" t="str">
        <f t="shared" si="13"/>
        <v/>
      </c>
      <c r="AH22" s="185" t="str">
        <f t="shared" si="14"/>
        <v/>
      </c>
      <c r="AI22" s="186" t="str">
        <f t="shared" si="15"/>
        <v/>
      </c>
      <c r="AJ22" s="185" t="str">
        <f t="shared" si="20"/>
        <v/>
      </c>
      <c r="AK22" s="187" t="str">
        <f t="shared" si="17"/>
        <v/>
      </c>
      <c r="AL22" s="603"/>
      <c r="AM22" s="189"/>
      <c r="AN22" s="194"/>
      <c r="AO22" s="190"/>
      <c r="AP22" s="190"/>
      <c r="AQ22" s="191"/>
      <c r="AR22" s="194"/>
      <c r="AS22" s="604"/>
      <c r="AT22" s="604"/>
      <c r="AU22" s="604"/>
      <c r="AV22" s="604"/>
      <c r="AW22" s="604"/>
      <c r="AX22" s="604"/>
      <c r="AY22" s="604"/>
      <c r="AZ22" s="604"/>
      <c r="BA22" s="604"/>
      <c r="BB22" s="604"/>
      <c r="BC22" s="604"/>
      <c r="BD22" s="604"/>
      <c r="BE22" s="604"/>
      <c r="BF22" s="604"/>
      <c r="BG22" s="604"/>
      <c r="BH22" s="604"/>
      <c r="BI22" s="604"/>
      <c r="BJ22" s="604"/>
      <c r="BK22" s="604"/>
      <c r="BL22" s="604"/>
      <c r="BM22" s="604"/>
      <c r="BN22" s="604"/>
      <c r="BO22" s="604"/>
      <c r="BP22" s="604"/>
      <c r="BQ22" s="604"/>
      <c r="BR22" s="604"/>
      <c r="BS22" s="604"/>
      <c r="BT22" s="604"/>
      <c r="BU22" s="604"/>
      <c r="BV22" s="604"/>
      <c r="BW22" s="604"/>
      <c r="BX22" s="604"/>
    </row>
    <row r="23" spans="1:76" s="605" customFormat="1" ht="69" hidden="1" customHeight="1" x14ac:dyDescent="0.25">
      <c r="A23" s="252"/>
      <c r="B23" s="246"/>
      <c r="C23" s="251"/>
      <c r="D23" s="246"/>
      <c r="E23" s="253"/>
      <c r="F23" s="254"/>
      <c r="G23" s="254"/>
      <c r="H23" s="255"/>
      <c r="I23" s="249"/>
      <c r="J23" s="249"/>
      <c r="K23" s="249"/>
      <c r="L23" s="249"/>
      <c r="M23" s="253"/>
      <c r="N23" s="251"/>
      <c r="O23" s="256"/>
      <c r="P23" s="610"/>
      <c r="Q23" s="611"/>
      <c r="R23" s="611"/>
      <c r="S23" s="611">
        <f ca="1">IF(NOT(ISERROR(MATCH(R23,_xlfn.ANCHORARRAY(H34),0))),Q36&amp;"Por favor no seleccionar los criterios de impacto",R23)</f>
        <v>0</v>
      </c>
      <c r="T23" s="610"/>
      <c r="U23" s="611"/>
      <c r="V23" s="252"/>
      <c r="W23" s="194">
        <v>5</v>
      </c>
      <c r="X23" s="192"/>
      <c r="Y23" s="194" t="str">
        <f t="shared" si="12"/>
        <v/>
      </c>
      <c r="Z23" s="188"/>
      <c r="AA23" s="188"/>
      <c r="AB23" s="185" t="str">
        <f t="shared" si="18"/>
        <v/>
      </c>
      <c r="AC23" s="188"/>
      <c r="AD23" s="188"/>
      <c r="AE23" s="188"/>
      <c r="AF23" s="602" t="str">
        <f t="shared" si="19"/>
        <v/>
      </c>
      <c r="AG23" s="186" t="str">
        <f t="shared" si="13"/>
        <v/>
      </c>
      <c r="AH23" s="185" t="str">
        <f t="shared" si="14"/>
        <v/>
      </c>
      <c r="AI23" s="186" t="str">
        <f t="shared" si="15"/>
        <v/>
      </c>
      <c r="AJ23" s="185" t="str">
        <f t="shared" si="20"/>
        <v/>
      </c>
      <c r="AK23" s="187" t="str">
        <f t="shared" si="17"/>
        <v/>
      </c>
      <c r="AL23" s="603"/>
      <c r="AM23" s="189"/>
      <c r="AN23" s="194"/>
      <c r="AO23" s="190"/>
      <c r="AP23" s="190"/>
      <c r="AQ23" s="191"/>
      <c r="AR23" s="194"/>
      <c r="AS23" s="604"/>
      <c r="AT23" s="604"/>
      <c r="AU23" s="604"/>
      <c r="AV23" s="604"/>
      <c r="AW23" s="604"/>
      <c r="AX23" s="604"/>
      <c r="AY23" s="604"/>
      <c r="AZ23" s="604"/>
      <c r="BA23" s="604"/>
      <c r="BB23" s="604"/>
      <c r="BC23" s="604"/>
      <c r="BD23" s="604"/>
      <c r="BE23" s="604"/>
      <c r="BF23" s="604"/>
      <c r="BG23" s="604"/>
      <c r="BH23" s="604"/>
      <c r="BI23" s="604"/>
      <c r="BJ23" s="604"/>
      <c r="BK23" s="604"/>
      <c r="BL23" s="604"/>
      <c r="BM23" s="604"/>
      <c r="BN23" s="604"/>
      <c r="BO23" s="604"/>
      <c r="BP23" s="604"/>
      <c r="BQ23" s="604"/>
      <c r="BR23" s="604"/>
      <c r="BS23" s="604"/>
      <c r="BT23" s="604"/>
      <c r="BU23" s="604"/>
      <c r="BV23" s="604"/>
      <c r="BW23" s="604"/>
      <c r="BX23" s="604"/>
    </row>
    <row r="24" spans="1:76" s="605" customFormat="1" ht="69" hidden="1" customHeight="1" x14ac:dyDescent="0.25">
      <c r="A24" s="252"/>
      <c r="B24" s="247"/>
      <c r="C24" s="239"/>
      <c r="D24" s="247"/>
      <c r="E24" s="253"/>
      <c r="F24" s="254"/>
      <c r="G24" s="254"/>
      <c r="H24" s="255"/>
      <c r="I24" s="250"/>
      <c r="J24" s="250"/>
      <c r="K24" s="250"/>
      <c r="L24" s="250"/>
      <c r="M24" s="253"/>
      <c r="N24" s="239"/>
      <c r="O24" s="256"/>
      <c r="P24" s="610"/>
      <c r="Q24" s="611"/>
      <c r="R24" s="611"/>
      <c r="S24" s="611">
        <f ca="1">IF(NOT(ISERROR(MATCH(R24,_xlfn.ANCHORARRAY(H35),0))),Q37&amp;"Por favor no seleccionar los criterios de impacto",R24)</f>
        <v>0</v>
      </c>
      <c r="T24" s="610"/>
      <c r="U24" s="611"/>
      <c r="V24" s="252"/>
      <c r="W24" s="194">
        <v>6</v>
      </c>
      <c r="X24" s="192"/>
      <c r="Y24" s="194" t="str">
        <f t="shared" si="12"/>
        <v/>
      </c>
      <c r="Z24" s="188"/>
      <c r="AA24" s="188"/>
      <c r="AB24" s="185" t="str">
        <f t="shared" si="18"/>
        <v/>
      </c>
      <c r="AC24" s="188"/>
      <c r="AD24" s="188"/>
      <c r="AE24" s="188"/>
      <c r="AF24" s="602" t="str">
        <f t="shared" si="19"/>
        <v/>
      </c>
      <c r="AG24" s="186" t="str">
        <f t="shared" si="13"/>
        <v/>
      </c>
      <c r="AH24" s="185" t="str">
        <f t="shared" si="14"/>
        <v/>
      </c>
      <c r="AI24" s="186" t="str">
        <f t="shared" si="15"/>
        <v/>
      </c>
      <c r="AJ24" s="185" t="str">
        <f t="shared" si="20"/>
        <v/>
      </c>
      <c r="AK24" s="187" t="str">
        <f t="shared" si="17"/>
        <v/>
      </c>
      <c r="AL24" s="603"/>
      <c r="AM24" s="189"/>
      <c r="AN24" s="194"/>
      <c r="AO24" s="190"/>
      <c r="AP24" s="190"/>
      <c r="AQ24" s="191"/>
      <c r="AR24" s="194"/>
      <c r="AS24" s="604"/>
      <c r="AT24" s="604"/>
      <c r="AU24" s="604"/>
      <c r="AV24" s="604"/>
      <c r="AW24" s="604"/>
      <c r="AX24" s="604"/>
      <c r="AY24" s="604"/>
      <c r="AZ24" s="604"/>
      <c r="BA24" s="604"/>
      <c r="BB24" s="604"/>
      <c r="BC24" s="604"/>
      <c r="BD24" s="604"/>
      <c r="BE24" s="604"/>
      <c r="BF24" s="604"/>
      <c r="BG24" s="604"/>
      <c r="BH24" s="604"/>
      <c r="BI24" s="604"/>
      <c r="BJ24" s="604"/>
      <c r="BK24" s="604"/>
      <c r="BL24" s="604"/>
      <c r="BM24" s="604"/>
      <c r="BN24" s="604"/>
      <c r="BO24" s="604"/>
      <c r="BP24" s="604"/>
      <c r="BQ24" s="604"/>
      <c r="BR24" s="604"/>
      <c r="BS24" s="604"/>
      <c r="BT24" s="604"/>
      <c r="BU24" s="604"/>
      <c r="BV24" s="604"/>
      <c r="BW24" s="604"/>
      <c r="BX24" s="604"/>
    </row>
    <row r="25" spans="1:76" s="605" customFormat="1" ht="141.75" x14ac:dyDescent="0.25">
      <c r="A25" s="252">
        <v>3</v>
      </c>
      <c r="B25" s="245" t="s">
        <v>491</v>
      </c>
      <c r="C25" s="238" t="s">
        <v>269</v>
      </c>
      <c r="D25" s="238" t="s">
        <v>492</v>
      </c>
      <c r="E25" s="253" t="s">
        <v>243</v>
      </c>
      <c r="F25" s="254" t="s">
        <v>493</v>
      </c>
      <c r="G25" s="254" t="s">
        <v>494</v>
      </c>
      <c r="H25" s="255" t="s">
        <v>495</v>
      </c>
      <c r="I25" s="248" t="s">
        <v>480</v>
      </c>
      <c r="J25" s="248" t="s">
        <v>480</v>
      </c>
      <c r="K25" s="248" t="s">
        <v>480</v>
      </c>
      <c r="L25" s="248" t="s">
        <v>480</v>
      </c>
      <c r="M25" s="253" t="s">
        <v>242</v>
      </c>
      <c r="N25" s="238"/>
      <c r="O25" s="256">
        <v>1</v>
      </c>
      <c r="P25" s="610" t="str">
        <f>IF(O25&lt;=0,"",IF(O25&lt;=2,"Muy Baja",IF(O25&lt;=24,"Baja",IF(O25&lt;=500,"Media",IF(O25&lt;=5000,"Alta","Muy Alta")))))</f>
        <v>Muy Baja</v>
      </c>
      <c r="Q25" s="611">
        <f>IF(P25="","",IF(P25="Muy Baja",0.2,IF(P25="Baja",0.4,IF(P25="Media",0.6,IF(P25="Alta",0.8,IF(P25="Muy Alta",1,))))))</f>
        <v>0.2</v>
      </c>
      <c r="R25" s="611" t="s">
        <v>195</v>
      </c>
      <c r="S25" s="611" t="str">
        <f ca="1">IF(NOT(ISERROR(MATCH(R25,'Tabla Impacto'!$B$221:$B$223,0))),'Tabla Impacto'!$F$223&amp;"Por favor no seleccionar los criterios de impacto(Afectación Económica o presupuestal y Pérdida Reputacional)",R25)</f>
        <v xml:space="preserve">Entre 100 y 500 SMLMV </v>
      </c>
      <c r="T25" s="610" t="str">
        <f ca="1">+IF(OR(S25='[1]Tabla Impacto'!$C$11,S25='[1]Tabla Impacto'!$D$11),"Leve",IF(OR(S25='[1]Tabla Impacto'!$C$12,S25='[1]Tabla Impacto'!$D$12),"Menor",IF(OR(S25='[1]Tabla Impacto'!$C$13,S25='[1]Tabla Impacto'!$D$13),"Moderado",IF(OR(S25='[1]Tabla Impacto'!$C$14,S25='[1]Tabla Impacto'!$D$14),"Mayor",IF(OR(S25='[1]Tabla Impacto'!$C$15,S25='[1]Tabla Impacto'!$D$15),"Catastrófico","")))))</f>
        <v>Mayor</v>
      </c>
      <c r="U25" s="611">
        <f t="shared" ref="U25" ca="1" si="21">IF(T25="","",IF(T25="Leve",0.2,IF(T25="Menor",0.4,IF(T25="Moderado",0.6,IF(T25="Mayor",0.8,IF(T25="Catastrófico",1,))))))</f>
        <v>0.8</v>
      </c>
      <c r="V25" s="252" t="str">
        <f t="shared" ref="V25" ca="1" si="22">IF(OR(AND(P25="Muy Baja",T25="Leve"),AND(P25="Muy Baja",T25="Menor"),AND(P25="Baja",T25="Leve")),"Bajo",IF(OR(AND(P25="Muy baja",T25="Moderado"),AND(P25="Baja",T25="Menor"),AND(P25="Baja",T25="Moderado"),AND(P25="Media",T25="Leve"),AND(P25="Media",T25="Menor"),AND(P25="Media",T25="Moderado"),AND(P25="Alta",T25="Leve"),AND(P25="Alta",T25="Menor")),"Moderado",IF(OR(AND(P25="Muy Baja",T25="Mayor"),AND(P25="Baja",T25="Mayor"),AND(P25="Media",T25="Mayor"),AND(P25="Alta",T25="Moderado"),AND(P25="Alta",T25="Mayor"),AND(P25="Muy Alta",T25="Leve"),AND(P25="Muy Alta",T25="Menor"),AND(P25="Muy Alta",T25="Moderado"),AND(P25="Muy Alta",T25="Mayor")),"Alto",IF(OR(AND(P25="Muy Baja",T25="Catastrófico"),AND(P25="Baja",T25="Catastrófico"),AND(P25="Media",T25="Catastrófico"),AND(P25="Alta",T25="Catastrófico"),AND(P25="Muy Alta",T25="Catastrófico")),"Extremo",""))))</f>
        <v>Alto</v>
      </c>
      <c r="W25" s="194">
        <v>1</v>
      </c>
      <c r="X25" s="192" t="s">
        <v>496</v>
      </c>
      <c r="Y25" s="194" t="str">
        <f t="shared" si="12"/>
        <v>Probabilidad</v>
      </c>
      <c r="Z25" s="188" t="s">
        <v>211</v>
      </c>
      <c r="AA25" s="188" t="s">
        <v>219</v>
      </c>
      <c r="AB25" s="185" t="s">
        <v>490</v>
      </c>
      <c r="AC25" s="188" t="s">
        <v>222</v>
      </c>
      <c r="AD25" s="188" t="s">
        <v>227</v>
      </c>
      <c r="AE25" s="188" t="s">
        <v>231</v>
      </c>
      <c r="AF25" s="602">
        <f>IFERROR(IF(Y25="Probabilidad",(Q25-(+Q25*AB25)),IF(Y25="Impacto",Q25,"")),"")</f>
        <v>0.12</v>
      </c>
      <c r="AG25" s="186" t="str">
        <f t="shared" si="13"/>
        <v>Muy Baja</v>
      </c>
      <c r="AH25" s="185">
        <f t="shared" si="14"/>
        <v>0.12</v>
      </c>
      <c r="AI25" s="186" t="str">
        <f t="shared" ca="1" si="15"/>
        <v>Mayor</v>
      </c>
      <c r="AJ25" s="185">
        <f t="shared" ref="AJ25" ca="1" si="23">IFERROR(IF(Y25="Impacto",(U25-(+U25*AB25)),IF(Y25="Probabilidad",U25,"")),"")</f>
        <v>0.8</v>
      </c>
      <c r="AK25" s="187" t="str">
        <f t="shared" ca="1" si="17"/>
        <v>Alto</v>
      </c>
      <c r="AL25" s="603" t="s">
        <v>265</v>
      </c>
      <c r="AM25" s="189" t="s">
        <v>500</v>
      </c>
      <c r="AN25" s="191" t="s">
        <v>501</v>
      </c>
      <c r="AO25" s="190" t="s">
        <v>502</v>
      </c>
      <c r="AP25" s="190" t="s">
        <v>502</v>
      </c>
      <c r="AQ25" s="191" t="s">
        <v>503</v>
      </c>
      <c r="AR25" s="194" t="s">
        <v>262</v>
      </c>
      <c r="AS25" s="604"/>
      <c r="AT25" s="604"/>
      <c r="AU25" s="604"/>
      <c r="AV25" s="604"/>
      <c r="AW25" s="604"/>
      <c r="AX25" s="604"/>
      <c r="AY25" s="604"/>
      <c r="AZ25" s="604"/>
      <c r="BA25" s="604"/>
      <c r="BB25" s="604"/>
      <c r="BC25" s="604"/>
      <c r="BD25" s="604"/>
      <c r="BE25" s="604"/>
      <c r="BF25" s="604"/>
      <c r="BG25" s="604"/>
      <c r="BH25" s="604"/>
      <c r="BI25" s="604"/>
      <c r="BJ25" s="604"/>
      <c r="BK25" s="604"/>
      <c r="BL25" s="604"/>
      <c r="BM25" s="604"/>
      <c r="BN25" s="604"/>
      <c r="BO25" s="604"/>
      <c r="BP25" s="604"/>
      <c r="BQ25" s="604"/>
      <c r="BR25" s="604"/>
      <c r="BS25" s="604"/>
      <c r="BT25" s="604"/>
      <c r="BU25" s="604"/>
      <c r="BV25" s="604"/>
      <c r="BW25" s="604"/>
      <c r="BX25" s="604"/>
    </row>
    <row r="26" spans="1:76" s="605" customFormat="1" ht="182.25" x14ac:dyDescent="0.25">
      <c r="A26" s="252"/>
      <c r="B26" s="246"/>
      <c r="C26" s="251"/>
      <c r="D26" s="251"/>
      <c r="E26" s="253"/>
      <c r="F26" s="254"/>
      <c r="G26" s="254"/>
      <c r="H26" s="255"/>
      <c r="I26" s="249"/>
      <c r="J26" s="249"/>
      <c r="K26" s="249"/>
      <c r="L26" s="249"/>
      <c r="M26" s="253"/>
      <c r="N26" s="251"/>
      <c r="O26" s="256"/>
      <c r="P26" s="610"/>
      <c r="Q26" s="611"/>
      <c r="R26" s="611"/>
      <c r="S26" s="611">
        <f ca="1">IF(NOT(ISERROR(MATCH(R26,_xlfn.ANCHORARRAY(H37),0))),Q39&amp;"Por favor no seleccionar los criterios de impacto",R26)</f>
        <v>0</v>
      </c>
      <c r="T26" s="610"/>
      <c r="U26" s="611"/>
      <c r="V26" s="252"/>
      <c r="W26" s="194">
        <v>2</v>
      </c>
      <c r="X26" s="192" t="s">
        <v>497</v>
      </c>
      <c r="Y26" s="194" t="str">
        <f t="shared" si="12"/>
        <v>Probabilidad</v>
      </c>
      <c r="Z26" s="188" t="s">
        <v>211</v>
      </c>
      <c r="AA26" s="188" t="s">
        <v>219</v>
      </c>
      <c r="AB26" s="185" t="s">
        <v>490</v>
      </c>
      <c r="AC26" s="188" t="s">
        <v>499</v>
      </c>
      <c r="AD26" s="188" t="s">
        <v>227</v>
      </c>
      <c r="AE26" s="188" t="s">
        <v>231</v>
      </c>
      <c r="AF26" s="602">
        <f>IFERROR(IF(AND(Y25="Probabilidad",Y26="Probabilidad"),(AH25-(+AH25*AB26)),IF(Y26="Probabilidad",(Q25-(+Q25*AB26)),IF(Y26="Impacto",AH25,""))),"")</f>
        <v>7.1999999999999995E-2</v>
      </c>
      <c r="AG26" s="186" t="str">
        <f t="shared" si="13"/>
        <v>Muy Baja</v>
      </c>
      <c r="AH26" s="185">
        <f t="shared" si="14"/>
        <v>7.1999999999999995E-2</v>
      </c>
      <c r="AI26" s="186" t="str">
        <f t="shared" ca="1" si="15"/>
        <v>Mayor</v>
      </c>
      <c r="AJ26" s="185">
        <f t="shared" ref="AJ26" ca="1" si="24">IFERROR(IF(AND(Y25="Impacto",Y26="Impacto"),(AJ25-(+AJ25*AB26)),IF(Y26="Impacto",(U25-(+U25*AB26)),IF(Y26="Probabilidad",AJ25,""))),"")</f>
        <v>0.8</v>
      </c>
      <c r="AK26" s="187" t="str">
        <f t="shared" ca="1" si="17"/>
        <v>Alto</v>
      </c>
      <c r="AL26" s="603" t="s">
        <v>265</v>
      </c>
      <c r="AM26" s="189" t="s">
        <v>504</v>
      </c>
      <c r="AN26" s="191" t="s">
        <v>501</v>
      </c>
      <c r="AO26" s="190" t="s">
        <v>505</v>
      </c>
      <c r="AP26" s="190" t="s">
        <v>505</v>
      </c>
      <c r="AQ26" s="191" t="s">
        <v>506</v>
      </c>
      <c r="AR26" s="194" t="s">
        <v>262</v>
      </c>
      <c r="AS26" s="604"/>
      <c r="AT26" s="604"/>
      <c r="AU26" s="604"/>
      <c r="AV26" s="604"/>
      <c r="AW26" s="604"/>
      <c r="AX26" s="604"/>
      <c r="AY26" s="604"/>
      <c r="AZ26" s="604"/>
      <c r="BA26" s="604"/>
      <c r="BB26" s="604"/>
      <c r="BC26" s="604"/>
      <c r="BD26" s="604"/>
      <c r="BE26" s="604"/>
      <c r="BF26" s="604"/>
      <c r="BG26" s="604"/>
      <c r="BH26" s="604"/>
      <c r="BI26" s="604"/>
      <c r="BJ26" s="604"/>
      <c r="BK26" s="604"/>
      <c r="BL26" s="604"/>
      <c r="BM26" s="604"/>
      <c r="BN26" s="604"/>
      <c r="BO26" s="604"/>
      <c r="BP26" s="604"/>
      <c r="BQ26" s="604"/>
      <c r="BR26" s="604"/>
      <c r="BS26" s="604"/>
      <c r="BT26" s="604"/>
      <c r="BU26" s="604"/>
      <c r="BV26" s="604"/>
      <c r="BW26" s="604"/>
      <c r="BX26" s="604"/>
    </row>
    <row r="27" spans="1:76" s="605" customFormat="1" ht="106.5" x14ac:dyDescent="0.25">
      <c r="A27" s="252"/>
      <c r="B27" s="246"/>
      <c r="C27" s="251"/>
      <c r="D27" s="251"/>
      <c r="E27" s="253"/>
      <c r="F27" s="254"/>
      <c r="G27" s="254"/>
      <c r="H27" s="255"/>
      <c r="I27" s="249"/>
      <c r="J27" s="249"/>
      <c r="K27" s="249"/>
      <c r="L27" s="249"/>
      <c r="M27" s="253"/>
      <c r="N27" s="251"/>
      <c r="O27" s="256"/>
      <c r="P27" s="610"/>
      <c r="Q27" s="611"/>
      <c r="R27" s="611"/>
      <c r="S27" s="611">
        <f ca="1">IF(NOT(ISERROR(MATCH(R27,_xlfn.ANCHORARRAY(H38),0))),Q40&amp;"Por favor no seleccionar los criterios de impacto",R27)</f>
        <v>0</v>
      </c>
      <c r="T27" s="610"/>
      <c r="U27" s="611"/>
      <c r="V27" s="252"/>
      <c r="W27" s="194">
        <v>3</v>
      </c>
      <c r="X27" s="192" t="s">
        <v>498</v>
      </c>
      <c r="Y27" s="194" t="str">
        <f t="shared" si="12"/>
        <v>Probabilidad</v>
      </c>
      <c r="Z27" s="188" t="s">
        <v>211</v>
      </c>
      <c r="AA27" s="188" t="s">
        <v>219</v>
      </c>
      <c r="AB27" s="185" t="s">
        <v>490</v>
      </c>
      <c r="AC27" s="188" t="s">
        <v>222</v>
      </c>
      <c r="AD27" s="188" t="s">
        <v>227</v>
      </c>
      <c r="AE27" s="188" t="s">
        <v>231</v>
      </c>
      <c r="AF27" s="602">
        <f t="shared" ref="AF27:AF30" si="25">IFERROR(IF(AND(Y26="Probabilidad",Y27="Probabilidad"),(AH26-(+AH26*AB27)),IF(Y27="Probabilidad",(Q26-(+Q26*AB27)),IF(Y27="Impacto",AH26,""))),"")</f>
        <v>4.3199999999999995E-2</v>
      </c>
      <c r="AG27" s="186" t="str">
        <f t="shared" si="13"/>
        <v>Muy Baja</v>
      </c>
      <c r="AH27" s="185">
        <f t="shared" si="14"/>
        <v>4.3199999999999995E-2</v>
      </c>
      <c r="AI27" s="186" t="str">
        <f t="shared" ca="1" si="15"/>
        <v>Mayor</v>
      </c>
      <c r="AJ27" s="185">
        <f t="shared" ref="AJ27:AJ30" ca="1" si="26">IFERROR(IF(AND(Y26="Impacto",Y27="Impacto"),(AJ26-(+AJ26*AB27)),IF(AND(Y26="Probabilidad",Y27="Impacto"),(AJ25-(+AJ25*AB27)),IF(Y27="Probabilidad",AJ26,""))),"")</f>
        <v>0.8</v>
      </c>
      <c r="AK27" s="187" t="str">
        <f t="shared" ca="1" si="17"/>
        <v>Alto</v>
      </c>
      <c r="AL27" s="603" t="s">
        <v>265</v>
      </c>
      <c r="AM27" s="189"/>
      <c r="AN27" s="194"/>
      <c r="AO27" s="190"/>
      <c r="AP27" s="190"/>
      <c r="AQ27" s="191"/>
      <c r="AR27" s="194"/>
      <c r="AS27" s="604"/>
      <c r="AT27" s="604"/>
      <c r="AU27" s="604"/>
      <c r="AV27" s="604"/>
      <c r="AW27" s="604"/>
      <c r="AX27" s="604"/>
      <c r="AY27" s="604"/>
      <c r="AZ27" s="604"/>
      <c r="BA27" s="604"/>
      <c r="BB27" s="604"/>
      <c r="BC27" s="604"/>
      <c r="BD27" s="604"/>
      <c r="BE27" s="604"/>
      <c r="BF27" s="604"/>
      <c r="BG27" s="604"/>
      <c r="BH27" s="604"/>
      <c r="BI27" s="604"/>
      <c r="BJ27" s="604"/>
      <c r="BK27" s="604"/>
      <c r="BL27" s="604"/>
      <c r="BM27" s="604"/>
      <c r="BN27" s="604"/>
      <c r="BO27" s="604"/>
      <c r="BP27" s="604"/>
      <c r="BQ27" s="604"/>
      <c r="BR27" s="604"/>
      <c r="BS27" s="604"/>
      <c r="BT27" s="604"/>
      <c r="BU27" s="604"/>
      <c r="BV27" s="604"/>
      <c r="BW27" s="604"/>
      <c r="BX27" s="604"/>
    </row>
    <row r="28" spans="1:76" s="605" customFormat="1" ht="69" hidden="1" customHeight="1" x14ac:dyDescent="0.25">
      <c r="A28" s="252"/>
      <c r="B28" s="246"/>
      <c r="C28" s="251"/>
      <c r="D28" s="251"/>
      <c r="E28" s="253"/>
      <c r="F28" s="254"/>
      <c r="G28" s="254"/>
      <c r="H28" s="255"/>
      <c r="I28" s="249"/>
      <c r="J28" s="249"/>
      <c r="K28" s="249"/>
      <c r="L28" s="249"/>
      <c r="M28" s="253"/>
      <c r="N28" s="251"/>
      <c r="O28" s="256"/>
      <c r="P28" s="610"/>
      <c r="Q28" s="611"/>
      <c r="R28" s="611"/>
      <c r="S28" s="611">
        <f ca="1">IF(NOT(ISERROR(MATCH(R28,_xlfn.ANCHORARRAY(H39),0))),Q41&amp;"Por favor no seleccionar los criterios de impacto",R28)</f>
        <v>0</v>
      </c>
      <c r="T28" s="610"/>
      <c r="U28" s="611"/>
      <c r="V28" s="252"/>
      <c r="W28" s="194">
        <v>4</v>
      </c>
      <c r="X28" s="192"/>
      <c r="Y28" s="194" t="str">
        <f t="shared" si="12"/>
        <v/>
      </c>
      <c r="Z28" s="188"/>
      <c r="AA28" s="188"/>
      <c r="AB28" s="185" t="str">
        <f t="shared" si="18"/>
        <v/>
      </c>
      <c r="AC28" s="188"/>
      <c r="AD28" s="188"/>
      <c r="AE28" s="188"/>
      <c r="AF28" s="602" t="str">
        <f t="shared" si="25"/>
        <v/>
      </c>
      <c r="AG28" s="186" t="str">
        <f t="shared" si="13"/>
        <v/>
      </c>
      <c r="AH28" s="185" t="str">
        <f t="shared" si="14"/>
        <v/>
      </c>
      <c r="AI28" s="186" t="str">
        <f t="shared" si="15"/>
        <v/>
      </c>
      <c r="AJ28" s="185" t="str">
        <f t="shared" si="26"/>
        <v/>
      </c>
      <c r="AK28" s="187" t="str">
        <f t="shared" si="17"/>
        <v/>
      </c>
      <c r="AL28" s="603"/>
      <c r="AM28" s="189"/>
      <c r="AN28" s="194"/>
      <c r="AO28" s="190"/>
      <c r="AP28" s="190"/>
      <c r="AQ28" s="191"/>
      <c r="AR28" s="194"/>
      <c r="AS28" s="604"/>
      <c r="AT28" s="604"/>
      <c r="AU28" s="604"/>
      <c r="AV28" s="604"/>
      <c r="AW28" s="604"/>
      <c r="AX28" s="604"/>
      <c r="AY28" s="604"/>
      <c r="AZ28" s="604"/>
      <c r="BA28" s="604"/>
      <c r="BB28" s="604"/>
      <c r="BC28" s="604"/>
      <c r="BD28" s="604"/>
      <c r="BE28" s="604"/>
      <c r="BF28" s="604"/>
      <c r="BG28" s="604"/>
      <c r="BH28" s="604"/>
      <c r="BI28" s="604"/>
      <c r="BJ28" s="604"/>
      <c r="BK28" s="604"/>
      <c r="BL28" s="604"/>
      <c r="BM28" s="604"/>
      <c r="BN28" s="604"/>
      <c r="BO28" s="604"/>
      <c r="BP28" s="604"/>
      <c r="BQ28" s="604"/>
      <c r="BR28" s="604"/>
      <c r="BS28" s="604"/>
      <c r="BT28" s="604"/>
      <c r="BU28" s="604"/>
      <c r="BV28" s="604"/>
      <c r="BW28" s="604"/>
      <c r="BX28" s="604"/>
    </row>
    <row r="29" spans="1:76" s="605" customFormat="1" ht="69" hidden="1" customHeight="1" x14ac:dyDescent="0.25">
      <c r="A29" s="252"/>
      <c r="B29" s="246"/>
      <c r="C29" s="251"/>
      <c r="D29" s="251"/>
      <c r="E29" s="253"/>
      <c r="F29" s="254"/>
      <c r="G29" s="254"/>
      <c r="H29" s="255"/>
      <c r="I29" s="249"/>
      <c r="J29" s="249"/>
      <c r="K29" s="249"/>
      <c r="L29" s="249"/>
      <c r="M29" s="253"/>
      <c r="N29" s="251"/>
      <c r="O29" s="256"/>
      <c r="P29" s="610"/>
      <c r="Q29" s="611"/>
      <c r="R29" s="611"/>
      <c r="S29" s="611">
        <f ca="1">IF(NOT(ISERROR(MATCH(R29,_xlfn.ANCHORARRAY(H40),0))),Q42&amp;"Por favor no seleccionar los criterios de impacto",R29)</f>
        <v>0</v>
      </c>
      <c r="T29" s="610"/>
      <c r="U29" s="611"/>
      <c r="V29" s="252"/>
      <c r="W29" s="194">
        <v>5</v>
      </c>
      <c r="X29" s="192"/>
      <c r="Y29" s="194" t="str">
        <f t="shared" si="12"/>
        <v/>
      </c>
      <c r="Z29" s="188"/>
      <c r="AA29" s="188"/>
      <c r="AB29" s="185" t="str">
        <f t="shared" si="18"/>
        <v/>
      </c>
      <c r="AC29" s="188"/>
      <c r="AD29" s="188"/>
      <c r="AE29" s="188"/>
      <c r="AF29" s="602" t="str">
        <f t="shared" si="25"/>
        <v/>
      </c>
      <c r="AG29" s="186" t="str">
        <f t="shared" si="13"/>
        <v/>
      </c>
      <c r="AH29" s="185" t="str">
        <f t="shared" si="14"/>
        <v/>
      </c>
      <c r="AI29" s="186" t="str">
        <f t="shared" si="15"/>
        <v/>
      </c>
      <c r="AJ29" s="185" t="str">
        <f t="shared" si="26"/>
        <v/>
      </c>
      <c r="AK29" s="187" t="str">
        <f t="shared" si="17"/>
        <v/>
      </c>
      <c r="AL29" s="603"/>
      <c r="AM29" s="189"/>
      <c r="AN29" s="194"/>
      <c r="AO29" s="190"/>
      <c r="AP29" s="190"/>
      <c r="AQ29" s="191"/>
      <c r="AR29" s="194"/>
      <c r="AS29" s="604"/>
      <c r="AT29" s="604"/>
      <c r="AU29" s="604"/>
      <c r="AV29" s="604"/>
      <c r="AW29" s="604"/>
      <c r="AX29" s="604"/>
      <c r="AY29" s="604"/>
      <c r="AZ29" s="604"/>
      <c r="BA29" s="604"/>
      <c r="BB29" s="604"/>
      <c r="BC29" s="604"/>
      <c r="BD29" s="604"/>
      <c r="BE29" s="604"/>
      <c r="BF29" s="604"/>
      <c r="BG29" s="604"/>
      <c r="BH29" s="604"/>
      <c r="BI29" s="604"/>
      <c r="BJ29" s="604"/>
      <c r="BK29" s="604"/>
      <c r="BL29" s="604"/>
      <c r="BM29" s="604"/>
      <c r="BN29" s="604"/>
      <c r="BO29" s="604"/>
      <c r="BP29" s="604"/>
      <c r="BQ29" s="604"/>
      <c r="BR29" s="604"/>
      <c r="BS29" s="604"/>
      <c r="BT29" s="604"/>
      <c r="BU29" s="604"/>
      <c r="BV29" s="604"/>
      <c r="BW29" s="604"/>
      <c r="BX29" s="604"/>
    </row>
    <row r="30" spans="1:76" s="605" customFormat="1" ht="69" hidden="1" customHeight="1" x14ac:dyDescent="0.25">
      <c r="A30" s="252"/>
      <c r="B30" s="247"/>
      <c r="C30" s="239"/>
      <c r="D30" s="239"/>
      <c r="E30" s="253"/>
      <c r="F30" s="254"/>
      <c r="G30" s="254"/>
      <c r="H30" s="255"/>
      <c r="I30" s="250"/>
      <c r="J30" s="250"/>
      <c r="K30" s="250"/>
      <c r="L30" s="250"/>
      <c r="M30" s="253"/>
      <c r="N30" s="239"/>
      <c r="O30" s="256"/>
      <c r="P30" s="610"/>
      <c r="Q30" s="611"/>
      <c r="R30" s="611"/>
      <c r="S30" s="611">
        <f ca="1">IF(NOT(ISERROR(MATCH(R30,_xlfn.ANCHORARRAY(H41),0))),Q43&amp;"Por favor no seleccionar los criterios de impacto",R30)</f>
        <v>0</v>
      </c>
      <c r="T30" s="610"/>
      <c r="U30" s="611"/>
      <c r="V30" s="252"/>
      <c r="W30" s="194">
        <v>6</v>
      </c>
      <c r="X30" s="192"/>
      <c r="Y30" s="194" t="str">
        <f t="shared" si="12"/>
        <v/>
      </c>
      <c r="Z30" s="188"/>
      <c r="AA30" s="188"/>
      <c r="AB30" s="185" t="str">
        <f t="shared" si="18"/>
        <v/>
      </c>
      <c r="AC30" s="188"/>
      <c r="AD30" s="188"/>
      <c r="AE30" s="188"/>
      <c r="AF30" s="602" t="str">
        <f t="shared" si="25"/>
        <v/>
      </c>
      <c r="AG30" s="186" t="str">
        <f t="shared" si="13"/>
        <v/>
      </c>
      <c r="AH30" s="185" t="str">
        <f t="shared" si="14"/>
        <v/>
      </c>
      <c r="AI30" s="186" t="str">
        <f t="shared" si="15"/>
        <v/>
      </c>
      <c r="AJ30" s="185" t="str">
        <f t="shared" si="26"/>
        <v/>
      </c>
      <c r="AK30" s="187" t="str">
        <f t="shared" si="17"/>
        <v/>
      </c>
      <c r="AL30" s="603"/>
      <c r="AM30" s="189"/>
      <c r="AN30" s="194"/>
      <c r="AO30" s="190"/>
      <c r="AP30" s="190"/>
      <c r="AQ30" s="191"/>
      <c r="AR30" s="194"/>
      <c r="AS30" s="604"/>
      <c r="AT30" s="604"/>
      <c r="AU30" s="604"/>
      <c r="AV30" s="604"/>
      <c r="AW30" s="604"/>
      <c r="AX30" s="604"/>
      <c r="AY30" s="604"/>
      <c r="AZ30" s="604"/>
      <c r="BA30" s="604"/>
      <c r="BB30" s="604"/>
      <c r="BC30" s="604"/>
      <c r="BD30" s="604"/>
      <c r="BE30" s="604"/>
      <c r="BF30" s="604"/>
      <c r="BG30" s="604"/>
      <c r="BH30" s="604"/>
      <c r="BI30" s="604"/>
      <c r="BJ30" s="604"/>
      <c r="BK30" s="604"/>
      <c r="BL30" s="604"/>
      <c r="BM30" s="604"/>
      <c r="BN30" s="604"/>
      <c r="BO30" s="604"/>
      <c r="BP30" s="604"/>
      <c r="BQ30" s="604"/>
      <c r="BR30" s="604"/>
      <c r="BS30" s="604"/>
      <c r="BT30" s="604"/>
      <c r="BU30" s="604"/>
      <c r="BV30" s="604"/>
      <c r="BW30" s="604"/>
      <c r="BX30" s="604"/>
    </row>
    <row r="31" spans="1:76" s="605" customFormat="1" ht="121.5" x14ac:dyDescent="0.25">
      <c r="A31" s="252">
        <v>4</v>
      </c>
      <c r="B31" s="245" t="s">
        <v>507</v>
      </c>
      <c r="C31" s="238" t="s">
        <v>269</v>
      </c>
      <c r="D31" s="238" t="s">
        <v>492</v>
      </c>
      <c r="E31" s="253" t="s">
        <v>243</v>
      </c>
      <c r="F31" s="254" t="s">
        <v>508</v>
      </c>
      <c r="G31" s="254" t="s">
        <v>509</v>
      </c>
      <c r="H31" s="255" t="s">
        <v>510</v>
      </c>
      <c r="I31" s="248" t="s">
        <v>480</v>
      </c>
      <c r="J31" s="248" t="s">
        <v>480</v>
      </c>
      <c r="K31" s="248" t="s">
        <v>480</v>
      </c>
      <c r="L31" s="248" t="s">
        <v>480</v>
      </c>
      <c r="M31" s="253" t="s">
        <v>242</v>
      </c>
      <c r="N31" s="238"/>
      <c r="O31" s="256">
        <v>12</v>
      </c>
      <c r="P31" s="610" t="str">
        <f>IF(O31&lt;=0,"",IF(O31&lt;=2,"Muy Baja",IF(O31&lt;=24,"Baja",IF(O31&lt;=500,"Media",IF(O31&lt;=5000,"Alta","Muy Alta")))))</f>
        <v>Baja</v>
      </c>
      <c r="Q31" s="611">
        <f>IF(P31="","",IF(P31="Muy Baja",0.2,IF(P31="Baja",0.4,IF(P31="Media",0.6,IF(P31="Alta",0.8,IF(P31="Muy Alta",1,))))))</f>
        <v>0.4</v>
      </c>
      <c r="R31" s="611" t="s">
        <v>193</v>
      </c>
      <c r="S31" s="611" t="str">
        <f ca="1">IF(NOT(ISERROR(MATCH(R31,'Tabla Impacto'!$B$221:$B$223,0))),'Tabla Impacto'!$F$223&amp;"Por favor no seleccionar los criterios de impacto(Afectación Económica o presupuestal y Pérdida Reputacional)",R31)</f>
        <v>El riesgo afecta la imagen de la entidad con algunos usuarios de relevancia frente al logro de los objetivos</v>
      </c>
      <c r="T31" s="610" t="str">
        <f ca="1">+IF(OR(S31='[1]Tabla Impacto'!$C$11,S31='[1]Tabla Impacto'!$D$11),"Leve",IF(OR(S31='[1]Tabla Impacto'!$C$12,S31='[1]Tabla Impacto'!$D$12),"Menor",IF(OR(S31='[1]Tabla Impacto'!$C$13,S31='[1]Tabla Impacto'!$D$13),"Moderado",IF(OR(S31='[1]Tabla Impacto'!$C$14,S31='[1]Tabla Impacto'!$D$14),"Mayor",IF(OR(S31='[1]Tabla Impacto'!$C$15,S31='[1]Tabla Impacto'!$D$15),"Catastrófico","")))))</f>
        <v>Moderado</v>
      </c>
      <c r="U31" s="611">
        <f t="shared" ref="U31" ca="1" si="27">IF(T31="","",IF(T31="Leve",0.2,IF(T31="Menor",0.4,IF(T31="Moderado",0.6,IF(T31="Mayor",0.8,IF(T31="Catastrófico",1,))))))</f>
        <v>0.6</v>
      </c>
      <c r="V31" s="252" t="str">
        <f t="shared" ref="V31" ca="1" si="28">IF(OR(AND(P31="Muy Baja",T31="Leve"),AND(P31="Muy Baja",T31="Menor"),AND(P31="Baja",T31="Leve")),"Bajo",IF(OR(AND(P31="Muy baja",T31="Moderado"),AND(P31="Baja",T31="Menor"),AND(P31="Baja",T31="Moderado"),AND(P31="Media",T31="Leve"),AND(P31="Media",T31="Menor"),AND(P31="Media",T31="Moderado"),AND(P31="Alta",T31="Leve"),AND(P31="Alta",T31="Menor")),"Moderado",IF(OR(AND(P31="Muy Baja",T31="Mayor"),AND(P31="Baja",T31="Mayor"),AND(P31="Media",T31="Mayor"),AND(P31="Alta",T31="Moderado"),AND(P31="Alta",T31="Mayor"),AND(P31="Muy Alta",T31="Leve"),AND(P31="Muy Alta",T31="Menor"),AND(P31="Muy Alta",T31="Moderado"),AND(P31="Muy Alta",T31="Mayor")),"Alto",IF(OR(AND(P31="Muy Baja",T31="Catastrófico"),AND(P31="Baja",T31="Catastrófico"),AND(P31="Media",T31="Catastrófico"),AND(P31="Alta",T31="Catastrófico"),AND(P31="Muy Alta",T31="Catastrófico")),"Extremo",""))))</f>
        <v>Moderado</v>
      </c>
      <c r="W31" s="194">
        <v>1</v>
      </c>
      <c r="X31" s="192" t="s">
        <v>511</v>
      </c>
      <c r="Y31" s="194" t="str">
        <f t="shared" si="12"/>
        <v>Probabilidad</v>
      </c>
      <c r="Z31" s="188" t="s">
        <v>213</v>
      </c>
      <c r="AA31" s="188" t="s">
        <v>219</v>
      </c>
      <c r="AB31" s="185" t="s">
        <v>513</v>
      </c>
      <c r="AC31" s="188" t="s">
        <v>222</v>
      </c>
      <c r="AD31" s="188" t="s">
        <v>227</v>
      </c>
      <c r="AE31" s="188" t="s">
        <v>231</v>
      </c>
      <c r="AF31" s="602">
        <f>IFERROR(IF(Y31="Probabilidad",(Q31-(+Q31*AB31)),IF(Y31="Impacto",Q31,"")),"")</f>
        <v>0.28000000000000003</v>
      </c>
      <c r="AG31" s="186" t="str">
        <f t="shared" si="13"/>
        <v>Baja</v>
      </c>
      <c r="AH31" s="185">
        <f t="shared" si="14"/>
        <v>0.28000000000000003</v>
      </c>
      <c r="AI31" s="186" t="str">
        <f t="shared" ca="1" si="15"/>
        <v>Moderado</v>
      </c>
      <c r="AJ31" s="185">
        <f t="shared" ref="AJ31" ca="1" si="29">IFERROR(IF(Y31="Impacto",(U31-(+U31*AB31)),IF(Y31="Probabilidad",U31,"")),"")</f>
        <v>0.6</v>
      </c>
      <c r="AK31" s="187" t="str">
        <f t="shared" ca="1" si="17"/>
        <v>Moderado</v>
      </c>
      <c r="AL31" s="603" t="s">
        <v>258</v>
      </c>
      <c r="AM31" s="189"/>
      <c r="AN31" s="194"/>
      <c r="AO31" s="190"/>
      <c r="AP31" s="190"/>
      <c r="AQ31" s="191"/>
      <c r="AR31" s="194"/>
      <c r="AS31" s="604"/>
      <c r="AT31" s="604"/>
      <c r="AU31" s="604"/>
      <c r="AV31" s="604"/>
      <c r="AW31" s="604"/>
      <c r="AX31" s="604"/>
      <c r="AY31" s="604"/>
      <c r="AZ31" s="604"/>
      <c r="BA31" s="604"/>
      <c r="BB31" s="604"/>
      <c r="BC31" s="604"/>
      <c r="BD31" s="604"/>
      <c r="BE31" s="604"/>
      <c r="BF31" s="604"/>
      <c r="BG31" s="604"/>
      <c r="BH31" s="604"/>
      <c r="BI31" s="604"/>
      <c r="BJ31" s="604"/>
      <c r="BK31" s="604"/>
      <c r="BL31" s="604"/>
      <c r="BM31" s="604"/>
      <c r="BN31" s="604"/>
      <c r="BO31" s="604"/>
      <c r="BP31" s="604"/>
      <c r="BQ31" s="604"/>
      <c r="BR31" s="604"/>
      <c r="BS31" s="604"/>
      <c r="BT31" s="604"/>
      <c r="BU31" s="604"/>
      <c r="BV31" s="604"/>
      <c r="BW31" s="604"/>
      <c r="BX31" s="604"/>
    </row>
    <row r="32" spans="1:76" s="605" customFormat="1" ht="101.25" x14ac:dyDescent="0.25">
      <c r="A32" s="252"/>
      <c r="B32" s="246"/>
      <c r="C32" s="251"/>
      <c r="D32" s="251"/>
      <c r="E32" s="253"/>
      <c r="F32" s="254"/>
      <c r="G32" s="254"/>
      <c r="H32" s="255"/>
      <c r="I32" s="249"/>
      <c r="J32" s="249"/>
      <c r="K32" s="249"/>
      <c r="L32" s="249"/>
      <c r="M32" s="253"/>
      <c r="N32" s="251"/>
      <c r="O32" s="256"/>
      <c r="P32" s="610"/>
      <c r="Q32" s="611"/>
      <c r="R32" s="611"/>
      <c r="S32" s="611">
        <f ca="1">IF(NOT(ISERROR(MATCH(R32,_xlfn.ANCHORARRAY(H43),0))),Q45&amp;"Por favor no seleccionar los criterios de impacto",R32)</f>
        <v>0</v>
      </c>
      <c r="T32" s="610"/>
      <c r="U32" s="611"/>
      <c r="V32" s="252"/>
      <c r="W32" s="194">
        <v>2</v>
      </c>
      <c r="X32" s="192" t="s">
        <v>512</v>
      </c>
      <c r="Y32" s="194" t="str">
        <f t="shared" si="12"/>
        <v>Probabilidad</v>
      </c>
      <c r="Z32" s="188" t="s">
        <v>213</v>
      </c>
      <c r="AA32" s="188" t="s">
        <v>219</v>
      </c>
      <c r="AB32" s="185" t="s">
        <v>513</v>
      </c>
      <c r="AC32" s="188" t="s">
        <v>222</v>
      </c>
      <c r="AD32" s="188" t="s">
        <v>227</v>
      </c>
      <c r="AE32" s="188" t="s">
        <v>231</v>
      </c>
      <c r="AF32" s="602">
        <f>IFERROR(IF(AND(Y31="Probabilidad",Y32="Probabilidad"),(AH31-(+AH31*AB32)),IF(Y32="Probabilidad",(Q31-(+Q31*AB32)),IF(Y32="Impacto",AH31,""))),"")</f>
        <v>0.19600000000000001</v>
      </c>
      <c r="AG32" s="186" t="str">
        <f t="shared" si="13"/>
        <v>Muy Baja</v>
      </c>
      <c r="AH32" s="185">
        <f t="shared" si="14"/>
        <v>0.19600000000000001</v>
      </c>
      <c r="AI32" s="186" t="str">
        <f t="shared" ca="1" si="15"/>
        <v>Moderado</v>
      </c>
      <c r="AJ32" s="185">
        <f t="shared" ref="AJ32" ca="1" si="30">IFERROR(IF(AND(Y31="Impacto",Y32="Impacto"),(AJ31-(+AJ31*AB32)),IF(Y32="Impacto",(U31-(+U31*AB32)),IF(Y32="Probabilidad",AJ31,""))),"")</f>
        <v>0.6</v>
      </c>
      <c r="AK32" s="187" t="str">
        <f t="shared" ca="1" si="17"/>
        <v>Moderado</v>
      </c>
      <c r="AL32" s="603" t="s">
        <v>258</v>
      </c>
      <c r="AM32" s="189"/>
      <c r="AN32" s="194"/>
      <c r="AO32" s="190"/>
      <c r="AP32" s="190"/>
      <c r="AQ32" s="191"/>
      <c r="AR32" s="194"/>
      <c r="AS32" s="604"/>
      <c r="AT32" s="604"/>
      <c r="AU32" s="604"/>
      <c r="AV32" s="604"/>
      <c r="AW32" s="604"/>
      <c r="AX32" s="604"/>
      <c r="AY32" s="604"/>
      <c r="AZ32" s="604"/>
      <c r="BA32" s="604"/>
      <c r="BB32" s="604"/>
      <c r="BC32" s="604"/>
      <c r="BD32" s="604"/>
      <c r="BE32" s="604"/>
      <c r="BF32" s="604"/>
      <c r="BG32" s="604"/>
      <c r="BH32" s="604"/>
      <c r="BI32" s="604"/>
      <c r="BJ32" s="604"/>
      <c r="BK32" s="604"/>
      <c r="BL32" s="604"/>
      <c r="BM32" s="604"/>
      <c r="BN32" s="604"/>
      <c r="BO32" s="604"/>
      <c r="BP32" s="604"/>
      <c r="BQ32" s="604"/>
      <c r="BR32" s="604"/>
      <c r="BS32" s="604"/>
      <c r="BT32" s="604"/>
      <c r="BU32" s="604"/>
      <c r="BV32" s="604"/>
      <c r="BW32" s="604"/>
      <c r="BX32" s="604"/>
    </row>
    <row r="33" spans="1:76" s="605" customFormat="1" ht="69" hidden="1" customHeight="1" x14ac:dyDescent="0.25">
      <c r="A33" s="252"/>
      <c r="B33" s="246"/>
      <c r="C33" s="251"/>
      <c r="D33" s="251"/>
      <c r="E33" s="253"/>
      <c r="F33" s="254"/>
      <c r="G33" s="254"/>
      <c r="H33" s="255"/>
      <c r="I33" s="249"/>
      <c r="J33" s="249"/>
      <c r="K33" s="249"/>
      <c r="L33" s="249"/>
      <c r="M33" s="253"/>
      <c r="N33" s="251"/>
      <c r="O33" s="256"/>
      <c r="P33" s="610"/>
      <c r="Q33" s="611"/>
      <c r="R33" s="611"/>
      <c r="S33" s="611">
        <f ca="1">IF(NOT(ISERROR(MATCH(R33,_xlfn.ANCHORARRAY(H44),0))),Q46&amp;"Por favor no seleccionar los criterios de impacto",R33)</f>
        <v>0</v>
      </c>
      <c r="T33" s="610"/>
      <c r="U33" s="611"/>
      <c r="V33" s="252"/>
      <c r="W33" s="194">
        <v>3</v>
      </c>
      <c r="X33" s="192"/>
      <c r="Y33" s="194" t="str">
        <f t="shared" si="12"/>
        <v/>
      </c>
      <c r="Z33" s="188"/>
      <c r="AA33" s="188"/>
      <c r="AB33" s="185" t="str">
        <f t="shared" si="18"/>
        <v/>
      </c>
      <c r="AC33" s="188"/>
      <c r="AD33" s="188"/>
      <c r="AE33" s="188"/>
      <c r="AF33" s="602" t="str">
        <f t="shared" ref="AF33:AF36" si="31">IFERROR(IF(AND(Y32="Probabilidad",Y33="Probabilidad"),(AH32-(+AH32*AB33)),IF(Y33="Probabilidad",(Q32-(+Q32*AB33)),IF(Y33="Impacto",AH32,""))),"")</f>
        <v/>
      </c>
      <c r="AG33" s="186" t="str">
        <f t="shared" si="13"/>
        <v/>
      </c>
      <c r="AH33" s="185" t="str">
        <f t="shared" si="14"/>
        <v/>
      </c>
      <c r="AI33" s="186" t="str">
        <f t="shared" si="15"/>
        <v/>
      </c>
      <c r="AJ33" s="185" t="str">
        <f t="shared" ref="AJ33:AJ36" si="32">IFERROR(IF(AND(Y32="Impacto",Y33="Impacto"),(AJ32-(+AJ32*AB33)),IF(AND(Y32="Probabilidad",Y33="Impacto"),(AJ31-(+AJ31*AB33)),IF(Y33="Probabilidad",AJ32,""))),"")</f>
        <v/>
      </c>
      <c r="AK33" s="187" t="str">
        <f t="shared" si="17"/>
        <v/>
      </c>
      <c r="AL33" s="603"/>
      <c r="AM33" s="189"/>
      <c r="AN33" s="194"/>
      <c r="AO33" s="190"/>
      <c r="AP33" s="190"/>
      <c r="AQ33" s="191"/>
      <c r="AR33" s="194"/>
      <c r="AS33" s="604"/>
      <c r="AT33" s="604"/>
      <c r="AU33" s="604"/>
      <c r="AV33" s="604"/>
      <c r="AW33" s="604"/>
      <c r="AX33" s="604"/>
      <c r="AY33" s="604"/>
      <c r="AZ33" s="604"/>
      <c r="BA33" s="604"/>
      <c r="BB33" s="604"/>
      <c r="BC33" s="604"/>
      <c r="BD33" s="604"/>
      <c r="BE33" s="604"/>
      <c r="BF33" s="604"/>
      <c r="BG33" s="604"/>
      <c r="BH33" s="604"/>
      <c r="BI33" s="604"/>
      <c r="BJ33" s="604"/>
      <c r="BK33" s="604"/>
      <c r="BL33" s="604"/>
      <c r="BM33" s="604"/>
      <c r="BN33" s="604"/>
      <c r="BO33" s="604"/>
      <c r="BP33" s="604"/>
      <c r="BQ33" s="604"/>
      <c r="BR33" s="604"/>
      <c r="BS33" s="604"/>
      <c r="BT33" s="604"/>
      <c r="BU33" s="604"/>
      <c r="BV33" s="604"/>
      <c r="BW33" s="604"/>
      <c r="BX33" s="604"/>
    </row>
    <row r="34" spans="1:76" s="605" customFormat="1" ht="69" hidden="1" customHeight="1" x14ac:dyDescent="0.25">
      <c r="A34" s="252"/>
      <c r="B34" s="246"/>
      <c r="C34" s="251"/>
      <c r="D34" s="251"/>
      <c r="E34" s="253"/>
      <c r="F34" s="254"/>
      <c r="G34" s="254"/>
      <c r="H34" s="255"/>
      <c r="I34" s="249"/>
      <c r="J34" s="249"/>
      <c r="K34" s="249"/>
      <c r="L34" s="249"/>
      <c r="M34" s="253"/>
      <c r="N34" s="251"/>
      <c r="O34" s="256"/>
      <c r="P34" s="610"/>
      <c r="Q34" s="611"/>
      <c r="R34" s="611"/>
      <c r="S34" s="611">
        <f ca="1">IF(NOT(ISERROR(MATCH(R34,_xlfn.ANCHORARRAY(H45),0))),Q47&amp;"Por favor no seleccionar los criterios de impacto",R34)</f>
        <v>0</v>
      </c>
      <c r="T34" s="610"/>
      <c r="U34" s="611"/>
      <c r="V34" s="252"/>
      <c r="W34" s="194">
        <v>4</v>
      </c>
      <c r="X34" s="192"/>
      <c r="Y34" s="194" t="str">
        <f t="shared" si="12"/>
        <v/>
      </c>
      <c r="Z34" s="188"/>
      <c r="AA34" s="188"/>
      <c r="AB34" s="185" t="str">
        <f t="shared" si="18"/>
        <v/>
      </c>
      <c r="AC34" s="188"/>
      <c r="AD34" s="188"/>
      <c r="AE34" s="188"/>
      <c r="AF34" s="602" t="str">
        <f t="shared" si="31"/>
        <v/>
      </c>
      <c r="AG34" s="186" t="str">
        <f t="shared" si="13"/>
        <v/>
      </c>
      <c r="AH34" s="185" t="str">
        <f t="shared" si="14"/>
        <v/>
      </c>
      <c r="AI34" s="186" t="str">
        <f t="shared" si="15"/>
        <v/>
      </c>
      <c r="AJ34" s="185" t="str">
        <f t="shared" si="32"/>
        <v/>
      </c>
      <c r="AK34" s="187" t="str">
        <f t="shared" si="17"/>
        <v/>
      </c>
      <c r="AL34" s="603"/>
      <c r="AM34" s="189"/>
      <c r="AN34" s="194"/>
      <c r="AO34" s="190"/>
      <c r="AP34" s="190"/>
      <c r="AQ34" s="191"/>
      <c r="AR34" s="194"/>
      <c r="AS34" s="604"/>
      <c r="AT34" s="604"/>
      <c r="AU34" s="604"/>
      <c r="AV34" s="604"/>
      <c r="AW34" s="604"/>
      <c r="AX34" s="604"/>
      <c r="AY34" s="604"/>
      <c r="AZ34" s="604"/>
      <c r="BA34" s="604"/>
      <c r="BB34" s="604"/>
      <c r="BC34" s="604"/>
      <c r="BD34" s="604"/>
      <c r="BE34" s="604"/>
      <c r="BF34" s="604"/>
      <c r="BG34" s="604"/>
      <c r="BH34" s="604"/>
      <c r="BI34" s="604"/>
      <c r="BJ34" s="604"/>
      <c r="BK34" s="604"/>
      <c r="BL34" s="604"/>
      <c r="BM34" s="604"/>
      <c r="BN34" s="604"/>
      <c r="BO34" s="604"/>
      <c r="BP34" s="604"/>
      <c r="BQ34" s="604"/>
      <c r="BR34" s="604"/>
      <c r="BS34" s="604"/>
      <c r="BT34" s="604"/>
      <c r="BU34" s="604"/>
      <c r="BV34" s="604"/>
      <c r="BW34" s="604"/>
      <c r="BX34" s="604"/>
    </row>
    <row r="35" spans="1:76" s="605" customFormat="1" ht="69" hidden="1" customHeight="1" x14ac:dyDescent="0.25">
      <c r="A35" s="252"/>
      <c r="B35" s="246"/>
      <c r="C35" s="251"/>
      <c r="D35" s="251"/>
      <c r="E35" s="253"/>
      <c r="F35" s="254"/>
      <c r="G35" s="254"/>
      <c r="H35" s="255"/>
      <c r="I35" s="249"/>
      <c r="J35" s="249"/>
      <c r="K35" s="249"/>
      <c r="L35" s="249"/>
      <c r="M35" s="253"/>
      <c r="N35" s="251"/>
      <c r="O35" s="256"/>
      <c r="P35" s="610"/>
      <c r="Q35" s="611"/>
      <c r="R35" s="611"/>
      <c r="S35" s="611">
        <f ca="1">IF(NOT(ISERROR(MATCH(R35,_xlfn.ANCHORARRAY(H46),0))),Q48&amp;"Por favor no seleccionar los criterios de impacto",R35)</f>
        <v>0</v>
      </c>
      <c r="T35" s="610"/>
      <c r="U35" s="611"/>
      <c r="V35" s="252"/>
      <c r="W35" s="194">
        <v>5</v>
      </c>
      <c r="X35" s="192"/>
      <c r="Y35" s="194" t="str">
        <f t="shared" si="12"/>
        <v/>
      </c>
      <c r="Z35" s="188"/>
      <c r="AA35" s="188"/>
      <c r="AB35" s="185" t="str">
        <f t="shared" si="18"/>
        <v/>
      </c>
      <c r="AC35" s="188"/>
      <c r="AD35" s="188"/>
      <c r="AE35" s="188"/>
      <c r="AF35" s="602" t="str">
        <f t="shared" si="31"/>
        <v/>
      </c>
      <c r="AG35" s="186" t="str">
        <f t="shared" si="13"/>
        <v/>
      </c>
      <c r="AH35" s="185" t="str">
        <f t="shared" si="14"/>
        <v/>
      </c>
      <c r="AI35" s="186" t="str">
        <f t="shared" si="15"/>
        <v/>
      </c>
      <c r="AJ35" s="185" t="str">
        <f t="shared" si="32"/>
        <v/>
      </c>
      <c r="AK35" s="187" t="str">
        <f t="shared" si="17"/>
        <v/>
      </c>
      <c r="AL35" s="603"/>
      <c r="AM35" s="189"/>
      <c r="AN35" s="194"/>
      <c r="AO35" s="190"/>
      <c r="AP35" s="190"/>
      <c r="AQ35" s="191"/>
      <c r="AR35" s="194"/>
      <c r="AS35" s="604"/>
      <c r="AT35" s="604"/>
      <c r="AU35" s="604"/>
      <c r="AV35" s="604"/>
      <c r="AW35" s="604"/>
      <c r="AX35" s="604"/>
      <c r="AY35" s="604"/>
      <c r="AZ35" s="604"/>
      <c r="BA35" s="604"/>
      <c r="BB35" s="604"/>
      <c r="BC35" s="604"/>
      <c r="BD35" s="604"/>
      <c r="BE35" s="604"/>
      <c r="BF35" s="604"/>
      <c r="BG35" s="604"/>
      <c r="BH35" s="604"/>
      <c r="BI35" s="604"/>
      <c r="BJ35" s="604"/>
      <c r="BK35" s="604"/>
      <c r="BL35" s="604"/>
      <c r="BM35" s="604"/>
      <c r="BN35" s="604"/>
      <c r="BO35" s="604"/>
      <c r="BP35" s="604"/>
      <c r="BQ35" s="604"/>
      <c r="BR35" s="604"/>
      <c r="BS35" s="604"/>
      <c r="BT35" s="604"/>
      <c r="BU35" s="604"/>
      <c r="BV35" s="604"/>
      <c r="BW35" s="604"/>
      <c r="BX35" s="604"/>
    </row>
    <row r="36" spans="1:76" s="605" customFormat="1" ht="69" hidden="1" customHeight="1" x14ac:dyDescent="0.25">
      <c r="A36" s="252"/>
      <c r="B36" s="247"/>
      <c r="C36" s="239"/>
      <c r="D36" s="239"/>
      <c r="E36" s="253"/>
      <c r="F36" s="254"/>
      <c r="G36" s="254"/>
      <c r="H36" s="255"/>
      <c r="I36" s="250"/>
      <c r="J36" s="250"/>
      <c r="K36" s="250"/>
      <c r="L36" s="250"/>
      <c r="M36" s="253"/>
      <c r="N36" s="239"/>
      <c r="O36" s="256"/>
      <c r="P36" s="610"/>
      <c r="Q36" s="611"/>
      <c r="R36" s="611"/>
      <c r="S36" s="611">
        <f ca="1">IF(NOT(ISERROR(MATCH(R36,_xlfn.ANCHORARRAY(H47),0))),Q49&amp;"Por favor no seleccionar los criterios de impacto",R36)</f>
        <v>0</v>
      </c>
      <c r="T36" s="610"/>
      <c r="U36" s="611"/>
      <c r="V36" s="252"/>
      <c r="W36" s="194">
        <v>6</v>
      </c>
      <c r="X36" s="192"/>
      <c r="Y36" s="194" t="str">
        <f t="shared" si="12"/>
        <v/>
      </c>
      <c r="Z36" s="188"/>
      <c r="AA36" s="188"/>
      <c r="AB36" s="185" t="str">
        <f t="shared" si="18"/>
        <v/>
      </c>
      <c r="AC36" s="188"/>
      <c r="AD36" s="188"/>
      <c r="AE36" s="188"/>
      <c r="AF36" s="602" t="str">
        <f t="shared" si="31"/>
        <v/>
      </c>
      <c r="AG36" s="186" t="str">
        <f t="shared" si="13"/>
        <v/>
      </c>
      <c r="AH36" s="185" t="str">
        <f t="shared" si="14"/>
        <v/>
      </c>
      <c r="AI36" s="186" t="str">
        <f t="shared" si="15"/>
        <v/>
      </c>
      <c r="AJ36" s="185" t="str">
        <f t="shared" si="32"/>
        <v/>
      </c>
      <c r="AK36" s="187" t="str">
        <f t="shared" si="17"/>
        <v/>
      </c>
      <c r="AL36" s="603"/>
      <c r="AM36" s="189"/>
      <c r="AN36" s="194"/>
      <c r="AO36" s="190"/>
      <c r="AP36" s="190"/>
      <c r="AQ36" s="191"/>
      <c r="AR36" s="194"/>
      <c r="AS36" s="604"/>
      <c r="AT36" s="604"/>
      <c r="AU36" s="604"/>
      <c r="AV36" s="604"/>
      <c r="AW36" s="604"/>
      <c r="AX36" s="604"/>
      <c r="AY36" s="604"/>
      <c r="AZ36" s="604"/>
      <c r="BA36" s="604"/>
      <c r="BB36" s="604"/>
      <c r="BC36" s="604"/>
      <c r="BD36" s="604"/>
      <c r="BE36" s="604"/>
      <c r="BF36" s="604"/>
      <c r="BG36" s="604"/>
      <c r="BH36" s="604"/>
      <c r="BI36" s="604"/>
      <c r="BJ36" s="604"/>
      <c r="BK36" s="604"/>
      <c r="BL36" s="604"/>
      <c r="BM36" s="604"/>
      <c r="BN36" s="604"/>
      <c r="BO36" s="604"/>
      <c r="BP36" s="604"/>
      <c r="BQ36" s="604"/>
      <c r="BR36" s="604"/>
      <c r="BS36" s="604"/>
      <c r="BT36" s="604"/>
      <c r="BU36" s="604"/>
      <c r="BV36" s="604"/>
      <c r="BW36" s="604"/>
      <c r="BX36" s="604"/>
    </row>
    <row r="37" spans="1:76" s="605" customFormat="1" ht="162" x14ac:dyDescent="0.25">
      <c r="A37" s="252">
        <v>5</v>
      </c>
      <c r="B37" s="245" t="s">
        <v>514</v>
      </c>
      <c r="C37" s="238" t="s">
        <v>269</v>
      </c>
      <c r="D37" s="238" t="s">
        <v>492</v>
      </c>
      <c r="E37" s="253" t="s">
        <v>241</v>
      </c>
      <c r="F37" s="254" t="s">
        <v>515</v>
      </c>
      <c r="G37" s="254" t="s">
        <v>516</v>
      </c>
      <c r="H37" s="255" t="s">
        <v>517</v>
      </c>
      <c r="I37" s="248" t="s">
        <v>480</v>
      </c>
      <c r="J37" s="248" t="s">
        <v>480</v>
      </c>
      <c r="K37" s="248" t="s">
        <v>480</v>
      </c>
      <c r="L37" s="248" t="s">
        <v>480</v>
      </c>
      <c r="M37" s="253" t="s">
        <v>242</v>
      </c>
      <c r="N37" s="238"/>
      <c r="O37" s="256">
        <v>1</v>
      </c>
      <c r="P37" s="610" t="str">
        <f>IF(O37&lt;=0,"",IF(O37&lt;=2,"Muy Baja",IF(O37&lt;=24,"Baja",IF(O37&lt;=500,"Media",IF(O37&lt;=5000,"Alta","Muy Alta")))))</f>
        <v>Muy Baja</v>
      </c>
      <c r="Q37" s="611">
        <f>IF(P37="","",IF(P37="Muy Baja",0.2,IF(P37="Baja",0.4,IF(P37="Media",0.6,IF(P37="Alta",0.8,IF(P37="Muy Alta",1,))))))</f>
        <v>0.2</v>
      </c>
      <c r="R37" s="611" t="s">
        <v>196</v>
      </c>
      <c r="S37" s="611" t="str">
        <f ca="1">IF(NOT(ISERROR(MATCH(R37,'Tabla Impacto'!$B$221:$B$223,0))),'Tabla Impacto'!$F$223&amp;"Por favor no seleccionar los criterios de impacto(Afectación Económica o presupuestal y Pérdida Reputacional)",R37)</f>
        <v>El riesgo afecta la imagen de de la entidad con efecto publicitario sostenido a nivel de sector administrativo, nivel departamental o municipal</v>
      </c>
      <c r="T37" s="610" t="str">
        <f ca="1">+IF(OR(S37='[1]Tabla Impacto'!$C$11,S37='[1]Tabla Impacto'!$D$11),"Leve",IF(OR(S37='[1]Tabla Impacto'!$C$12,S37='[1]Tabla Impacto'!$D$12),"Menor",IF(OR(S37='[1]Tabla Impacto'!$C$13,S37='[1]Tabla Impacto'!$D$13),"Moderado",IF(OR(S37='[1]Tabla Impacto'!$C$14,S37='[1]Tabla Impacto'!$D$14),"Mayor",IF(OR(S37='[1]Tabla Impacto'!$C$15,S37='[1]Tabla Impacto'!$D$15),"Catastrófico","")))))</f>
        <v>Mayor</v>
      </c>
      <c r="U37" s="611">
        <f t="shared" ref="U37" ca="1" si="33">IF(T37="","",IF(T37="Leve",0.2,IF(T37="Menor",0.4,IF(T37="Moderado",0.6,IF(T37="Mayor",0.8,IF(T37="Catastrófico",1,))))))</f>
        <v>0.8</v>
      </c>
      <c r="V37" s="252" t="str">
        <f t="shared" ref="V37" ca="1" si="34">IF(OR(AND(P37="Muy Baja",T37="Leve"),AND(P37="Muy Baja",T37="Menor"),AND(P37="Baja",T37="Leve")),"Bajo",IF(OR(AND(P37="Muy baja",T37="Moderado"),AND(P37="Baja",T37="Menor"),AND(P37="Baja",T37="Moderado"),AND(P37="Media",T37="Leve"),AND(P37="Media",T37="Menor"),AND(P37="Media",T37="Moderado"),AND(P37="Alta",T37="Leve"),AND(P37="Alta",T37="Menor")),"Moderado",IF(OR(AND(P37="Muy Baja",T37="Mayor"),AND(P37="Baja",T37="Mayor"),AND(P37="Media",T37="Mayor"),AND(P37="Alta",T37="Moderado"),AND(P37="Alta",T37="Mayor"),AND(P37="Muy Alta",T37="Leve"),AND(P37="Muy Alta",T37="Menor"),AND(P37="Muy Alta",T37="Moderado"),AND(P37="Muy Alta",T37="Mayor")),"Alto",IF(OR(AND(P37="Muy Baja",T37="Catastrófico"),AND(P37="Baja",T37="Catastrófico"),AND(P37="Media",T37="Catastrófico"),AND(P37="Alta",T37="Catastrófico"),AND(P37="Muy Alta",T37="Catastrófico")),"Extremo",""))))</f>
        <v>Alto</v>
      </c>
      <c r="W37" s="194">
        <v>1</v>
      </c>
      <c r="X37" s="193" t="s">
        <v>518</v>
      </c>
      <c r="Y37" s="194" t="str">
        <f t="shared" si="12"/>
        <v>Probabilidad</v>
      </c>
      <c r="Z37" s="188" t="s">
        <v>211</v>
      </c>
      <c r="AA37" s="188" t="s">
        <v>219</v>
      </c>
      <c r="AB37" s="185" t="s">
        <v>490</v>
      </c>
      <c r="AC37" s="188" t="s">
        <v>225</v>
      </c>
      <c r="AD37" s="188" t="s">
        <v>227</v>
      </c>
      <c r="AE37" s="188" t="s">
        <v>231</v>
      </c>
      <c r="AF37" s="602">
        <f>IFERROR(IF(Y37="Probabilidad",(Q37-(+Q37*AB37)),IF(Y37="Impacto",Q37,"")),"")</f>
        <v>0.12</v>
      </c>
      <c r="AG37" s="186" t="str">
        <f t="shared" si="13"/>
        <v>Muy Baja</v>
      </c>
      <c r="AH37" s="185">
        <f t="shared" si="14"/>
        <v>0.12</v>
      </c>
      <c r="AI37" s="186" t="str">
        <f t="shared" ca="1" si="15"/>
        <v>Mayor</v>
      </c>
      <c r="AJ37" s="185">
        <f t="shared" ref="AJ37" ca="1" si="35">IFERROR(IF(Y37="Impacto",(U37-(+U37*AB37)),IF(Y37="Probabilidad",U37,"")),"")</f>
        <v>0.8</v>
      </c>
      <c r="AK37" s="187" t="str">
        <f t="shared" ca="1" si="17"/>
        <v>Alto</v>
      </c>
      <c r="AL37" s="603" t="s">
        <v>265</v>
      </c>
      <c r="AM37" s="236" t="s">
        <v>521</v>
      </c>
      <c r="AN37" s="238" t="s">
        <v>522</v>
      </c>
      <c r="AO37" s="240" t="s">
        <v>523</v>
      </c>
      <c r="AP37" s="240" t="s">
        <v>523</v>
      </c>
      <c r="AQ37" s="238" t="s">
        <v>524</v>
      </c>
      <c r="AR37" s="245" t="s">
        <v>262</v>
      </c>
      <c r="AS37" s="604"/>
      <c r="AT37" s="604"/>
      <c r="AU37" s="604"/>
      <c r="AV37" s="604"/>
      <c r="AW37" s="604"/>
      <c r="AX37" s="604"/>
      <c r="AY37" s="604"/>
      <c r="AZ37" s="604"/>
      <c r="BA37" s="604"/>
      <c r="BB37" s="604"/>
      <c r="BC37" s="604"/>
      <c r="BD37" s="604"/>
      <c r="BE37" s="604"/>
      <c r="BF37" s="604"/>
      <c r="BG37" s="604"/>
      <c r="BH37" s="604"/>
      <c r="BI37" s="604"/>
      <c r="BJ37" s="604"/>
      <c r="BK37" s="604"/>
      <c r="BL37" s="604"/>
      <c r="BM37" s="604"/>
      <c r="BN37" s="604"/>
      <c r="BO37" s="604"/>
      <c r="BP37" s="604"/>
      <c r="BQ37" s="604"/>
      <c r="BR37" s="604"/>
      <c r="BS37" s="604"/>
      <c r="BT37" s="604"/>
      <c r="BU37" s="604"/>
      <c r="BV37" s="604"/>
      <c r="BW37" s="604"/>
      <c r="BX37" s="604"/>
    </row>
    <row r="38" spans="1:76" s="605" customFormat="1" ht="162" x14ac:dyDescent="0.25">
      <c r="A38" s="252"/>
      <c r="B38" s="246"/>
      <c r="C38" s="251"/>
      <c r="D38" s="251"/>
      <c r="E38" s="253"/>
      <c r="F38" s="254"/>
      <c r="G38" s="254"/>
      <c r="H38" s="255"/>
      <c r="I38" s="249"/>
      <c r="J38" s="249"/>
      <c r="K38" s="249"/>
      <c r="L38" s="249"/>
      <c r="M38" s="253"/>
      <c r="N38" s="251"/>
      <c r="O38" s="256"/>
      <c r="P38" s="610"/>
      <c r="Q38" s="611"/>
      <c r="R38" s="611"/>
      <c r="S38" s="611">
        <f ca="1">IF(NOT(ISERROR(MATCH(R38,_xlfn.ANCHORARRAY(I49),0))),Q51&amp;"Por favor no seleccionar los criterios de impacto",R38)</f>
        <v>0</v>
      </c>
      <c r="T38" s="610"/>
      <c r="U38" s="611"/>
      <c r="V38" s="252"/>
      <c r="W38" s="194">
        <v>2</v>
      </c>
      <c r="X38" s="193" t="s">
        <v>519</v>
      </c>
      <c r="Y38" s="194" t="str">
        <f t="shared" ref="Y38:Y84" si="36">IF(OR(Z38="Preventivo",Z38="Detectivo"),"Probabilidad",IF(Z38="Correctivo","Impacto",""))</f>
        <v>Probabilidad</v>
      </c>
      <c r="Z38" s="188" t="s">
        <v>211</v>
      </c>
      <c r="AA38" s="188" t="s">
        <v>219</v>
      </c>
      <c r="AB38" s="185" t="s">
        <v>490</v>
      </c>
      <c r="AC38" s="188" t="s">
        <v>225</v>
      </c>
      <c r="AD38" s="188" t="s">
        <v>227</v>
      </c>
      <c r="AE38" s="188" t="s">
        <v>231</v>
      </c>
      <c r="AF38" s="602">
        <f>IFERROR(IF(AND(Y37="Probabilidad",Y38="Probabilidad"),(AH37-(+AH37*AB38)),IF(Y38="Probabilidad",(Q37-(+Q37*AB38)),IF(Y38="Impacto",AH37,""))),"")</f>
        <v>7.1999999999999995E-2</v>
      </c>
      <c r="AG38" s="186" t="str">
        <f t="shared" ref="AG38:AG84" si="37">IFERROR(IF(AF38="","",IF(AF38&lt;=0.2,"Muy Baja",IF(AF38&lt;=0.4,"Baja",IF(AF38&lt;=0.6,"Media",IF(AF38&lt;=0.8,"Alta","Muy Alta"))))),"")</f>
        <v>Muy Baja</v>
      </c>
      <c r="AH38" s="185">
        <f t="shared" ref="AH38:AH84" si="38">+AF38</f>
        <v>7.1999999999999995E-2</v>
      </c>
      <c r="AI38" s="186" t="str">
        <f t="shared" ref="AI38:AI84" ca="1" si="39">IFERROR(IF(AJ38="","",IF(AJ38&lt;=0.2,"Leve",IF(AJ38&lt;=0.4,"Menor",IF(AJ38&lt;=0.6,"Moderado",IF(AJ38&lt;=0.8,"Mayor","Catastrófico"))))),"")</f>
        <v>Mayor</v>
      </c>
      <c r="AJ38" s="185">
        <f t="shared" ref="AJ38" ca="1" si="40">IFERROR(IF(AND(Y37="Impacto",Y38="Impacto"),(AJ37-(+AJ37*AB38)),IF(Y38="Impacto",(U37-(+U37*AB38)),IF(Y38="Probabilidad",AJ37,""))),"")</f>
        <v>0.8</v>
      </c>
      <c r="AK38" s="187" t="str">
        <f t="shared" ref="AK38:AK84" ca="1" si="41">IFERROR(IF(OR(AND(AG38="Muy Baja",AI38="Leve"),AND(AG38="Muy Baja",AI38="Menor"),AND(AG38="Baja",AI38="Leve")),"Bajo",IF(OR(AND(AG38="Muy baja",AI38="Moderado"),AND(AG38="Baja",AI38="Menor"),AND(AG38="Baja",AI38="Moderado"),AND(AG38="Media",AI38="Leve"),AND(AG38="Media",AI38="Menor"),AND(AG38="Media",AI38="Moderado"),AND(AG38="Alta",AI38="Leve"),AND(AG38="Alta",AI38="Menor")),"Moderado",IF(OR(AND(AG38="Muy Baja",AI38="Mayor"),AND(AG38="Baja",AI38="Mayor"),AND(AG38="Media",AI38="Mayor"),AND(AG38="Alta",AI38="Moderado"),AND(AG38="Alta",AI38="Mayor"),AND(AG38="Muy Alta",AI38="Leve"),AND(AG38="Muy Alta",AI38="Menor"),AND(AG38="Muy Alta",AI38="Moderado"),AND(AG38="Muy Alta",AI38="Mayor")),"Alto",IF(OR(AND(AG38="Muy Baja",AI38="Catastrófico"),AND(AG38="Baja",AI38="Catastrófico"),AND(AG38="Media",AI38="Catastrófico"),AND(AG38="Alta",AI38="Catastrófico"),AND(AG38="Muy Alta",AI38="Catastrófico")),"Extremo","")))),"")</f>
        <v>Alto</v>
      </c>
      <c r="AL38" s="603" t="s">
        <v>265</v>
      </c>
      <c r="AM38" s="278"/>
      <c r="AN38" s="251"/>
      <c r="AO38" s="279"/>
      <c r="AP38" s="279"/>
      <c r="AQ38" s="251"/>
      <c r="AR38" s="246"/>
      <c r="AS38" s="604"/>
      <c r="AT38" s="604"/>
      <c r="AU38" s="604"/>
      <c r="AV38" s="604"/>
      <c r="AW38" s="604"/>
      <c r="AX38" s="604"/>
      <c r="AY38" s="604"/>
      <c r="AZ38" s="604"/>
      <c r="BA38" s="604"/>
      <c r="BB38" s="604"/>
      <c r="BC38" s="604"/>
      <c r="BD38" s="604"/>
      <c r="BE38" s="604"/>
      <c r="BF38" s="604"/>
      <c r="BG38" s="604"/>
      <c r="BH38" s="604"/>
      <c r="BI38" s="604"/>
      <c r="BJ38" s="604"/>
      <c r="BK38" s="604"/>
      <c r="BL38" s="604"/>
      <c r="BM38" s="604"/>
      <c r="BN38" s="604"/>
      <c r="BO38" s="604"/>
      <c r="BP38" s="604"/>
      <c r="BQ38" s="604"/>
      <c r="BR38" s="604"/>
      <c r="BS38" s="604"/>
      <c r="BT38" s="604"/>
      <c r="BU38" s="604"/>
      <c r="BV38" s="604"/>
      <c r="BW38" s="604"/>
      <c r="BX38" s="604"/>
    </row>
    <row r="39" spans="1:76" s="605" customFormat="1" ht="106.5" x14ac:dyDescent="0.25">
      <c r="A39" s="252"/>
      <c r="B39" s="246"/>
      <c r="C39" s="251"/>
      <c r="D39" s="251"/>
      <c r="E39" s="253"/>
      <c r="F39" s="254"/>
      <c r="G39" s="254"/>
      <c r="H39" s="255"/>
      <c r="I39" s="249"/>
      <c r="J39" s="249"/>
      <c r="K39" s="249"/>
      <c r="L39" s="249"/>
      <c r="M39" s="253"/>
      <c r="N39" s="251"/>
      <c r="O39" s="256"/>
      <c r="P39" s="610"/>
      <c r="Q39" s="611"/>
      <c r="R39" s="611"/>
      <c r="S39" s="611">
        <f ca="1">IF(NOT(ISERROR(MATCH(R39,_xlfn.ANCHORARRAY(I50),0))),Q52&amp;"Por favor no seleccionar los criterios de impacto",R39)</f>
        <v>0</v>
      </c>
      <c r="T39" s="610"/>
      <c r="U39" s="611"/>
      <c r="V39" s="252"/>
      <c r="W39" s="194">
        <v>3</v>
      </c>
      <c r="X39" s="193" t="s">
        <v>520</v>
      </c>
      <c r="Y39" s="194" t="str">
        <f t="shared" si="36"/>
        <v>Probabilidad</v>
      </c>
      <c r="Z39" s="188" t="s">
        <v>211</v>
      </c>
      <c r="AA39" s="188" t="s">
        <v>219</v>
      </c>
      <c r="AB39" s="185" t="s">
        <v>490</v>
      </c>
      <c r="AC39" s="188" t="s">
        <v>225</v>
      </c>
      <c r="AD39" s="188" t="s">
        <v>227</v>
      </c>
      <c r="AE39" s="188" t="s">
        <v>231</v>
      </c>
      <c r="AF39" s="602">
        <f t="shared" ref="AF39:AF42" si="42">IFERROR(IF(AND(Y38="Probabilidad",Y39="Probabilidad"),(AH38-(+AH38*AB39)),IF(Y39="Probabilidad",(Q38-(+Q38*AB39)),IF(Y39="Impacto",AH38,""))),"")</f>
        <v>4.3199999999999995E-2</v>
      </c>
      <c r="AG39" s="186" t="str">
        <f t="shared" si="37"/>
        <v>Muy Baja</v>
      </c>
      <c r="AH39" s="185">
        <f t="shared" si="38"/>
        <v>4.3199999999999995E-2</v>
      </c>
      <c r="AI39" s="186" t="str">
        <f t="shared" ca="1" si="39"/>
        <v>Mayor</v>
      </c>
      <c r="AJ39" s="185">
        <f t="shared" ref="AJ39:AJ42" ca="1" si="43">IFERROR(IF(AND(Y38="Impacto",Y39="Impacto"),(AJ38-(+AJ38*AB39)),IF(AND(Y38="Probabilidad",Y39="Impacto"),(AJ37-(+AJ37*AB39)),IF(Y39="Probabilidad",AJ38,""))),"")</f>
        <v>0.8</v>
      </c>
      <c r="AK39" s="187" t="str">
        <f t="shared" ca="1" si="41"/>
        <v>Alto</v>
      </c>
      <c r="AL39" s="603" t="s">
        <v>265</v>
      </c>
      <c r="AM39" s="237"/>
      <c r="AN39" s="239"/>
      <c r="AO39" s="241"/>
      <c r="AP39" s="241"/>
      <c r="AQ39" s="239"/>
      <c r="AR39" s="247"/>
      <c r="AS39" s="604"/>
      <c r="AT39" s="604"/>
      <c r="AU39" s="604"/>
      <c r="AV39" s="604"/>
      <c r="AW39" s="604"/>
      <c r="AX39" s="604"/>
      <c r="AY39" s="604"/>
      <c r="AZ39" s="604"/>
      <c r="BA39" s="604"/>
      <c r="BB39" s="604"/>
      <c r="BC39" s="604"/>
      <c r="BD39" s="604"/>
      <c r="BE39" s="604"/>
      <c r="BF39" s="604"/>
      <c r="BG39" s="604"/>
      <c r="BH39" s="604"/>
      <c r="BI39" s="604"/>
      <c r="BJ39" s="604"/>
      <c r="BK39" s="604"/>
      <c r="BL39" s="604"/>
      <c r="BM39" s="604"/>
      <c r="BN39" s="604"/>
      <c r="BO39" s="604"/>
      <c r="BP39" s="604"/>
      <c r="BQ39" s="604"/>
      <c r="BR39" s="604"/>
      <c r="BS39" s="604"/>
      <c r="BT39" s="604"/>
      <c r="BU39" s="604"/>
      <c r="BV39" s="604"/>
      <c r="BW39" s="604"/>
      <c r="BX39" s="604"/>
    </row>
    <row r="40" spans="1:76" s="605" customFormat="1" ht="69" hidden="1" customHeight="1" x14ac:dyDescent="0.25">
      <c r="A40" s="252"/>
      <c r="B40" s="246"/>
      <c r="C40" s="251"/>
      <c r="D40" s="251"/>
      <c r="E40" s="253"/>
      <c r="F40" s="254"/>
      <c r="G40" s="254"/>
      <c r="H40" s="255"/>
      <c r="I40" s="249"/>
      <c r="J40" s="249"/>
      <c r="K40" s="249"/>
      <c r="L40" s="249"/>
      <c r="M40" s="253"/>
      <c r="N40" s="251"/>
      <c r="O40" s="256"/>
      <c r="P40" s="610"/>
      <c r="Q40" s="611"/>
      <c r="R40" s="611"/>
      <c r="S40" s="611">
        <f ca="1">IF(NOT(ISERROR(MATCH(R40,_xlfn.ANCHORARRAY(I51),0))),Q53&amp;"Por favor no seleccionar los criterios de impacto",R40)</f>
        <v>0</v>
      </c>
      <c r="T40" s="610"/>
      <c r="U40" s="611"/>
      <c r="V40" s="252"/>
      <c r="W40" s="194">
        <v>4</v>
      </c>
      <c r="X40" s="192"/>
      <c r="Y40" s="194" t="str">
        <f t="shared" si="36"/>
        <v/>
      </c>
      <c r="Z40" s="188"/>
      <c r="AA40" s="188"/>
      <c r="AB40" s="185" t="str">
        <f t="shared" ref="AB40:AB84" si="44">IF(AND(Z40="Preventivo",AA40="Automático"),"50%",IF(AND(Z40="Preventivo",AA40="Manual"),"40%",IF(AND(Z40="Detectivo",AA40="Automático"),"40%",IF(AND(Z40="Detectivo",AA40="Manual"),"30%",IF(AND(Z40="Correctivo",AA40="Automático"),"35%",IF(AND(Z40="Correctivo",AA40="Manual"),"25%",""))))))</f>
        <v/>
      </c>
      <c r="AC40" s="188"/>
      <c r="AD40" s="188"/>
      <c r="AE40" s="188"/>
      <c r="AF40" s="602" t="str">
        <f t="shared" si="42"/>
        <v/>
      </c>
      <c r="AG40" s="186" t="str">
        <f t="shared" si="37"/>
        <v/>
      </c>
      <c r="AH40" s="185" t="str">
        <f t="shared" si="38"/>
        <v/>
      </c>
      <c r="AI40" s="186" t="str">
        <f t="shared" si="39"/>
        <v/>
      </c>
      <c r="AJ40" s="185" t="str">
        <f t="shared" si="43"/>
        <v/>
      </c>
      <c r="AK40" s="187" t="str">
        <f t="shared" si="41"/>
        <v/>
      </c>
      <c r="AL40" s="603"/>
      <c r="AM40" s="189"/>
      <c r="AN40" s="194"/>
      <c r="AO40" s="190"/>
      <c r="AP40" s="190"/>
      <c r="AQ40" s="191"/>
      <c r="AR40" s="194"/>
      <c r="AS40" s="604"/>
      <c r="AT40" s="604"/>
      <c r="AU40" s="604"/>
      <c r="AV40" s="604"/>
      <c r="AW40" s="604"/>
      <c r="AX40" s="604"/>
      <c r="AY40" s="604"/>
      <c r="AZ40" s="604"/>
      <c r="BA40" s="604"/>
      <c r="BB40" s="604"/>
      <c r="BC40" s="604"/>
      <c r="BD40" s="604"/>
      <c r="BE40" s="604"/>
      <c r="BF40" s="604"/>
      <c r="BG40" s="604"/>
      <c r="BH40" s="604"/>
      <c r="BI40" s="604"/>
      <c r="BJ40" s="604"/>
      <c r="BK40" s="604"/>
      <c r="BL40" s="604"/>
      <c r="BM40" s="604"/>
      <c r="BN40" s="604"/>
      <c r="BO40" s="604"/>
      <c r="BP40" s="604"/>
      <c r="BQ40" s="604"/>
      <c r="BR40" s="604"/>
      <c r="BS40" s="604"/>
      <c r="BT40" s="604"/>
      <c r="BU40" s="604"/>
      <c r="BV40" s="604"/>
      <c r="BW40" s="604"/>
      <c r="BX40" s="604"/>
    </row>
    <row r="41" spans="1:76" s="605" customFormat="1" ht="69" hidden="1" customHeight="1" x14ac:dyDescent="0.25">
      <c r="A41" s="252"/>
      <c r="B41" s="246"/>
      <c r="C41" s="251"/>
      <c r="D41" s="251"/>
      <c r="E41" s="253"/>
      <c r="F41" s="254"/>
      <c r="G41" s="254"/>
      <c r="H41" s="255"/>
      <c r="I41" s="249"/>
      <c r="J41" s="249"/>
      <c r="K41" s="249"/>
      <c r="L41" s="249"/>
      <c r="M41" s="253"/>
      <c r="N41" s="251"/>
      <c r="O41" s="256"/>
      <c r="P41" s="610"/>
      <c r="Q41" s="611"/>
      <c r="R41" s="611"/>
      <c r="S41" s="611">
        <f ca="1">IF(NOT(ISERROR(MATCH(R41,_xlfn.ANCHORARRAY(I52),0))),Q54&amp;"Por favor no seleccionar los criterios de impacto",R41)</f>
        <v>0</v>
      </c>
      <c r="T41" s="610"/>
      <c r="U41" s="611"/>
      <c r="V41" s="252"/>
      <c r="W41" s="194">
        <v>5</v>
      </c>
      <c r="X41" s="192"/>
      <c r="Y41" s="194" t="str">
        <f t="shared" si="36"/>
        <v/>
      </c>
      <c r="Z41" s="188"/>
      <c r="AA41" s="188"/>
      <c r="AB41" s="185" t="str">
        <f t="shared" si="44"/>
        <v/>
      </c>
      <c r="AC41" s="188"/>
      <c r="AD41" s="188"/>
      <c r="AE41" s="188"/>
      <c r="AF41" s="602" t="str">
        <f t="shared" si="42"/>
        <v/>
      </c>
      <c r="AG41" s="186" t="str">
        <f t="shared" si="37"/>
        <v/>
      </c>
      <c r="AH41" s="185" t="str">
        <f t="shared" si="38"/>
        <v/>
      </c>
      <c r="AI41" s="186" t="str">
        <f t="shared" si="39"/>
        <v/>
      </c>
      <c r="AJ41" s="185" t="str">
        <f t="shared" si="43"/>
        <v/>
      </c>
      <c r="AK41" s="187" t="str">
        <f t="shared" si="41"/>
        <v/>
      </c>
      <c r="AL41" s="603"/>
      <c r="AM41" s="189"/>
      <c r="AN41" s="194"/>
      <c r="AO41" s="190"/>
      <c r="AP41" s="190"/>
      <c r="AQ41" s="191"/>
      <c r="AR41" s="194"/>
      <c r="AS41" s="604"/>
      <c r="AT41" s="604"/>
      <c r="AU41" s="604"/>
      <c r="AV41" s="604"/>
      <c r="AW41" s="604"/>
      <c r="AX41" s="604"/>
      <c r="AY41" s="604"/>
      <c r="AZ41" s="604"/>
      <c r="BA41" s="604"/>
      <c r="BB41" s="604"/>
      <c r="BC41" s="604"/>
      <c r="BD41" s="604"/>
      <c r="BE41" s="604"/>
      <c r="BF41" s="604"/>
      <c r="BG41" s="604"/>
      <c r="BH41" s="604"/>
      <c r="BI41" s="604"/>
      <c r="BJ41" s="604"/>
      <c r="BK41" s="604"/>
      <c r="BL41" s="604"/>
      <c r="BM41" s="604"/>
      <c r="BN41" s="604"/>
      <c r="BO41" s="604"/>
      <c r="BP41" s="604"/>
      <c r="BQ41" s="604"/>
      <c r="BR41" s="604"/>
      <c r="BS41" s="604"/>
      <c r="BT41" s="604"/>
      <c r="BU41" s="604"/>
      <c r="BV41" s="604"/>
      <c r="BW41" s="604"/>
      <c r="BX41" s="604"/>
    </row>
    <row r="42" spans="1:76" s="605" customFormat="1" ht="69" hidden="1" customHeight="1" x14ac:dyDescent="0.25">
      <c r="A42" s="252"/>
      <c r="B42" s="247"/>
      <c r="C42" s="239"/>
      <c r="D42" s="239"/>
      <c r="E42" s="253"/>
      <c r="F42" s="254"/>
      <c r="G42" s="254"/>
      <c r="H42" s="255"/>
      <c r="I42" s="250"/>
      <c r="J42" s="250"/>
      <c r="K42" s="250"/>
      <c r="L42" s="250"/>
      <c r="M42" s="253"/>
      <c r="N42" s="239"/>
      <c r="O42" s="256"/>
      <c r="P42" s="610"/>
      <c r="Q42" s="611"/>
      <c r="R42" s="611"/>
      <c r="S42" s="611">
        <f ca="1">IF(NOT(ISERROR(MATCH(R42,_xlfn.ANCHORARRAY(I53),0))),Q55&amp;"Por favor no seleccionar los criterios de impacto",R42)</f>
        <v>0</v>
      </c>
      <c r="T42" s="610"/>
      <c r="U42" s="611"/>
      <c r="V42" s="252"/>
      <c r="W42" s="194">
        <v>6</v>
      </c>
      <c r="X42" s="192"/>
      <c r="Y42" s="194" t="str">
        <f t="shared" si="36"/>
        <v/>
      </c>
      <c r="Z42" s="188"/>
      <c r="AA42" s="188"/>
      <c r="AB42" s="185" t="str">
        <f t="shared" si="44"/>
        <v/>
      </c>
      <c r="AC42" s="188"/>
      <c r="AD42" s="188"/>
      <c r="AE42" s="188"/>
      <c r="AF42" s="602" t="str">
        <f t="shared" si="42"/>
        <v/>
      </c>
      <c r="AG42" s="186" t="str">
        <f t="shared" si="37"/>
        <v/>
      </c>
      <c r="AH42" s="185" t="str">
        <f t="shared" si="38"/>
        <v/>
      </c>
      <c r="AI42" s="186" t="str">
        <f t="shared" si="39"/>
        <v/>
      </c>
      <c r="AJ42" s="185" t="str">
        <f t="shared" si="43"/>
        <v/>
      </c>
      <c r="AK42" s="187" t="str">
        <f t="shared" si="41"/>
        <v/>
      </c>
      <c r="AL42" s="603"/>
      <c r="AM42" s="189"/>
      <c r="AN42" s="194"/>
      <c r="AO42" s="190"/>
      <c r="AP42" s="190"/>
      <c r="AQ42" s="191"/>
      <c r="AR42" s="194"/>
      <c r="AS42" s="604"/>
      <c r="AT42" s="604"/>
      <c r="AU42" s="604"/>
      <c r="AV42" s="604"/>
      <c r="AW42" s="604"/>
      <c r="AX42" s="604"/>
      <c r="AY42" s="604"/>
      <c r="AZ42" s="604"/>
      <c r="BA42" s="604"/>
      <c r="BB42" s="604"/>
      <c r="BC42" s="604"/>
      <c r="BD42" s="604"/>
      <c r="BE42" s="604"/>
      <c r="BF42" s="604"/>
      <c r="BG42" s="604"/>
      <c r="BH42" s="604"/>
      <c r="BI42" s="604"/>
      <c r="BJ42" s="604"/>
      <c r="BK42" s="604"/>
      <c r="BL42" s="604"/>
      <c r="BM42" s="604"/>
      <c r="BN42" s="604"/>
      <c r="BO42" s="604"/>
      <c r="BP42" s="604"/>
      <c r="BQ42" s="604"/>
      <c r="BR42" s="604"/>
      <c r="BS42" s="604"/>
      <c r="BT42" s="604"/>
      <c r="BU42" s="604"/>
      <c r="BV42" s="604"/>
      <c r="BW42" s="604"/>
      <c r="BX42" s="604"/>
    </row>
    <row r="43" spans="1:76" s="605" customFormat="1" ht="225.75" customHeight="1" x14ac:dyDescent="0.25">
      <c r="A43" s="252">
        <v>6</v>
      </c>
      <c r="B43" s="245" t="s">
        <v>525</v>
      </c>
      <c r="C43" s="238" t="s">
        <v>269</v>
      </c>
      <c r="D43" s="245" t="s">
        <v>526</v>
      </c>
      <c r="E43" s="253" t="s">
        <v>243</v>
      </c>
      <c r="F43" s="254" t="s">
        <v>527</v>
      </c>
      <c r="G43" s="254" t="s">
        <v>528</v>
      </c>
      <c r="H43" s="255" t="s">
        <v>529</v>
      </c>
      <c r="I43" s="248" t="s">
        <v>480</v>
      </c>
      <c r="J43" s="248" t="s">
        <v>480</v>
      </c>
      <c r="K43" s="248" t="s">
        <v>480</v>
      </c>
      <c r="L43" s="248" t="s">
        <v>480</v>
      </c>
      <c r="M43" s="253" t="s">
        <v>242</v>
      </c>
      <c r="N43" s="238"/>
      <c r="O43" s="256">
        <v>365</v>
      </c>
      <c r="P43" s="610" t="str">
        <f>IF(O43&lt;=0,"",IF(O43&lt;=2,"Muy Baja",IF(O43&lt;=24,"Baja",IF(O43&lt;=500,"Media",IF(O43&lt;=5000,"Alta","Muy Alta")))))</f>
        <v>Media</v>
      </c>
      <c r="Q43" s="611">
        <f>IF(P43="","",IF(P43="Muy Baja",0.2,IF(P43="Baja",0.4,IF(P43="Media",0.6,IF(P43="Alta",0.8,IF(P43="Muy Alta",1,))))))</f>
        <v>0.6</v>
      </c>
      <c r="R43" s="611" t="s">
        <v>193</v>
      </c>
      <c r="S43" s="611" t="str">
        <f ca="1">IF(NOT(ISERROR(MATCH(R43,'Tabla Impacto'!$B$221:$B$223,0))),'Tabla Impacto'!$F$223&amp;"Por favor no seleccionar los criterios de impacto(Afectación Económica o presupuestal y Pérdida Reputacional)",R43)</f>
        <v>El riesgo afecta la imagen de la entidad con algunos usuarios de relevancia frente al logro de los objetivos</v>
      </c>
      <c r="T43" s="610" t="str">
        <f ca="1">+IF(OR(S43='[1]Tabla Impacto'!$C$11,S43='[1]Tabla Impacto'!$D$11),"Leve",IF(OR(S43='[1]Tabla Impacto'!$C$12,S43='[1]Tabla Impacto'!$D$12),"Menor",IF(OR(S43='[1]Tabla Impacto'!$C$13,S43='[1]Tabla Impacto'!$D$13),"Moderado",IF(OR(S43='[1]Tabla Impacto'!$C$14,S43='[1]Tabla Impacto'!$D$14),"Mayor",IF(OR(S43='[1]Tabla Impacto'!$C$15,S43='[1]Tabla Impacto'!$D$15),"Catastrófico","")))))</f>
        <v>Moderado</v>
      </c>
      <c r="U43" s="611">
        <f t="shared" ref="U43" ca="1" si="45">IF(T43="","",IF(T43="Leve",0.2,IF(T43="Menor",0.4,IF(T43="Moderado",0.6,IF(T43="Mayor",0.8,IF(T43="Catastrófico",1,))))))</f>
        <v>0.6</v>
      </c>
      <c r="V43" s="252" t="str">
        <f t="shared" ref="V43" ca="1" si="46">IF(OR(AND(P43="Muy Baja",T43="Leve"),AND(P43="Muy Baja",T43="Menor"),AND(P43="Baja",T43="Leve")),"Bajo",IF(OR(AND(P43="Muy baja",T43="Moderado"),AND(P43="Baja",T43="Menor"),AND(P43="Baja",T43="Moderado"),AND(P43="Media",T43="Leve"),AND(P43="Media",T43="Menor"),AND(P43="Media",T43="Moderado"),AND(P43="Alta",T43="Leve"),AND(P43="Alta",T43="Menor")),"Moderado",IF(OR(AND(P43="Muy Baja",T43="Mayor"),AND(P43="Baja",T43="Mayor"),AND(P43="Media",T43="Mayor"),AND(P43="Alta",T43="Moderado"),AND(P43="Alta",T43="Mayor"),AND(P43="Muy Alta",T43="Leve"),AND(P43="Muy Alta",T43="Menor"),AND(P43="Muy Alta",T43="Moderado"),AND(P43="Muy Alta",T43="Mayor")),"Alto",IF(OR(AND(P43="Muy Baja",T43="Catastrófico"),AND(P43="Baja",T43="Catastrófico"),AND(P43="Media",T43="Catastrófico"),AND(P43="Alta",T43="Catastrófico"),AND(P43="Muy Alta",T43="Catastrófico")),"Extremo",""))))</f>
        <v>Moderado</v>
      </c>
      <c r="W43" s="194">
        <v>1</v>
      </c>
      <c r="X43" s="192" t="s">
        <v>530</v>
      </c>
      <c r="Y43" s="194" t="str">
        <f t="shared" si="36"/>
        <v>Probabilidad</v>
      </c>
      <c r="Z43" s="188" t="s">
        <v>211</v>
      </c>
      <c r="AA43" s="188" t="s">
        <v>219</v>
      </c>
      <c r="AB43" s="185" t="s">
        <v>490</v>
      </c>
      <c r="AC43" s="188" t="s">
        <v>222</v>
      </c>
      <c r="AD43" s="188" t="s">
        <v>227</v>
      </c>
      <c r="AE43" s="188" t="s">
        <v>231</v>
      </c>
      <c r="AF43" s="602">
        <f t="shared" ref="AF43" si="47">IFERROR(IF(Y43="Probabilidad",(Q43-(+Q43*AB43)),IF(Y43="Impacto",Q43,"")),"")</f>
        <v>0.36</v>
      </c>
      <c r="AG43" s="186" t="str">
        <f t="shared" si="37"/>
        <v>Baja</v>
      </c>
      <c r="AH43" s="185">
        <f t="shared" si="38"/>
        <v>0.36</v>
      </c>
      <c r="AI43" s="186" t="str">
        <f t="shared" ca="1" si="39"/>
        <v>Moderado</v>
      </c>
      <c r="AJ43" s="185">
        <f t="shared" ref="AJ43" ca="1" si="48">IFERROR(IF(Y43="Impacto",(U43-(+U43*AB43)),IF(Y43="Probabilidad",U43,"")),"")</f>
        <v>0.6</v>
      </c>
      <c r="AK43" s="187" t="str">
        <f t="shared" ca="1" si="41"/>
        <v>Moderado</v>
      </c>
      <c r="AL43" s="603"/>
      <c r="AM43" s="189"/>
      <c r="AN43" s="194"/>
      <c r="AO43" s="190"/>
      <c r="AP43" s="190"/>
      <c r="AQ43" s="191"/>
      <c r="AR43" s="194"/>
      <c r="AS43" s="604"/>
      <c r="AT43" s="604"/>
      <c r="AU43" s="604"/>
      <c r="AV43" s="604"/>
      <c r="AW43" s="604"/>
      <c r="AX43" s="604"/>
      <c r="AY43" s="604"/>
      <c r="AZ43" s="604"/>
      <c r="BA43" s="604"/>
      <c r="BB43" s="604"/>
      <c r="BC43" s="604"/>
      <c r="BD43" s="604"/>
      <c r="BE43" s="604"/>
      <c r="BF43" s="604"/>
      <c r="BG43" s="604"/>
      <c r="BH43" s="604"/>
      <c r="BI43" s="604"/>
      <c r="BJ43" s="604"/>
      <c r="BK43" s="604"/>
      <c r="BL43" s="604"/>
      <c r="BM43" s="604"/>
      <c r="BN43" s="604"/>
      <c r="BO43" s="604"/>
      <c r="BP43" s="604"/>
      <c r="BQ43" s="604"/>
      <c r="BR43" s="604"/>
      <c r="BS43" s="604"/>
      <c r="BT43" s="604"/>
      <c r="BU43" s="604"/>
      <c r="BV43" s="604"/>
      <c r="BW43" s="604"/>
      <c r="BX43" s="604"/>
    </row>
    <row r="44" spans="1:76" s="605" customFormat="1" ht="202.5" x14ac:dyDescent="0.25">
      <c r="A44" s="252"/>
      <c r="B44" s="246"/>
      <c r="C44" s="251"/>
      <c r="D44" s="246"/>
      <c r="E44" s="253"/>
      <c r="F44" s="254"/>
      <c r="G44" s="254"/>
      <c r="H44" s="255"/>
      <c r="I44" s="249"/>
      <c r="J44" s="249"/>
      <c r="K44" s="249"/>
      <c r="L44" s="249"/>
      <c r="M44" s="253"/>
      <c r="N44" s="251"/>
      <c r="O44" s="256"/>
      <c r="P44" s="610"/>
      <c r="Q44" s="611"/>
      <c r="R44" s="611"/>
      <c r="S44" s="611">
        <f ca="1">IF(NOT(ISERROR(MATCH(R44,_xlfn.ANCHORARRAY(H55),0))),Q57&amp;"Por favor no seleccionar los criterios de impacto",R44)</f>
        <v>0</v>
      </c>
      <c r="T44" s="610"/>
      <c r="U44" s="611"/>
      <c r="V44" s="252"/>
      <c r="W44" s="194">
        <v>2</v>
      </c>
      <c r="X44" s="192" t="s">
        <v>531</v>
      </c>
      <c r="Y44" s="194" t="str">
        <f t="shared" si="36"/>
        <v>Probabilidad</v>
      </c>
      <c r="Z44" s="188" t="s">
        <v>211</v>
      </c>
      <c r="AA44" s="188" t="s">
        <v>219</v>
      </c>
      <c r="AB44" s="185" t="s">
        <v>490</v>
      </c>
      <c r="AC44" s="188" t="s">
        <v>222</v>
      </c>
      <c r="AD44" s="188" t="s">
        <v>227</v>
      </c>
      <c r="AE44" s="188" t="s">
        <v>231</v>
      </c>
      <c r="AF44" s="602">
        <f t="shared" ref="AF44:AF48" si="49">IFERROR(IF(AND(Y43="Probabilidad",Y44="Probabilidad"),(AH43-(+AH43*AB44)),IF(Y44="Probabilidad",(Q43-(+Q43*AB44)),IF(Y44="Impacto",AH43,""))),"")</f>
        <v>0.216</v>
      </c>
      <c r="AG44" s="186" t="str">
        <f t="shared" si="37"/>
        <v>Baja</v>
      </c>
      <c r="AH44" s="185">
        <f t="shared" si="38"/>
        <v>0.216</v>
      </c>
      <c r="AI44" s="186" t="str">
        <f t="shared" ca="1" si="39"/>
        <v>Moderado</v>
      </c>
      <c r="AJ44" s="185">
        <f t="shared" ref="AJ44" ca="1" si="50">IFERROR(IF(AND(Y43="Impacto",Y44="Impacto"),(AJ43-(+AJ43*AB44)),IF(Y44="Impacto",(U43-(+U43*AB44)),IF(Y44="Probabilidad",AJ43,""))),"")</f>
        <v>0.6</v>
      </c>
      <c r="AK44" s="187" t="str">
        <f t="shared" ca="1" si="41"/>
        <v>Moderado</v>
      </c>
      <c r="AL44" s="603"/>
      <c r="AM44" s="189"/>
      <c r="AN44" s="194"/>
      <c r="AO44" s="190"/>
      <c r="AP44" s="190"/>
      <c r="AQ44" s="191"/>
      <c r="AR44" s="194"/>
      <c r="AS44" s="604"/>
      <c r="AT44" s="604"/>
      <c r="AU44" s="604"/>
      <c r="AV44" s="604"/>
      <c r="AW44" s="604"/>
      <c r="AX44" s="604"/>
      <c r="AY44" s="604"/>
      <c r="AZ44" s="604"/>
      <c r="BA44" s="604"/>
      <c r="BB44" s="604"/>
      <c r="BC44" s="604"/>
      <c r="BD44" s="604"/>
      <c r="BE44" s="604"/>
      <c r="BF44" s="604"/>
      <c r="BG44" s="604"/>
      <c r="BH44" s="604"/>
      <c r="BI44" s="604"/>
      <c r="BJ44" s="604"/>
      <c r="BK44" s="604"/>
      <c r="BL44" s="604"/>
      <c r="BM44" s="604"/>
      <c r="BN44" s="604"/>
      <c r="BO44" s="604"/>
      <c r="BP44" s="604"/>
      <c r="BQ44" s="604"/>
      <c r="BR44" s="604"/>
      <c r="BS44" s="604"/>
      <c r="BT44" s="604"/>
      <c r="BU44" s="604"/>
      <c r="BV44" s="604"/>
      <c r="BW44" s="604"/>
      <c r="BX44" s="604"/>
    </row>
    <row r="45" spans="1:76" s="605" customFormat="1" ht="69" hidden="1" customHeight="1" x14ac:dyDescent="0.25">
      <c r="A45" s="252"/>
      <c r="B45" s="246"/>
      <c r="C45" s="251"/>
      <c r="D45" s="246"/>
      <c r="E45" s="253"/>
      <c r="F45" s="254"/>
      <c r="G45" s="254"/>
      <c r="H45" s="255"/>
      <c r="I45" s="249"/>
      <c r="J45" s="249"/>
      <c r="K45" s="249"/>
      <c r="L45" s="249"/>
      <c r="M45" s="253"/>
      <c r="N45" s="251"/>
      <c r="O45" s="256"/>
      <c r="P45" s="610"/>
      <c r="Q45" s="611"/>
      <c r="R45" s="611"/>
      <c r="S45" s="611">
        <f ca="1">IF(NOT(ISERROR(MATCH(R45,_xlfn.ANCHORARRAY(H56),0))),Q58&amp;"Por favor no seleccionar los criterios de impacto",R45)</f>
        <v>0</v>
      </c>
      <c r="T45" s="610"/>
      <c r="U45" s="611"/>
      <c r="V45" s="252"/>
      <c r="W45" s="194">
        <v>3</v>
      </c>
      <c r="X45" s="192"/>
      <c r="Y45" s="194" t="str">
        <f t="shared" si="36"/>
        <v/>
      </c>
      <c r="Z45" s="188"/>
      <c r="AA45" s="188"/>
      <c r="AB45" s="185" t="str">
        <f t="shared" si="44"/>
        <v/>
      </c>
      <c r="AC45" s="188"/>
      <c r="AD45" s="188"/>
      <c r="AE45" s="188"/>
      <c r="AF45" s="602" t="str">
        <f t="shared" si="49"/>
        <v/>
      </c>
      <c r="AG45" s="186" t="str">
        <f t="shared" si="37"/>
        <v/>
      </c>
      <c r="AH45" s="185" t="str">
        <f t="shared" si="38"/>
        <v/>
      </c>
      <c r="AI45" s="186" t="str">
        <f t="shared" si="39"/>
        <v/>
      </c>
      <c r="AJ45" s="185" t="str">
        <f t="shared" ref="AJ45:AJ48" si="51">IFERROR(IF(AND(Y44="Impacto",Y45="Impacto"),(AJ44-(+AJ44*AB45)),IF(AND(Y44="Probabilidad",Y45="Impacto"),(AJ43-(+AJ43*AB45)),IF(Y45="Probabilidad",AJ44,""))),"")</f>
        <v/>
      </c>
      <c r="AK45" s="187" t="str">
        <f t="shared" si="41"/>
        <v/>
      </c>
      <c r="AL45" s="603"/>
      <c r="AM45" s="189"/>
      <c r="AN45" s="194"/>
      <c r="AO45" s="190"/>
      <c r="AP45" s="190"/>
      <c r="AQ45" s="191"/>
      <c r="AR45" s="194"/>
      <c r="AS45" s="604"/>
      <c r="AT45" s="604"/>
      <c r="AU45" s="604"/>
      <c r="AV45" s="604"/>
      <c r="AW45" s="604"/>
      <c r="AX45" s="604"/>
      <c r="AY45" s="604"/>
      <c r="AZ45" s="604"/>
      <c r="BA45" s="604"/>
      <c r="BB45" s="604"/>
      <c r="BC45" s="604"/>
      <c r="BD45" s="604"/>
      <c r="BE45" s="604"/>
      <c r="BF45" s="604"/>
      <c r="BG45" s="604"/>
      <c r="BH45" s="604"/>
      <c r="BI45" s="604"/>
      <c r="BJ45" s="604"/>
      <c r="BK45" s="604"/>
      <c r="BL45" s="604"/>
      <c r="BM45" s="604"/>
      <c r="BN45" s="604"/>
      <c r="BO45" s="604"/>
      <c r="BP45" s="604"/>
      <c r="BQ45" s="604"/>
      <c r="BR45" s="604"/>
      <c r="BS45" s="604"/>
      <c r="BT45" s="604"/>
      <c r="BU45" s="604"/>
      <c r="BV45" s="604"/>
      <c r="BW45" s="604"/>
      <c r="BX45" s="604"/>
    </row>
    <row r="46" spans="1:76" s="605" customFormat="1" ht="69" hidden="1" customHeight="1" x14ac:dyDescent="0.25">
      <c r="A46" s="252"/>
      <c r="B46" s="246"/>
      <c r="C46" s="251"/>
      <c r="D46" s="246"/>
      <c r="E46" s="253"/>
      <c r="F46" s="254"/>
      <c r="G46" s="254"/>
      <c r="H46" s="255"/>
      <c r="I46" s="249"/>
      <c r="J46" s="249"/>
      <c r="K46" s="249"/>
      <c r="L46" s="249"/>
      <c r="M46" s="253"/>
      <c r="N46" s="251"/>
      <c r="O46" s="256"/>
      <c r="P46" s="610"/>
      <c r="Q46" s="611"/>
      <c r="R46" s="611"/>
      <c r="S46" s="611">
        <f ca="1">IF(NOT(ISERROR(MATCH(R46,_xlfn.ANCHORARRAY(H57),0))),Q59&amp;"Por favor no seleccionar los criterios de impacto",R46)</f>
        <v>0</v>
      </c>
      <c r="T46" s="610"/>
      <c r="U46" s="611"/>
      <c r="V46" s="252"/>
      <c r="W46" s="194">
        <v>4</v>
      </c>
      <c r="X46" s="192"/>
      <c r="Y46" s="194" t="str">
        <f t="shared" si="36"/>
        <v/>
      </c>
      <c r="Z46" s="188"/>
      <c r="AA46" s="188"/>
      <c r="AB46" s="185" t="str">
        <f t="shared" si="44"/>
        <v/>
      </c>
      <c r="AC46" s="188"/>
      <c r="AD46" s="188"/>
      <c r="AE46" s="188"/>
      <c r="AF46" s="602" t="str">
        <f t="shared" si="49"/>
        <v/>
      </c>
      <c r="AG46" s="186" t="str">
        <f t="shared" si="37"/>
        <v/>
      </c>
      <c r="AH46" s="185" t="str">
        <f t="shared" si="38"/>
        <v/>
      </c>
      <c r="AI46" s="186" t="str">
        <f t="shared" si="39"/>
        <v/>
      </c>
      <c r="AJ46" s="185" t="str">
        <f t="shared" si="51"/>
        <v/>
      </c>
      <c r="AK46" s="187" t="str">
        <f t="shared" si="41"/>
        <v/>
      </c>
      <c r="AL46" s="603"/>
      <c r="AM46" s="189"/>
      <c r="AN46" s="194"/>
      <c r="AO46" s="190"/>
      <c r="AP46" s="190"/>
      <c r="AQ46" s="191"/>
      <c r="AR46" s="194"/>
      <c r="AS46" s="604"/>
      <c r="AT46" s="604"/>
      <c r="AU46" s="604"/>
      <c r="AV46" s="604"/>
      <c r="AW46" s="604"/>
      <c r="AX46" s="604"/>
      <c r="AY46" s="604"/>
      <c r="AZ46" s="604"/>
      <c r="BA46" s="604"/>
      <c r="BB46" s="604"/>
      <c r="BC46" s="604"/>
      <c r="BD46" s="604"/>
      <c r="BE46" s="604"/>
      <c r="BF46" s="604"/>
      <c r="BG46" s="604"/>
      <c r="BH46" s="604"/>
      <c r="BI46" s="604"/>
      <c r="BJ46" s="604"/>
      <c r="BK46" s="604"/>
      <c r="BL46" s="604"/>
      <c r="BM46" s="604"/>
      <c r="BN46" s="604"/>
      <c r="BO46" s="604"/>
      <c r="BP46" s="604"/>
      <c r="BQ46" s="604"/>
      <c r="BR46" s="604"/>
      <c r="BS46" s="604"/>
      <c r="BT46" s="604"/>
      <c r="BU46" s="604"/>
      <c r="BV46" s="604"/>
      <c r="BW46" s="604"/>
      <c r="BX46" s="604"/>
    </row>
    <row r="47" spans="1:76" s="605" customFormat="1" ht="69" hidden="1" customHeight="1" x14ac:dyDescent="0.25">
      <c r="A47" s="252"/>
      <c r="B47" s="246"/>
      <c r="C47" s="251"/>
      <c r="D47" s="246"/>
      <c r="E47" s="253"/>
      <c r="F47" s="254"/>
      <c r="G47" s="254"/>
      <c r="H47" s="255"/>
      <c r="I47" s="249"/>
      <c r="J47" s="249"/>
      <c r="K47" s="249"/>
      <c r="L47" s="249"/>
      <c r="M47" s="253"/>
      <c r="N47" s="251"/>
      <c r="O47" s="256"/>
      <c r="P47" s="610"/>
      <c r="Q47" s="611"/>
      <c r="R47" s="611"/>
      <c r="S47" s="611">
        <f ca="1">IF(NOT(ISERROR(MATCH(R47,_xlfn.ANCHORARRAY(H58),0))),Q60&amp;"Por favor no seleccionar los criterios de impacto",R47)</f>
        <v>0</v>
      </c>
      <c r="T47" s="610"/>
      <c r="U47" s="611"/>
      <c r="V47" s="252"/>
      <c r="W47" s="194">
        <v>5</v>
      </c>
      <c r="X47" s="192"/>
      <c r="Y47" s="194" t="str">
        <f t="shared" si="36"/>
        <v/>
      </c>
      <c r="Z47" s="188"/>
      <c r="AA47" s="188"/>
      <c r="AB47" s="185" t="str">
        <f t="shared" si="44"/>
        <v/>
      </c>
      <c r="AC47" s="188"/>
      <c r="AD47" s="188"/>
      <c r="AE47" s="188"/>
      <c r="AF47" s="602" t="str">
        <f t="shared" si="49"/>
        <v/>
      </c>
      <c r="AG47" s="186" t="str">
        <f t="shared" si="37"/>
        <v/>
      </c>
      <c r="AH47" s="185" t="str">
        <f t="shared" si="38"/>
        <v/>
      </c>
      <c r="AI47" s="186" t="str">
        <f t="shared" si="39"/>
        <v/>
      </c>
      <c r="AJ47" s="185" t="str">
        <f t="shared" si="51"/>
        <v/>
      </c>
      <c r="AK47" s="187" t="str">
        <f t="shared" si="41"/>
        <v/>
      </c>
      <c r="AL47" s="603"/>
      <c r="AM47" s="189"/>
      <c r="AN47" s="194"/>
      <c r="AO47" s="190"/>
      <c r="AP47" s="190"/>
      <c r="AQ47" s="191"/>
      <c r="AR47" s="194"/>
      <c r="AS47" s="604"/>
      <c r="AT47" s="604"/>
      <c r="AU47" s="604"/>
      <c r="AV47" s="604"/>
      <c r="AW47" s="604"/>
      <c r="AX47" s="604"/>
      <c r="AY47" s="604"/>
      <c r="AZ47" s="604"/>
      <c r="BA47" s="604"/>
      <c r="BB47" s="604"/>
      <c r="BC47" s="604"/>
      <c r="BD47" s="604"/>
      <c r="BE47" s="604"/>
      <c r="BF47" s="604"/>
      <c r="BG47" s="604"/>
      <c r="BH47" s="604"/>
      <c r="BI47" s="604"/>
      <c r="BJ47" s="604"/>
      <c r="BK47" s="604"/>
      <c r="BL47" s="604"/>
      <c r="BM47" s="604"/>
      <c r="BN47" s="604"/>
      <c r="BO47" s="604"/>
      <c r="BP47" s="604"/>
      <c r="BQ47" s="604"/>
      <c r="BR47" s="604"/>
      <c r="BS47" s="604"/>
      <c r="BT47" s="604"/>
      <c r="BU47" s="604"/>
      <c r="BV47" s="604"/>
      <c r="BW47" s="604"/>
      <c r="BX47" s="604"/>
    </row>
    <row r="48" spans="1:76" s="605" customFormat="1" ht="69" hidden="1" customHeight="1" x14ac:dyDescent="0.25">
      <c r="A48" s="252"/>
      <c r="B48" s="247"/>
      <c r="C48" s="239"/>
      <c r="D48" s="247"/>
      <c r="E48" s="253"/>
      <c r="F48" s="254"/>
      <c r="G48" s="254"/>
      <c r="H48" s="255"/>
      <c r="I48" s="250"/>
      <c r="J48" s="250"/>
      <c r="K48" s="250"/>
      <c r="L48" s="250"/>
      <c r="M48" s="253"/>
      <c r="N48" s="239"/>
      <c r="O48" s="256"/>
      <c r="P48" s="610"/>
      <c r="Q48" s="611"/>
      <c r="R48" s="611"/>
      <c r="S48" s="611">
        <f ca="1">IF(NOT(ISERROR(MATCH(R48,_xlfn.ANCHORARRAY(H59),0))),Q61&amp;"Por favor no seleccionar los criterios de impacto",R48)</f>
        <v>0</v>
      </c>
      <c r="T48" s="610"/>
      <c r="U48" s="611"/>
      <c r="V48" s="252"/>
      <c r="W48" s="194">
        <v>6</v>
      </c>
      <c r="X48" s="192"/>
      <c r="Y48" s="194" t="str">
        <f t="shared" si="36"/>
        <v/>
      </c>
      <c r="Z48" s="188"/>
      <c r="AA48" s="188"/>
      <c r="AB48" s="185" t="str">
        <f t="shared" si="44"/>
        <v/>
      </c>
      <c r="AC48" s="188"/>
      <c r="AD48" s="188"/>
      <c r="AE48" s="188"/>
      <c r="AF48" s="602" t="str">
        <f t="shared" si="49"/>
        <v/>
      </c>
      <c r="AG48" s="186" t="str">
        <f t="shared" si="37"/>
        <v/>
      </c>
      <c r="AH48" s="185" t="str">
        <f t="shared" si="38"/>
        <v/>
      </c>
      <c r="AI48" s="186" t="str">
        <f t="shared" si="39"/>
        <v/>
      </c>
      <c r="AJ48" s="185" t="str">
        <f t="shared" si="51"/>
        <v/>
      </c>
      <c r="AK48" s="187" t="str">
        <f t="shared" si="41"/>
        <v/>
      </c>
      <c r="AL48" s="603"/>
      <c r="AM48" s="189"/>
      <c r="AN48" s="194"/>
      <c r="AO48" s="190"/>
      <c r="AP48" s="190"/>
      <c r="AQ48" s="191"/>
      <c r="AR48" s="194"/>
      <c r="AS48" s="604"/>
      <c r="AT48" s="604"/>
      <c r="AU48" s="604"/>
      <c r="AV48" s="604"/>
      <c r="AW48" s="604"/>
      <c r="AX48" s="604"/>
      <c r="AY48" s="604"/>
      <c r="AZ48" s="604"/>
      <c r="BA48" s="604"/>
      <c r="BB48" s="604"/>
      <c r="BC48" s="604"/>
      <c r="BD48" s="604"/>
      <c r="BE48" s="604"/>
      <c r="BF48" s="604"/>
      <c r="BG48" s="604"/>
      <c r="BH48" s="604"/>
      <c r="BI48" s="604"/>
      <c r="BJ48" s="604"/>
      <c r="BK48" s="604"/>
      <c r="BL48" s="604"/>
      <c r="BM48" s="604"/>
      <c r="BN48" s="604"/>
      <c r="BO48" s="604"/>
      <c r="BP48" s="604"/>
      <c r="BQ48" s="604"/>
      <c r="BR48" s="604"/>
      <c r="BS48" s="604"/>
      <c r="BT48" s="604"/>
      <c r="BU48" s="604"/>
      <c r="BV48" s="604"/>
      <c r="BW48" s="604"/>
      <c r="BX48" s="604"/>
    </row>
    <row r="49" spans="1:76" s="605" customFormat="1" ht="111.75" customHeight="1" x14ac:dyDescent="0.25">
      <c r="A49" s="612">
        <v>7</v>
      </c>
      <c r="B49" s="245" t="s">
        <v>532</v>
      </c>
      <c r="C49" s="238" t="s">
        <v>269</v>
      </c>
      <c r="D49" s="245" t="s">
        <v>526</v>
      </c>
      <c r="E49" s="238" t="s">
        <v>243</v>
      </c>
      <c r="F49" s="238" t="s">
        <v>533</v>
      </c>
      <c r="G49" s="238" t="s">
        <v>534</v>
      </c>
      <c r="H49" s="260" t="s">
        <v>535</v>
      </c>
      <c r="I49" s="248" t="s">
        <v>480</v>
      </c>
      <c r="J49" s="248" t="s">
        <v>480</v>
      </c>
      <c r="K49" s="248" t="s">
        <v>480</v>
      </c>
      <c r="L49" s="248" t="s">
        <v>480</v>
      </c>
      <c r="M49" s="253" t="s">
        <v>242</v>
      </c>
      <c r="N49" s="238"/>
      <c r="O49" s="256">
        <v>365</v>
      </c>
      <c r="P49" s="610" t="str">
        <f>IF(O49&lt;=0,"",IF(O49&lt;=2,"Muy Baja",IF(O49&lt;=24,"Baja",IF(O49&lt;=500,"Media",IF(O49&lt;=5000,"Alta","Muy Alta")))))</f>
        <v>Media</v>
      </c>
      <c r="Q49" s="611">
        <f>IF(P49="","",IF(P49="Muy Baja",0.2,IF(P49="Baja",0.4,IF(P49="Media",0.6,IF(P49="Alta",0.8,IF(P49="Muy Alta",1,))))))</f>
        <v>0.6</v>
      </c>
      <c r="R49" s="611" t="s">
        <v>193</v>
      </c>
      <c r="S49" s="611" t="str">
        <f ca="1">IF(NOT(ISERROR(MATCH(R49,'Tabla Impacto'!$B$221:$B$223,0))),'Tabla Impacto'!$F$223&amp;"Por favor no seleccionar los criterios de impacto(Afectación Económica o presupuestal y Pérdida Reputacional)",R49)</f>
        <v>El riesgo afecta la imagen de la entidad con algunos usuarios de relevancia frente al logro de los objetivos</v>
      </c>
      <c r="T49" s="610" t="str">
        <f ca="1">+IF(OR(S49='[1]Tabla Impacto'!$C$11,S49='[1]Tabla Impacto'!$D$11),"Leve",IF(OR(S49='[1]Tabla Impacto'!$C$12,S49='[1]Tabla Impacto'!$D$12),"Menor",IF(OR(S49='[1]Tabla Impacto'!$C$13,S49='[1]Tabla Impacto'!$D$13),"Moderado",IF(OR(S49='[1]Tabla Impacto'!$C$14,S49='[1]Tabla Impacto'!$D$14),"Mayor",IF(OR(S49='[1]Tabla Impacto'!$C$15,S49='[1]Tabla Impacto'!$D$15),"Catastrófico","")))))</f>
        <v>Moderado</v>
      </c>
      <c r="U49" s="611">
        <f t="shared" ref="U49" ca="1" si="52">IF(T49="","",IF(T49="Leve",0.2,IF(T49="Menor",0.4,IF(T49="Moderado",0.6,IF(T49="Mayor",0.8,IF(T49="Catastrófico",1,))))))</f>
        <v>0.6</v>
      </c>
      <c r="V49" s="252" t="str">
        <f t="shared" ref="V49" ca="1" si="53">IF(OR(AND(P49="Muy Baja",T49="Leve"),AND(P49="Muy Baja",T49="Menor"),AND(P49="Baja",T49="Leve")),"Bajo",IF(OR(AND(P49="Muy baja",T49="Moderado"),AND(P49="Baja",T49="Menor"),AND(P49="Baja",T49="Moderado"),AND(P49="Media",T49="Leve"),AND(P49="Media",T49="Menor"),AND(P49="Media",T49="Moderado"),AND(P49="Alta",T49="Leve"),AND(P49="Alta",T49="Menor")),"Moderado",IF(OR(AND(P49="Muy Baja",T49="Mayor"),AND(P49="Baja",T49="Mayor"),AND(P49="Media",T49="Mayor"),AND(P49="Alta",T49="Moderado"),AND(P49="Alta",T49="Mayor"),AND(P49="Muy Alta",T49="Leve"),AND(P49="Muy Alta",T49="Menor"),AND(P49="Muy Alta",T49="Moderado"),AND(P49="Muy Alta",T49="Mayor")),"Alto",IF(OR(AND(P49="Muy Baja",T49="Catastrófico"),AND(P49="Baja",T49="Catastrófico"),AND(P49="Media",T49="Catastrófico"),AND(P49="Alta",T49="Catastrófico"),AND(P49="Muy Alta",T49="Catastrófico")),"Extremo",""))))</f>
        <v>Moderado</v>
      </c>
      <c r="W49" s="194">
        <v>1</v>
      </c>
      <c r="X49" s="192" t="s">
        <v>536</v>
      </c>
      <c r="Y49" s="194" t="str">
        <f t="shared" si="36"/>
        <v>Probabilidad</v>
      </c>
      <c r="Z49" s="188" t="s">
        <v>211</v>
      </c>
      <c r="AA49" s="188" t="s">
        <v>219</v>
      </c>
      <c r="AB49" s="185" t="s">
        <v>490</v>
      </c>
      <c r="AC49" s="188" t="s">
        <v>222</v>
      </c>
      <c r="AD49" s="188" t="s">
        <v>227</v>
      </c>
      <c r="AE49" s="188" t="s">
        <v>231</v>
      </c>
      <c r="AF49" s="602">
        <f t="shared" ref="AF49" si="54">IFERROR(IF(Y49="Probabilidad",(Q49-(+Q49*AB49)),IF(Y49="Impacto",Q49,"")),"")</f>
        <v>0.36</v>
      </c>
      <c r="AG49" s="186" t="str">
        <f t="shared" si="37"/>
        <v>Baja</v>
      </c>
      <c r="AH49" s="185">
        <f t="shared" si="38"/>
        <v>0.36</v>
      </c>
      <c r="AI49" s="186" t="str">
        <f t="shared" ca="1" si="39"/>
        <v>Moderado</v>
      </c>
      <c r="AJ49" s="185">
        <f t="shared" ref="AJ49" ca="1" si="55">IFERROR(IF(Y49="Impacto",(U49-(+U49*AB49)),IF(Y49="Probabilidad",U49,"")),"")</f>
        <v>0.6</v>
      </c>
      <c r="AK49" s="187" t="str">
        <f t="shared" ca="1" si="41"/>
        <v>Moderado</v>
      </c>
      <c r="AL49" s="603" t="s">
        <v>258</v>
      </c>
      <c r="AM49" s="189"/>
      <c r="AN49" s="194"/>
      <c r="AO49" s="190"/>
      <c r="AP49" s="190"/>
      <c r="AQ49" s="191"/>
      <c r="AR49" s="194"/>
      <c r="AS49" s="604"/>
      <c r="AT49" s="604"/>
      <c r="AU49" s="604"/>
      <c r="AV49" s="604"/>
      <c r="AW49" s="604"/>
      <c r="AX49" s="604"/>
      <c r="AY49" s="604"/>
      <c r="AZ49" s="604"/>
      <c r="BA49" s="604"/>
      <c r="BB49" s="604"/>
      <c r="BC49" s="604"/>
      <c r="BD49" s="604"/>
      <c r="BE49" s="604"/>
      <c r="BF49" s="604"/>
      <c r="BG49" s="604"/>
      <c r="BH49" s="604"/>
      <c r="BI49" s="604"/>
      <c r="BJ49" s="604"/>
      <c r="BK49" s="604"/>
      <c r="BL49" s="604"/>
      <c r="BM49" s="604"/>
      <c r="BN49" s="604"/>
      <c r="BO49" s="604"/>
      <c r="BP49" s="604"/>
      <c r="BQ49" s="604"/>
      <c r="BR49" s="604"/>
      <c r="BS49" s="604"/>
      <c r="BT49" s="604"/>
      <c r="BU49" s="604"/>
      <c r="BV49" s="604"/>
      <c r="BW49" s="604"/>
      <c r="BX49" s="604"/>
    </row>
    <row r="50" spans="1:76" s="605" customFormat="1" ht="111.75" customHeight="1" x14ac:dyDescent="0.25">
      <c r="A50" s="613"/>
      <c r="B50" s="246"/>
      <c r="C50" s="251"/>
      <c r="D50" s="246"/>
      <c r="E50" s="251"/>
      <c r="F50" s="251"/>
      <c r="G50" s="251"/>
      <c r="H50" s="261"/>
      <c r="I50" s="249"/>
      <c r="J50" s="249"/>
      <c r="K50" s="249"/>
      <c r="L50" s="249"/>
      <c r="M50" s="253"/>
      <c r="N50" s="251"/>
      <c r="O50" s="256"/>
      <c r="P50" s="610"/>
      <c r="Q50" s="611"/>
      <c r="R50" s="611"/>
      <c r="S50" s="611">
        <f ca="1">IF(NOT(ISERROR(MATCH(R50,_xlfn.ANCHORARRAY(H61),0))),Q63&amp;"Por favor no seleccionar los criterios de impacto",R50)</f>
        <v>0</v>
      </c>
      <c r="T50" s="610"/>
      <c r="U50" s="611"/>
      <c r="V50" s="252"/>
      <c r="W50" s="194">
        <v>2</v>
      </c>
      <c r="X50" s="192" t="s">
        <v>537</v>
      </c>
      <c r="Y50" s="194" t="str">
        <f t="shared" si="36"/>
        <v>Probabilidad</v>
      </c>
      <c r="Z50" s="188" t="s">
        <v>211</v>
      </c>
      <c r="AA50" s="188" t="s">
        <v>219</v>
      </c>
      <c r="AB50" s="185" t="s">
        <v>490</v>
      </c>
      <c r="AC50" s="188" t="s">
        <v>222</v>
      </c>
      <c r="AD50" s="188" t="s">
        <v>227</v>
      </c>
      <c r="AE50" s="188" t="s">
        <v>231</v>
      </c>
      <c r="AF50" s="602">
        <f t="shared" ref="AF50:AF54" si="56">IFERROR(IF(AND(Y49="Probabilidad",Y50="Probabilidad"),(AH49-(+AH49*AB50)),IF(Y50="Probabilidad",(Q49-(+Q49*AB50)),IF(Y50="Impacto",AH49,""))),"")</f>
        <v>0.216</v>
      </c>
      <c r="AG50" s="186" t="str">
        <f t="shared" si="37"/>
        <v>Baja</v>
      </c>
      <c r="AH50" s="185">
        <f t="shared" si="38"/>
        <v>0.216</v>
      </c>
      <c r="AI50" s="186" t="str">
        <f t="shared" ca="1" si="39"/>
        <v>Moderado</v>
      </c>
      <c r="AJ50" s="185">
        <f t="shared" ref="AJ50" ca="1" si="57">IFERROR(IF(AND(Y49="Impacto",Y50="Impacto"),(AJ49-(+AJ49*AB50)),IF(Y50="Impacto",(U49-(+U49*AB50)),IF(Y50="Probabilidad",AJ49,""))),"")</f>
        <v>0.6</v>
      </c>
      <c r="AK50" s="187" t="str">
        <f t="shared" ca="1" si="41"/>
        <v>Moderado</v>
      </c>
      <c r="AL50" s="603" t="s">
        <v>258</v>
      </c>
      <c r="AM50" s="189"/>
      <c r="AN50" s="194"/>
      <c r="AO50" s="190"/>
      <c r="AP50" s="190"/>
      <c r="AQ50" s="191"/>
      <c r="AR50" s="194"/>
      <c r="AS50" s="604"/>
      <c r="AT50" s="604"/>
      <c r="AU50" s="604"/>
      <c r="AV50" s="604"/>
      <c r="AW50" s="604"/>
      <c r="AX50" s="604"/>
      <c r="AY50" s="604"/>
      <c r="AZ50" s="604"/>
      <c r="BA50" s="604"/>
      <c r="BB50" s="604"/>
      <c r="BC50" s="604"/>
      <c r="BD50" s="604"/>
      <c r="BE50" s="604"/>
      <c r="BF50" s="604"/>
      <c r="BG50" s="604"/>
      <c r="BH50" s="604"/>
      <c r="BI50" s="604"/>
      <c r="BJ50" s="604"/>
      <c r="BK50" s="604"/>
      <c r="BL50" s="604"/>
      <c r="BM50" s="604"/>
      <c r="BN50" s="604"/>
      <c r="BO50" s="604"/>
      <c r="BP50" s="604"/>
      <c r="BQ50" s="604"/>
      <c r="BR50" s="604"/>
      <c r="BS50" s="604"/>
      <c r="BT50" s="604"/>
      <c r="BU50" s="604"/>
      <c r="BV50" s="604"/>
      <c r="BW50" s="604"/>
      <c r="BX50" s="604"/>
    </row>
    <row r="51" spans="1:76" s="605" customFormat="1" ht="69" hidden="1" customHeight="1" x14ac:dyDescent="0.25">
      <c r="A51" s="613"/>
      <c r="B51" s="246"/>
      <c r="C51" s="251"/>
      <c r="D51" s="246"/>
      <c r="E51" s="251"/>
      <c r="F51" s="251"/>
      <c r="G51" s="251"/>
      <c r="H51" s="261"/>
      <c r="I51" s="249"/>
      <c r="J51" s="249"/>
      <c r="K51" s="249"/>
      <c r="L51" s="249"/>
      <c r="M51" s="253"/>
      <c r="N51" s="251"/>
      <c r="O51" s="256"/>
      <c r="P51" s="610"/>
      <c r="Q51" s="611"/>
      <c r="R51" s="611"/>
      <c r="S51" s="611">
        <f ca="1">IF(NOT(ISERROR(MATCH(R51,_xlfn.ANCHORARRAY(H62),0))),Q64&amp;"Por favor no seleccionar los criterios de impacto",R51)</f>
        <v>0</v>
      </c>
      <c r="T51" s="610"/>
      <c r="U51" s="611"/>
      <c r="V51" s="252"/>
      <c r="W51" s="194">
        <v>3</v>
      </c>
      <c r="X51" s="192"/>
      <c r="Y51" s="194" t="str">
        <f t="shared" si="36"/>
        <v/>
      </c>
      <c r="Z51" s="188"/>
      <c r="AA51" s="188"/>
      <c r="AB51" s="185" t="str">
        <f t="shared" si="44"/>
        <v/>
      </c>
      <c r="AC51" s="188"/>
      <c r="AD51" s="188"/>
      <c r="AE51" s="188"/>
      <c r="AF51" s="602" t="str">
        <f t="shared" si="56"/>
        <v/>
      </c>
      <c r="AG51" s="186" t="str">
        <f t="shared" si="37"/>
        <v/>
      </c>
      <c r="AH51" s="185" t="str">
        <f t="shared" si="38"/>
        <v/>
      </c>
      <c r="AI51" s="186" t="str">
        <f t="shared" si="39"/>
        <v/>
      </c>
      <c r="AJ51" s="185" t="str">
        <f t="shared" ref="AJ51:AJ54" si="58">IFERROR(IF(AND(Y50="Impacto",Y51="Impacto"),(AJ50-(+AJ50*AB51)),IF(AND(Y50="Probabilidad",Y51="Impacto"),(AJ49-(+AJ49*AB51)),IF(Y51="Probabilidad",AJ50,""))),"")</f>
        <v/>
      </c>
      <c r="AK51" s="187" t="str">
        <f t="shared" si="41"/>
        <v/>
      </c>
      <c r="AL51" s="603"/>
      <c r="AM51" s="189"/>
      <c r="AN51" s="194"/>
      <c r="AO51" s="190"/>
      <c r="AP51" s="190"/>
      <c r="AQ51" s="191"/>
      <c r="AR51" s="194"/>
      <c r="AS51" s="604"/>
      <c r="AT51" s="604"/>
      <c r="AU51" s="604"/>
      <c r="AV51" s="604"/>
      <c r="AW51" s="604"/>
      <c r="AX51" s="604"/>
      <c r="AY51" s="604"/>
      <c r="AZ51" s="604"/>
      <c r="BA51" s="604"/>
      <c r="BB51" s="604"/>
      <c r="BC51" s="604"/>
      <c r="BD51" s="604"/>
      <c r="BE51" s="604"/>
      <c r="BF51" s="604"/>
      <c r="BG51" s="604"/>
      <c r="BH51" s="604"/>
      <c r="BI51" s="604"/>
      <c r="BJ51" s="604"/>
      <c r="BK51" s="604"/>
      <c r="BL51" s="604"/>
      <c r="BM51" s="604"/>
      <c r="BN51" s="604"/>
      <c r="BO51" s="604"/>
      <c r="BP51" s="604"/>
      <c r="BQ51" s="604"/>
      <c r="BR51" s="604"/>
      <c r="BS51" s="604"/>
      <c r="BT51" s="604"/>
      <c r="BU51" s="604"/>
      <c r="BV51" s="604"/>
      <c r="BW51" s="604"/>
      <c r="BX51" s="604"/>
    </row>
    <row r="52" spans="1:76" s="605" customFormat="1" ht="69" hidden="1" customHeight="1" x14ac:dyDescent="0.25">
      <c r="A52" s="613"/>
      <c r="B52" s="246"/>
      <c r="C52" s="251"/>
      <c r="D52" s="246"/>
      <c r="E52" s="251"/>
      <c r="F52" s="251"/>
      <c r="G52" s="251"/>
      <c r="H52" s="261"/>
      <c r="I52" s="249"/>
      <c r="J52" s="249"/>
      <c r="K52" s="249"/>
      <c r="L52" s="249"/>
      <c r="M52" s="253"/>
      <c r="N52" s="251"/>
      <c r="O52" s="256"/>
      <c r="P52" s="610"/>
      <c r="Q52" s="611"/>
      <c r="R52" s="611"/>
      <c r="S52" s="611">
        <f ca="1">IF(NOT(ISERROR(MATCH(R52,_xlfn.ANCHORARRAY(H63),0))),Q65&amp;"Por favor no seleccionar los criterios de impacto",R52)</f>
        <v>0</v>
      </c>
      <c r="T52" s="610"/>
      <c r="U52" s="611"/>
      <c r="V52" s="252"/>
      <c r="W52" s="194">
        <v>4</v>
      </c>
      <c r="X52" s="192"/>
      <c r="Y52" s="194" t="str">
        <f t="shared" si="36"/>
        <v/>
      </c>
      <c r="Z52" s="188"/>
      <c r="AA52" s="188"/>
      <c r="AB52" s="185" t="str">
        <f t="shared" si="44"/>
        <v/>
      </c>
      <c r="AC52" s="188"/>
      <c r="AD52" s="188"/>
      <c r="AE52" s="188"/>
      <c r="AF52" s="602" t="str">
        <f t="shared" si="56"/>
        <v/>
      </c>
      <c r="AG52" s="186" t="str">
        <f t="shared" si="37"/>
        <v/>
      </c>
      <c r="AH52" s="185" t="str">
        <f t="shared" si="38"/>
        <v/>
      </c>
      <c r="AI52" s="186" t="str">
        <f t="shared" si="39"/>
        <v/>
      </c>
      <c r="AJ52" s="185" t="str">
        <f t="shared" si="58"/>
        <v/>
      </c>
      <c r="AK52" s="187" t="str">
        <f t="shared" si="41"/>
        <v/>
      </c>
      <c r="AL52" s="603"/>
      <c r="AM52" s="189"/>
      <c r="AN52" s="194"/>
      <c r="AO52" s="190"/>
      <c r="AP52" s="190"/>
      <c r="AQ52" s="191"/>
      <c r="AR52" s="194"/>
      <c r="AS52" s="604"/>
      <c r="AT52" s="604"/>
      <c r="AU52" s="604"/>
      <c r="AV52" s="604"/>
      <c r="AW52" s="604"/>
      <c r="AX52" s="604"/>
      <c r="AY52" s="604"/>
      <c r="AZ52" s="604"/>
      <c r="BA52" s="604"/>
      <c r="BB52" s="604"/>
      <c r="BC52" s="604"/>
      <c r="BD52" s="604"/>
      <c r="BE52" s="604"/>
      <c r="BF52" s="604"/>
      <c r="BG52" s="604"/>
      <c r="BH52" s="604"/>
      <c r="BI52" s="604"/>
      <c r="BJ52" s="604"/>
      <c r="BK52" s="604"/>
      <c r="BL52" s="604"/>
      <c r="BM52" s="604"/>
      <c r="BN52" s="604"/>
      <c r="BO52" s="604"/>
      <c r="BP52" s="604"/>
      <c r="BQ52" s="604"/>
      <c r="BR52" s="604"/>
      <c r="BS52" s="604"/>
      <c r="BT52" s="604"/>
      <c r="BU52" s="604"/>
      <c r="BV52" s="604"/>
      <c r="BW52" s="604"/>
      <c r="BX52" s="604"/>
    </row>
    <row r="53" spans="1:76" s="605" customFormat="1" ht="69" hidden="1" customHeight="1" x14ac:dyDescent="0.25">
      <c r="A53" s="613"/>
      <c r="B53" s="246"/>
      <c r="C53" s="251"/>
      <c r="D53" s="246"/>
      <c r="E53" s="251"/>
      <c r="F53" s="251"/>
      <c r="G53" s="251"/>
      <c r="H53" s="261"/>
      <c r="I53" s="249"/>
      <c r="J53" s="249"/>
      <c r="K53" s="249"/>
      <c r="L53" s="249"/>
      <c r="M53" s="253"/>
      <c r="N53" s="251"/>
      <c r="O53" s="256"/>
      <c r="P53" s="610"/>
      <c r="Q53" s="611"/>
      <c r="R53" s="611"/>
      <c r="S53" s="611">
        <f ca="1">IF(NOT(ISERROR(MATCH(R53,_xlfn.ANCHORARRAY(H64),0))),Q66&amp;"Por favor no seleccionar los criterios de impacto",R53)</f>
        <v>0</v>
      </c>
      <c r="T53" s="610"/>
      <c r="U53" s="611"/>
      <c r="V53" s="252"/>
      <c r="W53" s="194">
        <v>5</v>
      </c>
      <c r="X53" s="192"/>
      <c r="Y53" s="194" t="str">
        <f t="shared" si="36"/>
        <v/>
      </c>
      <c r="Z53" s="188"/>
      <c r="AA53" s="188"/>
      <c r="AB53" s="185" t="str">
        <f t="shared" si="44"/>
        <v/>
      </c>
      <c r="AC53" s="188"/>
      <c r="AD53" s="188"/>
      <c r="AE53" s="188"/>
      <c r="AF53" s="602" t="str">
        <f t="shared" si="56"/>
        <v/>
      </c>
      <c r="AG53" s="186" t="str">
        <f t="shared" si="37"/>
        <v/>
      </c>
      <c r="AH53" s="185" t="str">
        <f t="shared" si="38"/>
        <v/>
      </c>
      <c r="AI53" s="186" t="str">
        <f t="shared" si="39"/>
        <v/>
      </c>
      <c r="AJ53" s="185" t="str">
        <f t="shared" si="58"/>
        <v/>
      </c>
      <c r="AK53" s="187" t="str">
        <f t="shared" si="41"/>
        <v/>
      </c>
      <c r="AL53" s="603"/>
      <c r="AM53" s="189"/>
      <c r="AN53" s="194"/>
      <c r="AO53" s="190"/>
      <c r="AP53" s="190"/>
      <c r="AQ53" s="191"/>
      <c r="AR53" s="194"/>
      <c r="AS53" s="604"/>
      <c r="AT53" s="604"/>
      <c r="AU53" s="604"/>
      <c r="AV53" s="604"/>
      <c r="AW53" s="604"/>
      <c r="AX53" s="604"/>
      <c r="AY53" s="604"/>
      <c r="AZ53" s="604"/>
      <c r="BA53" s="604"/>
      <c r="BB53" s="604"/>
      <c r="BC53" s="604"/>
      <c r="BD53" s="604"/>
      <c r="BE53" s="604"/>
      <c r="BF53" s="604"/>
      <c r="BG53" s="604"/>
      <c r="BH53" s="604"/>
      <c r="BI53" s="604"/>
      <c r="BJ53" s="604"/>
      <c r="BK53" s="604"/>
      <c r="BL53" s="604"/>
      <c r="BM53" s="604"/>
      <c r="BN53" s="604"/>
      <c r="BO53" s="604"/>
      <c r="BP53" s="604"/>
      <c r="BQ53" s="604"/>
      <c r="BR53" s="604"/>
      <c r="BS53" s="604"/>
      <c r="BT53" s="604"/>
      <c r="BU53" s="604"/>
      <c r="BV53" s="604"/>
      <c r="BW53" s="604"/>
      <c r="BX53" s="604"/>
    </row>
    <row r="54" spans="1:76" s="605" customFormat="1" ht="69" hidden="1" customHeight="1" x14ac:dyDescent="0.25">
      <c r="A54" s="614"/>
      <c r="B54" s="247"/>
      <c r="C54" s="239"/>
      <c r="D54" s="247"/>
      <c r="E54" s="239"/>
      <c r="F54" s="239"/>
      <c r="G54" s="239"/>
      <c r="H54" s="262"/>
      <c r="I54" s="250"/>
      <c r="J54" s="250"/>
      <c r="K54" s="250"/>
      <c r="L54" s="250"/>
      <c r="M54" s="253"/>
      <c r="N54" s="239"/>
      <c r="O54" s="256"/>
      <c r="P54" s="610"/>
      <c r="Q54" s="611"/>
      <c r="R54" s="611"/>
      <c r="S54" s="611">
        <f ca="1">IF(NOT(ISERROR(MATCH(R54,_xlfn.ANCHORARRAY(H65),0))),Q67&amp;"Por favor no seleccionar los criterios de impacto",R54)</f>
        <v>0</v>
      </c>
      <c r="T54" s="610"/>
      <c r="U54" s="611"/>
      <c r="V54" s="252"/>
      <c r="W54" s="194">
        <v>6</v>
      </c>
      <c r="X54" s="192"/>
      <c r="Y54" s="194" t="str">
        <f t="shared" si="36"/>
        <v/>
      </c>
      <c r="Z54" s="188"/>
      <c r="AA54" s="188"/>
      <c r="AB54" s="185" t="str">
        <f t="shared" si="44"/>
        <v/>
      </c>
      <c r="AC54" s="188"/>
      <c r="AD54" s="188"/>
      <c r="AE54" s="188"/>
      <c r="AF54" s="602" t="str">
        <f t="shared" si="56"/>
        <v/>
      </c>
      <c r="AG54" s="186" t="str">
        <f t="shared" si="37"/>
        <v/>
      </c>
      <c r="AH54" s="185" t="str">
        <f t="shared" si="38"/>
        <v/>
      </c>
      <c r="AI54" s="186" t="str">
        <f t="shared" si="39"/>
        <v/>
      </c>
      <c r="AJ54" s="185" t="str">
        <f t="shared" si="58"/>
        <v/>
      </c>
      <c r="AK54" s="187" t="str">
        <f t="shared" si="41"/>
        <v/>
      </c>
      <c r="AL54" s="603"/>
      <c r="AM54" s="189"/>
      <c r="AN54" s="194"/>
      <c r="AO54" s="190"/>
      <c r="AP54" s="190"/>
      <c r="AQ54" s="191"/>
      <c r="AR54" s="194"/>
      <c r="AS54" s="604"/>
      <c r="AT54" s="604"/>
      <c r="AU54" s="604"/>
      <c r="AV54" s="604"/>
      <c r="AW54" s="604"/>
      <c r="AX54" s="604"/>
      <c r="AY54" s="604"/>
      <c r="AZ54" s="604"/>
      <c r="BA54" s="604"/>
      <c r="BB54" s="604"/>
      <c r="BC54" s="604"/>
      <c r="BD54" s="604"/>
      <c r="BE54" s="604"/>
      <c r="BF54" s="604"/>
      <c r="BG54" s="604"/>
      <c r="BH54" s="604"/>
      <c r="BI54" s="604"/>
      <c r="BJ54" s="604"/>
      <c r="BK54" s="604"/>
      <c r="BL54" s="604"/>
      <c r="BM54" s="604"/>
      <c r="BN54" s="604"/>
      <c r="BO54" s="604"/>
      <c r="BP54" s="604"/>
      <c r="BQ54" s="604"/>
      <c r="BR54" s="604"/>
      <c r="BS54" s="604"/>
      <c r="BT54" s="604"/>
      <c r="BU54" s="604"/>
      <c r="BV54" s="604"/>
      <c r="BW54" s="604"/>
      <c r="BX54" s="604"/>
    </row>
    <row r="55" spans="1:76" s="605" customFormat="1" ht="147" customHeight="1" x14ac:dyDescent="0.25">
      <c r="A55" s="252">
        <v>8</v>
      </c>
      <c r="B55" s="245" t="s">
        <v>538</v>
      </c>
      <c r="C55" s="238" t="s">
        <v>270</v>
      </c>
      <c r="D55" s="238" t="s">
        <v>539</v>
      </c>
      <c r="E55" s="253" t="s">
        <v>243</v>
      </c>
      <c r="F55" s="254" t="s">
        <v>540</v>
      </c>
      <c r="G55" s="254" t="s">
        <v>541</v>
      </c>
      <c r="H55" s="257" t="s">
        <v>542</v>
      </c>
      <c r="I55" s="248" t="s">
        <v>480</v>
      </c>
      <c r="J55" s="248" t="s">
        <v>480</v>
      </c>
      <c r="K55" s="248" t="s">
        <v>480</v>
      </c>
      <c r="L55" s="248" t="s">
        <v>480</v>
      </c>
      <c r="M55" s="253" t="s">
        <v>252</v>
      </c>
      <c r="N55" s="238" t="s">
        <v>543</v>
      </c>
      <c r="O55" s="256">
        <v>8640</v>
      </c>
      <c r="P55" s="610" t="str">
        <f>IF(O55&lt;=0,"",IF(O55&lt;=2,"Muy Baja",IF(O55&lt;=24,"Baja",IF(O55&lt;=500,"Media",IF(O55&lt;=5000,"Alta","Muy Alta")))))</f>
        <v>Muy Alta</v>
      </c>
      <c r="Q55" s="611">
        <f>IF(P55="","",IF(P55="Muy Baja",0.2,IF(P55="Baja",0.4,IF(P55="Media",0.6,IF(P55="Alta",0.8,IF(P55="Muy Alta",1,))))))</f>
        <v>1</v>
      </c>
      <c r="R55" s="611" t="s">
        <v>193</v>
      </c>
      <c r="S55" s="611" t="str">
        <f ca="1">IF(NOT(ISERROR(MATCH(R55,'Tabla Impacto'!$B$221:$B$223,0))),'Tabla Impacto'!$F$223&amp;"Por favor no seleccionar los criterios de impacto(Afectación Económica o presupuestal y Pérdida Reputacional)",R55)</f>
        <v>El riesgo afecta la imagen de la entidad con algunos usuarios de relevancia frente al logro de los objetivos</v>
      </c>
      <c r="T55" s="610" t="str">
        <f ca="1">+IF(OR(S55='[1]Tabla Impacto'!$C$11,S55='[1]Tabla Impacto'!$D$11),"Leve",IF(OR(S55='[1]Tabla Impacto'!$C$12,S55='[1]Tabla Impacto'!$D$12),"Menor",IF(OR(S55='[1]Tabla Impacto'!$C$13,S55='[1]Tabla Impacto'!$D$13),"Moderado",IF(OR(S55='[1]Tabla Impacto'!$C$14,S55='[1]Tabla Impacto'!$D$14),"Mayor",IF(OR(S55='[1]Tabla Impacto'!$C$15,S55='[1]Tabla Impacto'!$D$15),"Catastrófico","")))))</f>
        <v>Moderado</v>
      </c>
      <c r="U55" s="611">
        <f t="shared" ref="U55" ca="1" si="59">IF(T55="","",IF(T55="Leve",0.2,IF(T55="Menor",0.4,IF(T55="Moderado",0.6,IF(T55="Mayor",0.8,IF(T55="Catastrófico",1,))))))</f>
        <v>0.6</v>
      </c>
      <c r="V55" s="252" t="str">
        <f t="shared" ref="V55" ca="1" si="60">IF(OR(AND(P55="Muy Baja",T55="Leve"),AND(P55="Muy Baja",T55="Menor"),AND(P55="Baja",T55="Leve")),"Bajo",IF(OR(AND(P55="Muy baja",T55="Moderado"),AND(P55="Baja",T55="Menor"),AND(P55="Baja",T55="Moderado"),AND(P55="Media",T55="Leve"),AND(P55="Media",T55="Menor"),AND(P55="Media",T55="Moderado"),AND(P55="Alta",T55="Leve"),AND(P55="Alta",T55="Menor")),"Moderado",IF(OR(AND(P55="Muy Baja",T55="Mayor"),AND(P55="Baja",T55="Mayor"),AND(P55="Media",T55="Mayor"),AND(P55="Alta",T55="Moderado"),AND(P55="Alta",T55="Mayor"),AND(P55="Muy Alta",T55="Leve"),AND(P55="Muy Alta",T55="Menor"),AND(P55="Muy Alta",T55="Moderado"),AND(P55="Muy Alta",T55="Mayor")),"Alto",IF(OR(AND(P55="Muy Baja",T55="Catastrófico"),AND(P55="Baja",T55="Catastrófico"),AND(P55="Media",T55="Catastrófico"),AND(P55="Alta",T55="Catastrófico"),AND(P55="Muy Alta",T55="Catastrófico")),"Extremo",""))))</f>
        <v>Alto</v>
      </c>
      <c r="W55" s="194">
        <v>1</v>
      </c>
      <c r="X55" s="192" t="s">
        <v>547</v>
      </c>
      <c r="Y55" s="194" t="str">
        <f t="shared" si="36"/>
        <v>Probabilidad</v>
      </c>
      <c r="Z55" s="188" t="s">
        <v>211</v>
      </c>
      <c r="AA55" s="188" t="s">
        <v>217</v>
      </c>
      <c r="AB55" s="185" t="s">
        <v>548</v>
      </c>
      <c r="AC55" s="188" t="s">
        <v>222</v>
      </c>
      <c r="AD55" s="188" t="s">
        <v>227</v>
      </c>
      <c r="AE55" s="188" t="s">
        <v>231</v>
      </c>
      <c r="AF55" s="602">
        <f t="shared" ref="AF55" si="61">IFERROR(IF(Y55="Probabilidad",(Q55-(+Q55*AB55)),IF(Y55="Impacto",Q55,"")),"")</f>
        <v>0.5</v>
      </c>
      <c r="AG55" s="186" t="str">
        <f t="shared" si="37"/>
        <v>Media</v>
      </c>
      <c r="AH55" s="185">
        <f t="shared" si="38"/>
        <v>0.5</v>
      </c>
      <c r="AI55" s="186" t="str">
        <f t="shared" ca="1" si="39"/>
        <v>Moderado</v>
      </c>
      <c r="AJ55" s="185">
        <f t="shared" ref="AJ55" ca="1" si="62">IFERROR(IF(Y55="Impacto",(U55-(+U55*AB55)),IF(Y55="Probabilidad",U55,"")),"")</f>
        <v>0.6</v>
      </c>
      <c r="AK55" s="187" t="str">
        <f t="shared" ca="1" si="41"/>
        <v>Moderado</v>
      </c>
      <c r="AL55" s="603" t="s">
        <v>258</v>
      </c>
      <c r="AM55" s="189"/>
      <c r="AN55" s="194"/>
      <c r="AO55" s="190"/>
      <c r="AP55" s="190"/>
      <c r="AQ55" s="191"/>
      <c r="AR55" s="194"/>
      <c r="AS55" s="604"/>
      <c r="AT55" s="604"/>
      <c r="AU55" s="604"/>
      <c r="AV55" s="604"/>
      <c r="AW55" s="604"/>
      <c r="AX55" s="604"/>
      <c r="AY55" s="604"/>
      <c r="AZ55" s="604"/>
      <c r="BA55" s="604"/>
      <c r="BB55" s="604"/>
      <c r="BC55" s="604"/>
      <c r="BD55" s="604"/>
      <c r="BE55" s="604"/>
      <c r="BF55" s="604"/>
      <c r="BG55" s="604"/>
      <c r="BH55" s="604"/>
      <c r="BI55" s="604"/>
      <c r="BJ55" s="604"/>
      <c r="BK55" s="604"/>
      <c r="BL55" s="604"/>
      <c r="BM55" s="604"/>
      <c r="BN55" s="604"/>
      <c r="BO55" s="604"/>
      <c r="BP55" s="604"/>
      <c r="BQ55" s="604"/>
      <c r="BR55" s="604"/>
      <c r="BS55" s="604"/>
      <c r="BT55" s="604"/>
      <c r="BU55" s="604"/>
      <c r="BV55" s="604"/>
      <c r="BW55" s="604"/>
      <c r="BX55" s="604"/>
    </row>
    <row r="56" spans="1:76" s="605" customFormat="1" ht="225.75" customHeight="1" x14ac:dyDescent="0.25">
      <c r="A56" s="252"/>
      <c r="B56" s="246"/>
      <c r="C56" s="251"/>
      <c r="D56" s="251"/>
      <c r="E56" s="253"/>
      <c r="F56" s="254"/>
      <c r="G56" s="254"/>
      <c r="H56" s="258"/>
      <c r="I56" s="249"/>
      <c r="J56" s="249"/>
      <c r="K56" s="249"/>
      <c r="L56" s="249"/>
      <c r="M56" s="253"/>
      <c r="N56" s="251"/>
      <c r="O56" s="256"/>
      <c r="P56" s="610"/>
      <c r="Q56" s="611"/>
      <c r="R56" s="611"/>
      <c r="S56" s="611">
        <f ca="1">IF(NOT(ISERROR(MATCH(R56,_xlfn.ANCHORARRAY(H67),0))),Q69&amp;"Por favor no seleccionar los criterios de impacto",R56)</f>
        <v>0</v>
      </c>
      <c r="T56" s="610"/>
      <c r="U56" s="611"/>
      <c r="V56" s="252"/>
      <c r="W56" s="194">
        <v>2</v>
      </c>
      <c r="X56" s="192" t="s">
        <v>544</v>
      </c>
      <c r="Y56" s="194" t="str">
        <f t="shared" si="36"/>
        <v>Probabilidad</v>
      </c>
      <c r="Z56" s="188" t="s">
        <v>211</v>
      </c>
      <c r="AA56" s="188" t="s">
        <v>219</v>
      </c>
      <c r="AB56" s="185" t="s">
        <v>490</v>
      </c>
      <c r="AC56" s="188" t="s">
        <v>222</v>
      </c>
      <c r="AD56" s="188" t="s">
        <v>227</v>
      </c>
      <c r="AE56" s="188" t="s">
        <v>231</v>
      </c>
      <c r="AF56" s="602">
        <f t="shared" ref="AF56:AF60" si="63">IFERROR(IF(AND(Y55="Probabilidad",Y56="Probabilidad"),(AH55-(+AH55*AB56)),IF(Y56="Probabilidad",(Q55-(+Q55*AB56)),IF(Y56="Impacto",AH55,""))),"")</f>
        <v>0.3</v>
      </c>
      <c r="AG56" s="186" t="str">
        <f t="shared" si="37"/>
        <v>Baja</v>
      </c>
      <c r="AH56" s="185">
        <f t="shared" si="38"/>
        <v>0.3</v>
      </c>
      <c r="AI56" s="186" t="str">
        <f t="shared" ca="1" si="39"/>
        <v>Moderado</v>
      </c>
      <c r="AJ56" s="185">
        <f t="shared" ref="AJ56" ca="1" si="64">IFERROR(IF(AND(Y55="Impacto",Y56="Impacto"),(AJ55-(+AJ55*AB56)),IF(Y56="Impacto",(U55-(+U55*AB56)),IF(Y56="Probabilidad",AJ55,""))),"")</f>
        <v>0.6</v>
      </c>
      <c r="AK56" s="187" t="str">
        <f t="shared" ca="1" si="41"/>
        <v>Moderado</v>
      </c>
      <c r="AL56" s="603" t="s">
        <v>258</v>
      </c>
      <c r="AM56" s="189"/>
      <c r="AN56" s="194"/>
      <c r="AO56" s="190"/>
      <c r="AP56" s="190"/>
      <c r="AQ56" s="191"/>
      <c r="AR56" s="194"/>
      <c r="AS56" s="604"/>
      <c r="AT56" s="604"/>
      <c r="AU56" s="604"/>
      <c r="AV56" s="604"/>
      <c r="AW56" s="604"/>
      <c r="AX56" s="604"/>
      <c r="AY56" s="604"/>
      <c r="AZ56" s="604"/>
      <c r="BA56" s="604"/>
      <c r="BB56" s="604"/>
      <c r="BC56" s="604"/>
      <c r="BD56" s="604"/>
      <c r="BE56" s="604"/>
      <c r="BF56" s="604"/>
      <c r="BG56" s="604"/>
      <c r="BH56" s="604"/>
      <c r="BI56" s="604"/>
      <c r="BJ56" s="604"/>
      <c r="BK56" s="604"/>
      <c r="BL56" s="604"/>
      <c r="BM56" s="604"/>
      <c r="BN56" s="604"/>
      <c r="BO56" s="604"/>
      <c r="BP56" s="604"/>
      <c r="BQ56" s="604"/>
      <c r="BR56" s="604"/>
      <c r="BS56" s="604"/>
      <c r="BT56" s="604"/>
      <c r="BU56" s="604"/>
      <c r="BV56" s="604"/>
      <c r="BW56" s="604"/>
      <c r="BX56" s="604"/>
    </row>
    <row r="57" spans="1:76" s="605" customFormat="1" ht="101.25" x14ac:dyDescent="0.25">
      <c r="A57" s="252"/>
      <c r="B57" s="246"/>
      <c r="C57" s="251"/>
      <c r="D57" s="251"/>
      <c r="E57" s="253"/>
      <c r="F57" s="254"/>
      <c r="G57" s="254"/>
      <c r="H57" s="258"/>
      <c r="I57" s="249"/>
      <c r="J57" s="249"/>
      <c r="K57" s="249"/>
      <c r="L57" s="249"/>
      <c r="M57" s="253"/>
      <c r="N57" s="251"/>
      <c r="O57" s="256"/>
      <c r="P57" s="610"/>
      <c r="Q57" s="611"/>
      <c r="R57" s="611"/>
      <c r="S57" s="611">
        <f ca="1">IF(NOT(ISERROR(MATCH(R57,_xlfn.ANCHORARRAY(H68),0))),Q70&amp;"Por favor no seleccionar los criterios de impacto",R57)</f>
        <v>0</v>
      </c>
      <c r="T57" s="610"/>
      <c r="U57" s="611"/>
      <c r="V57" s="252"/>
      <c r="W57" s="194">
        <v>3</v>
      </c>
      <c r="X57" s="192" t="s">
        <v>545</v>
      </c>
      <c r="Y57" s="194" t="str">
        <f t="shared" si="36"/>
        <v>Probabilidad</v>
      </c>
      <c r="Z57" s="188" t="s">
        <v>211</v>
      </c>
      <c r="AA57" s="188" t="s">
        <v>219</v>
      </c>
      <c r="AB57" s="185" t="s">
        <v>490</v>
      </c>
      <c r="AC57" s="188" t="s">
        <v>222</v>
      </c>
      <c r="AD57" s="188" t="s">
        <v>227</v>
      </c>
      <c r="AE57" s="188" t="s">
        <v>231</v>
      </c>
      <c r="AF57" s="602">
        <f t="shared" si="63"/>
        <v>0.18</v>
      </c>
      <c r="AG57" s="186" t="str">
        <f t="shared" si="37"/>
        <v>Muy Baja</v>
      </c>
      <c r="AH57" s="185">
        <f t="shared" si="38"/>
        <v>0.18</v>
      </c>
      <c r="AI57" s="186" t="str">
        <f t="shared" ca="1" si="39"/>
        <v>Moderado</v>
      </c>
      <c r="AJ57" s="185">
        <f t="shared" ref="AJ57:AJ60" ca="1" si="65">IFERROR(IF(AND(Y56="Impacto",Y57="Impacto"),(AJ56-(+AJ56*AB57)),IF(AND(Y56="Probabilidad",Y57="Impacto"),(AJ55-(+AJ55*AB57)),IF(Y57="Probabilidad",AJ56,""))),"")</f>
        <v>0.6</v>
      </c>
      <c r="AK57" s="187" t="str">
        <f t="shared" ca="1" si="41"/>
        <v>Moderado</v>
      </c>
      <c r="AL57" s="603" t="s">
        <v>258</v>
      </c>
      <c r="AM57" s="189"/>
      <c r="AN57" s="194"/>
      <c r="AO57" s="190"/>
      <c r="AP57" s="190"/>
      <c r="AQ57" s="191"/>
      <c r="AR57" s="194"/>
      <c r="AS57" s="604"/>
      <c r="AT57" s="604"/>
      <c r="AU57" s="604"/>
      <c r="AV57" s="604"/>
      <c r="AW57" s="604"/>
      <c r="AX57" s="604"/>
      <c r="AY57" s="604"/>
      <c r="AZ57" s="604"/>
      <c r="BA57" s="604"/>
      <c r="BB57" s="604"/>
      <c r="BC57" s="604"/>
      <c r="BD57" s="604"/>
      <c r="BE57" s="604"/>
      <c r="BF57" s="604"/>
      <c r="BG57" s="604"/>
      <c r="BH57" s="604"/>
      <c r="BI57" s="604"/>
      <c r="BJ57" s="604"/>
      <c r="BK57" s="604"/>
      <c r="BL57" s="604"/>
      <c r="BM57" s="604"/>
      <c r="BN57" s="604"/>
      <c r="BO57" s="604"/>
      <c r="BP57" s="604"/>
      <c r="BQ57" s="604"/>
      <c r="BR57" s="604"/>
      <c r="BS57" s="604"/>
      <c r="BT57" s="604"/>
      <c r="BU57" s="604"/>
      <c r="BV57" s="604"/>
      <c r="BW57" s="604"/>
      <c r="BX57" s="604"/>
    </row>
    <row r="58" spans="1:76" s="605" customFormat="1" ht="116.25" customHeight="1" x14ac:dyDescent="0.25">
      <c r="A58" s="252"/>
      <c r="B58" s="246"/>
      <c r="C58" s="251"/>
      <c r="D58" s="251"/>
      <c r="E58" s="253"/>
      <c r="F58" s="254"/>
      <c r="G58" s="254"/>
      <c r="H58" s="258"/>
      <c r="I58" s="249"/>
      <c r="J58" s="249"/>
      <c r="K58" s="249"/>
      <c r="L58" s="249"/>
      <c r="M58" s="253"/>
      <c r="N58" s="251"/>
      <c r="O58" s="256"/>
      <c r="P58" s="610"/>
      <c r="Q58" s="611"/>
      <c r="R58" s="611"/>
      <c r="S58" s="611">
        <f ca="1">IF(NOT(ISERROR(MATCH(R58,_xlfn.ANCHORARRAY(H69),0))),Q71&amp;"Por favor no seleccionar los criterios de impacto",R58)</f>
        <v>0</v>
      </c>
      <c r="T58" s="610"/>
      <c r="U58" s="611"/>
      <c r="V58" s="252"/>
      <c r="W58" s="194">
        <v>4</v>
      </c>
      <c r="X58" s="192" t="s">
        <v>546</v>
      </c>
      <c r="Y58" s="194" t="str">
        <f t="shared" si="36"/>
        <v>Impacto</v>
      </c>
      <c r="Z58" s="188" t="s">
        <v>215</v>
      </c>
      <c r="AA58" s="188" t="s">
        <v>219</v>
      </c>
      <c r="AB58" s="185" t="s">
        <v>549</v>
      </c>
      <c r="AC58" s="188" t="s">
        <v>222</v>
      </c>
      <c r="AD58" s="188" t="s">
        <v>229</v>
      </c>
      <c r="AE58" s="188" t="s">
        <v>231</v>
      </c>
      <c r="AF58" s="602">
        <f t="shared" si="63"/>
        <v>0.18</v>
      </c>
      <c r="AG58" s="186" t="str">
        <f t="shared" si="37"/>
        <v>Muy Baja</v>
      </c>
      <c r="AH58" s="185">
        <f t="shared" si="38"/>
        <v>0.18</v>
      </c>
      <c r="AI58" s="186" t="str">
        <f t="shared" ca="1" si="39"/>
        <v>Moderado</v>
      </c>
      <c r="AJ58" s="185">
        <f t="shared" ca="1" si="65"/>
        <v>0.44999999999999996</v>
      </c>
      <c r="AK58" s="187" t="str">
        <f t="shared" ca="1" si="41"/>
        <v>Moderado</v>
      </c>
      <c r="AL58" s="603" t="s">
        <v>258</v>
      </c>
      <c r="AM58" s="189"/>
      <c r="AN58" s="194"/>
      <c r="AO58" s="190"/>
      <c r="AP58" s="190"/>
      <c r="AQ58" s="191"/>
      <c r="AR58" s="194"/>
      <c r="AS58" s="604"/>
      <c r="AT58" s="604"/>
      <c r="AU58" s="604"/>
      <c r="AV58" s="604"/>
      <c r="AW58" s="604"/>
      <c r="AX58" s="604"/>
      <c r="AY58" s="604"/>
      <c r="AZ58" s="604"/>
      <c r="BA58" s="604"/>
      <c r="BB58" s="604"/>
      <c r="BC58" s="604"/>
      <c r="BD58" s="604"/>
      <c r="BE58" s="604"/>
      <c r="BF58" s="604"/>
      <c r="BG58" s="604"/>
      <c r="BH58" s="604"/>
      <c r="BI58" s="604"/>
      <c r="BJ58" s="604"/>
      <c r="BK58" s="604"/>
      <c r="BL58" s="604"/>
      <c r="BM58" s="604"/>
      <c r="BN58" s="604"/>
      <c r="BO58" s="604"/>
      <c r="BP58" s="604"/>
      <c r="BQ58" s="604"/>
      <c r="BR58" s="604"/>
      <c r="BS58" s="604"/>
      <c r="BT58" s="604"/>
      <c r="BU58" s="604"/>
      <c r="BV58" s="604"/>
      <c r="BW58" s="604"/>
      <c r="BX58" s="604"/>
    </row>
    <row r="59" spans="1:76" s="605" customFormat="1" ht="69" hidden="1" customHeight="1" x14ac:dyDescent="0.25">
      <c r="A59" s="252"/>
      <c r="B59" s="246"/>
      <c r="C59" s="251"/>
      <c r="D59" s="251"/>
      <c r="E59" s="253"/>
      <c r="F59" s="254"/>
      <c r="G59" s="254"/>
      <c r="H59" s="258"/>
      <c r="I59" s="249"/>
      <c r="J59" s="249"/>
      <c r="K59" s="249"/>
      <c r="L59" s="249"/>
      <c r="M59" s="253"/>
      <c r="N59" s="251"/>
      <c r="O59" s="256"/>
      <c r="P59" s="610"/>
      <c r="Q59" s="611"/>
      <c r="R59" s="611"/>
      <c r="S59" s="611">
        <f ca="1">IF(NOT(ISERROR(MATCH(R59,_xlfn.ANCHORARRAY(H70),0))),Q72&amp;"Por favor no seleccionar los criterios de impacto",R59)</f>
        <v>0</v>
      </c>
      <c r="T59" s="610"/>
      <c r="U59" s="611"/>
      <c r="V59" s="252"/>
      <c r="W59" s="194">
        <v>5</v>
      </c>
      <c r="X59" s="192"/>
      <c r="Y59" s="194" t="str">
        <f t="shared" si="36"/>
        <v/>
      </c>
      <c r="Z59" s="188"/>
      <c r="AA59" s="188"/>
      <c r="AB59" s="185" t="str">
        <f t="shared" si="44"/>
        <v/>
      </c>
      <c r="AC59" s="188"/>
      <c r="AD59" s="188"/>
      <c r="AE59" s="188"/>
      <c r="AF59" s="602" t="str">
        <f t="shared" si="63"/>
        <v/>
      </c>
      <c r="AG59" s="186" t="str">
        <f t="shared" si="37"/>
        <v/>
      </c>
      <c r="AH59" s="185" t="str">
        <f t="shared" si="38"/>
        <v/>
      </c>
      <c r="AI59" s="186" t="str">
        <f t="shared" si="39"/>
        <v/>
      </c>
      <c r="AJ59" s="185" t="str">
        <f t="shared" si="65"/>
        <v/>
      </c>
      <c r="AK59" s="187" t="str">
        <f t="shared" si="41"/>
        <v/>
      </c>
      <c r="AL59" s="603"/>
      <c r="AM59" s="189"/>
      <c r="AN59" s="194"/>
      <c r="AO59" s="190"/>
      <c r="AP59" s="190"/>
      <c r="AQ59" s="191"/>
      <c r="AR59" s="194"/>
      <c r="AS59" s="604"/>
      <c r="AT59" s="604"/>
      <c r="AU59" s="604"/>
      <c r="AV59" s="604"/>
      <c r="AW59" s="604"/>
      <c r="AX59" s="604"/>
      <c r="AY59" s="604"/>
      <c r="AZ59" s="604"/>
      <c r="BA59" s="604"/>
      <c r="BB59" s="604"/>
      <c r="BC59" s="604"/>
      <c r="BD59" s="604"/>
      <c r="BE59" s="604"/>
      <c r="BF59" s="604"/>
      <c r="BG59" s="604"/>
      <c r="BH59" s="604"/>
      <c r="BI59" s="604"/>
      <c r="BJ59" s="604"/>
      <c r="BK59" s="604"/>
      <c r="BL59" s="604"/>
      <c r="BM59" s="604"/>
      <c r="BN59" s="604"/>
      <c r="BO59" s="604"/>
      <c r="BP59" s="604"/>
      <c r="BQ59" s="604"/>
      <c r="BR59" s="604"/>
      <c r="BS59" s="604"/>
      <c r="BT59" s="604"/>
      <c r="BU59" s="604"/>
      <c r="BV59" s="604"/>
      <c r="BW59" s="604"/>
      <c r="BX59" s="604"/>
    </row>
    <row r="60" spans="1:76" s="605" customFormat="1" ht="69" hidden="1" customHeight="1" x14ac:dyDescent="0.25">
      <c r="A60" s="252"/>
      <c r="B60" s="247"/>
      <c r="C60" s="239"/>
      <c r="D60" s="239"/>
      <c r="E60" s="253"/>
      <c r="F60" s="254"/>
      <c r="G60" s="254"/>
      <c r="H60" s="259"/>
      <c r="I60" s="250"/>
      <c r="J60" s="250"/>
      <c r="K60" s="250"/>
      <c r="L60" s="250"/>
      <c r="M60" s="253"/>
      <c r="N60" s="239"/>
      <c r="O60" s="256"/>
      <c r="P60" s="610"/>
      <c r="Q60" s="611"/>
      <c r="R60" s="611"/>
      <c r="S60" s="611">
        <f ca="1">IF(NOT(ISERROR(MATCH(R60,_xlfn.ANCHORARRAY(H71),0))),Q73&amp;"Por favor no seleccionar los criterios de impacto",R60)</f>
        <v>0</v>
      </c>
      <c r="T60" s="610"/>
      <c r="U60" s="611"/>
      <c r="V60" s="252"/>
      <c r="W60" s="194">
        <v>6</v>
      </c>
      <c r="X60" s="192"/>
      <c r="Y60" s="194" t="str">
        <f t="shared" si="36"/>
        <v/>
      </c>
      <c r="Z60" s="188"/>
      <c r="AA60" s="188"/>
      <c r="AB60" s="185" t="str">
        <f t="shared" si="44"/>
        <v/>
      </c>
      <c r="AC60" s="188"/>
      <c r="AD60" s="188"/>
      <c r="AE60" s="188"/>
      <c r="AF60" s="602" t="str">
        <f t="shared" si="63"/>
        <v/>
      </c>
      <c r="AG60" s="186" t="str">
        <f t="shared" si="37"/>
        <v/>
      </c>
      <c r="AH60" s="185" t="str">
        <f t="shared" si="38"/>
        <v/>
      </c>
      <c r="AI60" s="186" t="str">
        <f t="shared" si="39"/>
        <v/>
      </c>
      <c r="AJ60" s="185" t="str">
        <f t="shared" si="65"/>
        <v/>
      </c>
      <c r="AK60" s="187" t="str">
        <f t="shared" si="41"/>
        <v/>
      </c>
      <c r="AL60" s="603"/>
      <c r="AM60" s="189"/>
      <c r="AN60" s="194"/>
      <c r="AO60" s="190"/>
      <c r="AP60" s="190"/>
      <c r="AQ60" s="191"/>
      <c r="AR60" s="194"/>
      <c r="AS60" s="604"/>
      <c r="AT60" s="604"/>
      <c r="AU60" s="604"/>
      <c r="AV60" s="604"/>
      <c r="AW60" s="604"/>
      <c r="AX60" s="604"/>
      <c r="AY60" s="604"/>
      <c r="AZ60" s="604"/>
      <c r="BA60" s="604"/>
      <c r="BB60" s="604"/>
      <c r="BC60" s="604"/>
      <c r="BD60" s="604"/>
      <c r="BE60" s="604"/>
      <c r="BF60" s="604"/>
      <c r="BG60" s="604"/>
      <c r="BH60" s="604"/>
      <c r="BI60" s="604"/>
      <c r="BJ60" s="604"/>
      <c r="BK60" s="604"/>
      <c r="BL60" s="604"/>
      <c r="BM60" s="604"/>
      <c r="BN60" s="604"/>
      <c r="BO60" s="604"/>
      <c r="BP60" s="604"/>
      <c r="BQ60" s="604"/>
      <c r="BR60" s="604"/>
      <c r="BS60" s="604"/>
      <c r="BT60" s="604"/>
      <c r="BU60" s="604"/>
      <c r="BV60" s="604"/>
      <c r="BW60" s="604"/>
      <c r="BX60" s="604"/>
    </row>
    <row r="61" spans="1:76" s="605" customFormat="1" ht="137.25" customHeight="1" x14ac:dyDescent="0.25">
      <c r="A61" s="252">
        <v>9</v>
      </c>
      <c r="B61" s="245" t="s">
        <v>550</v>
      </c>
      <c r="C61" s="238" t="s">
        <v>270</v>
      </c>
      <c r="D61" s="238" t="s">
        <v>551</v>
      </c>
      <c r="E61" s="253" t="s">
        <v>241</v>
      </c>
      <c r="F61" s="254" t="s">
        <v>552</v>
      </c>
      <c r="G61" s="254" t="s">
        <v>553</v>
      </c>
      <c r="H61" s="255" t="s">
        <v>554</v>
      </c>
      <c r="I61" s="248" t="s">
        <v>480</v>
      </c>
      <c r="J61" s="248" t="s">
        <v>480</v>
      </c>
      <c r="K61" s="248" t="s">
        <v>480</v>
      </c>
      <c r="L61" s="248" t="s">
        <v>480</v>
      </c>
      <c r="M61" s="253" t="s">
        <v>253</v>
      </c>
      <c r="N61" s="238" t="s">
        <v>543</v>
      </c>
      <c r="O61" s="256">
        <v>52</v>
      </c>
      <c r="P61" s="610" t="str">
        <f>IF(O61&lt;=0,"",IF(O61&lt;=2,"Muy Baja",IF(O61&lt;=24,"Baja",IF(O61&lt;=500,"Media",IF(O61&lt;=5000,"Alta","Muy Alta")))))</f>
        <v>Media</v>
      </c>
      <c r="Q61" s="611">
        <f>IF(P61="","",IF(P61="Muy Baja",0.2,IF(P61="Baja",0.4,IF(P61="Media",0.6,IF(P61="Alta",0.8,IF(P61="Muy Alta",1,))))))</f>
        <v>0.6</v>
      </c>
      <c r="R61" s="611" t="s">
        <v>199</v>
      </c>
      <c r="S61" s="611" t="str">
        <f ca="1">IF(NOT(ISERROR(MATCH(R61,'Tabla Impacto'!$B$221:$B$223,0))),'Tabla Impacto'!$F$223&amp;"Por favor no seleccionar los criterios de impacto(Afectación Económica o presupuestal y Pérdida Reputacional)",R61)</f>
        <v>El riesgo afecta la imagen de la entidad a nivel nacional, con efecto publicitarios sostenible a nivel país</v>
      </c>
      <c r="T61" s="610" t="str">
        <f ca="1">+IF(OR(S61='[1]Tabla Impacto'!$C$11,S61='[1]Tabla Impacto'!$D$11),"Leve",IF(OR(S61='[1]Tabla Impacto'!$C$12,S61='[1]Tabla Impacto'!$D$12),"Menor",IF(OR(S61='[1]Tabla Impacto'!$C$13,S61='[1]Tabla Impacto'!$D$13),"Moderado",IF(OR(S61='[1]Tabla Impacto'!$C$14,S61='[1]Tabla Impacto'!$D$14),"Mayor",IF(OR(S61='[1]Tabla Impacto'!$C$15,S61='[1]Tabla Impacto'!$D$15),"Catastrófico","")))))</f>
        <v>Catastrófico</v>
      </c>
      <c r="U61" s="611">
        <f t="shared" ref="U61" ca="1" si="66">IF(T61="","",IF(T61="Leve",0.2,IF(T61="Menor",0.4,IF(T61="Moderado",0.6,IF(T61="Mayor",0.8,IF(T61="Catastrófico",1,))))))</f>
        <v>1</v>
      </c>
      <c r="V61" s="252" t="str">
        <f t="shared" ref="V61" ca="1" si="67">IF(OR(AND(P61="Muy Baja",T61="Leve"),AND(P61="Muy Baja",T61="Menor"),AND(P61="Baja",T61="Leve")),"Bajo",IF(OR(AND(P61="Muy baja",T61="Moderado"),AND(P61="Baja",T61="Menor"),AND(P61="Baja",T61="Moderado"),AND(P61="Media",T61="Leve"),AND(P61="Media",T61="Menor"),AND(P61="Media",T61="Moderado"),AND(P61="Alta",T61="Leve"),AND(P61="Alta",T61="Menor")),"Moderado",IF(OR(AND(P61="Muy Baja",T61="Mayor"),AND(P61="Baja",T61="Mayor"),AND(P61="Media",T61="Mayor"),AND(P61="Alta",T61="Moderado"),AND(P61="Alta",T61="Mayor"),AND(P61="Muy Alta",T61="Leve"),AND(P61="Muy Alta",T61="Menor"),AND(P61="Muy Alta",T61="Moderado"),AND(P61="Muy Alta",T61="Mayor")),"Alto",IF(OR(AND(P61="Muy Baja",T61="Catastrófico"),AND(P61="Baja",T61="Catastrófico"),AND(P61="Media",T61="Catastrófico"),AND(P61="Alta",T61="Catastrófico"),AND(P61="Muy Alta",T61="Catastrófico")),"Extremo",""))))</f>
        <v>Extremo</v>
      </c>
      <c r="W61" s="194">
        <v>1</v>
      </c>
      <c r="X61" s="192" t="s">
        <v>555</v>
      </c>
      <c r="Y61" s="194" t="str">
        <f t="shared" si="36"/>
        <v>Probabilidad</v>
      </c>
      <c r="Z61" s="188" t="s">
        <v>211</v>
      </c>
      <c r="AA61" s="188" t="s">
        <v>219</v>
      </c>
      <c r="AB61" s="185" t="s">
        <v>490</v>
      </c>
      <c r="AC61" s="188" t="s">
        <v>222</v>
      </c>
      <c r="AD61" s="188" t="s">
        <v>227</v>
      </c>
      <c r="AE61" s="188" t="s">
        <v>231</v>
      </c>
      <c r="AF61" s="602">
        <f t="shared" ref="AF61" si="68">IFERROR(IF(Y61="Probabilidad",(Q61-(+Q61*AB61)),IF(Y61="Impacto",Q61,"")),"")</f>
        <v>0.36</v>
      </c>
      <c r="AG61" s="186" t="str">
        <f t="shared" si="37"/>
        <v>Baja</v>
      </c>
      <c r="AH61" s="185">
        <f t="shared" si="38"/>
        <v>0.36</v>
      </c>
      <c r="AI61" s="186" t="str">
        <f t="shared" ca="1" si="39"/>
        <v>Catastrófico</v>
      </c>
      <c r="AJ61" s="185">
        <f t="shared" ref="AJ61" ca="1" si="69">IFERROR(IF(Y61="Impacto",(U61-(+U61*AB61)),IF(Y61="Probabilidad",U61,"")),"")</f>
        <v>1</v>
      </c>
      <c r="AK61" s="187" t="str">
        <f t="shared" ca="1" si="41"/>
        <v>Extremo</v>
      </c>
      <c r="AL61" s="603" t="s">
        <v>265</v>
      </c>
      <c r="AM61" s="191" t="s">
        <v>561</v>
      </c>
      <c r="AN61" s="191" t="s">
        <v>562</v>
      </c>
      <c r="AO61" s="190" t="s">
        <v>563</v>
      </c>
      <c r="AP61" s="190" t="s">
        <v>564</v>
      </c>
      <c r="AQ61" s="191" t="s">
        <v>565</v>
      </c>
      <c r="AR61" s="194" t="s">
        <v>262</v>
      </c>
      <c r="AS61" s="604"/>
      <c r="AT61" s="604"/>
      <c r="AU61" s="604"/>
      <c r="AV61" s="604"/>
      <c r="AW61" s="604"/>
      <c r="AX61" s="604"/>
      <c r="AY61" s="604"/>
      <c r="AZ61" s="604"/>
      <c r="BA61" s="604"/>
      <c r="BB61" s="604"/>
      <c r="BC61" s="604"/>
      <c r="BD61" s="604"/>
      <c r="BE61" s="604"/>
      <c r="BF61" s="604"/>
      <c r="BG61" s="604"/>
      <c r="BH61" s="604"/>
      <c r="BI61" s="604"/>
      <c r="BJ61" s="604"/>
      <c r="BK61" s="604"/>
      <c r="BL61" s="604"/>
      <c r="BM61" s="604"/>
      <c r="BN61" s="604"/>
      <c r="BO61" s="604"/>
      <c r="BP61" s="604"/>
      <c r="BQ61" s="604"/>
      <c r="BR61" s="604"/>
      <c r="BS61" s="604"/>
      <c r="BT61" s="604"/>
      <c r="BU61" s="604"/>
      <c r="BV61" s="604"/>
      <c r="BW61" s="604"/>
      <c r="BX61" s="604"/>
    </row>
    <row r="62" spans="1:76" s="605" customFormat="1" ht="105.75" x14ac:dyDescent="0.25">
      <c r="A62" s="252"/>
      <c r="B62" s="246"/>
      <c r="C62" s="251"/>
      <c r="D62" s="251"/>
      <c r="E62" s="253"/>
      <c r="F62" s="254"/>
      <c r="G62" s="254"/>
      <c r="H62" s="255"/>
      <c r="I62" s="249"/>
      <c r="J62" s="249"/>
      <c r="K62" s="249"/>
      <c r="L62" s="249"/>
      <c r="M62" s="253"/>
      <c r="N62" s="251"/>
      <c r="O62" s="256"/>
      <c r="P62" s="610"/>
      <c r="Q62" s="611"/>
      <c r="R62" s="611"/>
      <c r="S62" s="611">
        <f ca="1">IF(NOT(ISERROR(MATCH(R62,_xlfn.ANCHORARRAY(H73),0))),Q75&amp;"Por favor no seleccionar los criterios de impacto",R62)</f>
        <v>0</v>
      </c>
      <c r="T62" s="610"/>
      <c r="U62" s="611"/>
      <c r="V62" s="252"/>
      <c r="W62" s="194">
        <v>2</v>
      </c>
      <c r="X62" s="192" t="s">
        <v>556</v>
      </c>
      <c r="Y62" s="194" t="str">
        <f t="shared" si="36"/>
        <v>Probabilidad</v>
      </c>
      <c r="Z62" s="188" t="s">
        <v>213</v>
      </c>
      <c r="AA62" s="188" t="s">
        <v>219</v>
      </c>
      <c r="AB62" s="185" t="s">
        <v>513</v>
      </c>
      <c r="AC62" s="188" t="s">
        <v>222</v>
      </c>
      <c r="AD62" s="188" t="s">
        <v>227</v>
      </c>
      <c r="AE62" s="188" t="s">
        <v>231</v>
      </c>
      <c r="AF62" s="602">
        <f t="shared" ref="AF62:AF66" si="70">IFERROR(IF(AND(Y61="Probabilidad",Y62="Probabilidad"),(AH61-(+AH61*AB62)),IF(Y62="Probabilidad",(Q61-(+Q61*AB62)),IF(Y62="Impacto",AH61,""))),"")</f>
        <v>0.252</v>
      </c>
      <c r="AG62" s="186" t="str">
        <f t="shared" si="37"/>
        <v>Baja</v>
      </c>
      <c r="AH62" s="185">
        <f t="shared" si="38"/>
        <v>0.252</v>
      </c>
      <c r="AI62" s="186" t="str">
        <f t="shared" ca="1" si="39"/>
        <v>Catastrófico</v>
      </c>
      <c r="AJ62" s="185">
        <f t="shared" ref="AJ62" ca="1" si="71">IFERROR(IF(AND(Y61="Impacto",Y62="Impacto"),(AJ61-(+AJ61*AB62)),IF(Y62="Impacto",(U61-(+U61*AB62)),IF(Y62="Probabilidad",AJ61,""))),"")</f>
        <v>1</v>
      </c>
      <c r="AK62" s="187" t="str">
        <f t="shared" ca="1" si="41"/>
        <v>Extremo</v>
      </c>
      <c r="AL62" s="603" t="s">
        <v>265</v>
      </c>
      <c r="AM62" s="191" t="s">
        <v>566</v>
      </c>
      <c r="AN62" s="191" t="s">
        <v>562</v>
      </c>
      <c r="AO62" s="190" t="s">
        <v>563</v>
      </c>
      <c r="AP62" s="190" t="s">
        <v>564</v>
      </c>
      <c r="AQ62" s="191" t="s">
        <v>567</v>
      </c>
      <c r="AR62" s="194" t="s">
        <v>262</v>
      </c>
      <c r="AS62" s="604"/>
      <c r="AT62" s="604"/>
      <c r="AU62" s="604"/>
      <c r="AV62" s="604"/>
      <c r="AW62" s="604"/>
      <c r="AX62" s="604"/>
      <c r="AY62" s="604"/>
      <c r="AZ62" s="604"/>
      <c r="BA62" s="604"/>
      <c r="BB62" s="604"/>
      <c r="BC62" s="604"/>
      <c r="BD62" s="604"/>
      <c r="BE62" s="604"/>
      <c r="BF62" s="604"/>
      <c r="BG62" s="604"/>
      <c r="BH62" s="604"/>
      <c r="BI62" s="604"/>
      <c r="BJ62" s="604"/>
      <c r="BK62" s="604"/>
      <c r="BL62" s="604"/>
      <c r="BM62" s="604"/>
      <c r="BN62" s="604"/>
      <c r="BO62" s="604"/>
      <c r="BP62" s="604"/>
      <c r="BQ62" s="604"/>
      <c r="BR62" s="604"/>
      <c r="BS62" s="604"/>
      <c r="BT62" s="604"/>
      <c r="BU62" s="604"/>
      <c r="BV62" s="604"/>
      <c r="BW62" s="604"/>
      <c r="BX62" s="604"/>
    </row>
    <row r="63" spans="1:76" s="605" customFormat="1" ht="108" customHeight="1" x14ac:dyDescent="0.25">
      <c r="A63" s="252"/>
      <c r="B63" s="246"/>
      <c r="C63" s="251"/>
      <c r="D63" s="251"/>
      <c r="E63" s="253"/>
      <c r="F63" s="254"/>
      <c r="G63" s="254"/>
      <c r="H63" s="255"/>
      <c r="I63" s="249"/>
      <c r="J63" s="249"/>
      <c r="K63" s="249"/>
      <c r="L63" s="249"/>
      <c r="M63" s="253"/>
      <c r="N63" s="251"/>
      <c r="O63" s="256"/>
      <c r="P63" s="610"/>
      <c r="Q63" s="611"/>
      <c r="R63" s="611"/>
      <c r="S63" s="611">
        <f ca="1">IF(NOT(ISERROR(MATCH(R63,_xlfn.ANCHORARRAY(H74),0))),Q76&amp;"Por favor no seleccionar los criterios de impacto",R63)</f>
        <v>0</v>
      </c>
      <c r="T63" s="610"/>
      <c r="U63" s="611"/>
      <c r="V63" s="252"/>
      <c r="W63" s="194">
        <v>3</v>
      </c>
      <c r="X63" s="192" t="s">
        <v>557</v>
      </c>
      <c r="Y63" s="194" t="str">
        <f t="shared" si="36"/>
        <v>Probabilidad</v>
      </c>
      <c r="Z63" s="188" t="s">
        <v>211</v>
      </c>
      <c r="AA63" s="188" t="s">
        <v>219</v>
      </c>
      <c r="AB63" s="185" t="s">
        <v>490</v>
      </c>
      <c r="AC63" s="188" t="s">
        <v>222</v>
      </c>
      <c r="AD63" s="188" t="s">
        <v>227</v>
      </c>
      <c r="AE63" s="188" t="s">
        <v>231</v>
      </c>
      <c r="AF63" s="602">
        <f t="shared" si="70"/>
        <v>0.1512</v>
      </c>
      <c r="AG63" s="186" t="str">
        <f t="shared" si="37"/>
        <v>Muy Baja</v>
      </c>
      <c r="AH63" s="185">
        <f t="shared" si="38"/>
        <v>0.1512</v>
      </c>
      <c r="AI63" s="186" t="str">
        <f t="shared" ca="1" si="39"/>
        <v>Catastrófico</v>
      </c>
      <c r="AJ63" s="185">
        <f t="shared" ref="AJ63:AJ66" ca="1" si="72">IFERROR(IF(AND(Y62="Impacto",Y63="Impacto"),(AJ62-(+AJ62*AB63)),IF(AND(Y62="Probabilidad",Y63="Impacto"),(AJ61-(+AJ61*AB63)),IF(Y63="Probabilidad",AJ62,""))),"")</f>
        <v>1</v>
      </c>
      <c r="AK63" s="187" t="str">
        <f t="shared" ca="1" si="41"/>
        <v>Extremo</v>
      </c>
      <c r="AL63" s="603" t="s">
        <v>265</v>
      </c>
      <c r="AM63" s="189"/>
      <c r="AN63" s="194"/>
      <c r="AO63" s="190"/>
      <c r="AP63" s="190"/>
      <c r="AQ63" s="191"/>
      <c r="AR63" s="194"/>
      <c r="AS63" s="604"/>
      <c r="AT63" s="604"/>
      <c r="AU63" s="604"/>
      <c r="AV63" s="604"/>
      <c r="AW63" s="604"/>
      <c r="AX63" s="604"/>
      <c r="AY63" s="604"/>
      <c r="AZ63" s="604"/>
      <c r="BA63" s="604"/>
      <c r="BB63" s="604"/>
      <c r="BC63" s="604"/>
      <c r="BD63" s="604"/>
      <c r="BE63" s="604"/>
      <c r="BF63" s="604"/>
      <c r="BG63" s="604"/>
      <c r="BH63" s="604"/>
      <c r="BI63" s="604"/>
      <c r="BJ63" s="604"/>
      <c r="BK63" s="604"/>
      <c r="BL63" s="604"/>
      <c r="BM63" s="604"/>
      <c r="BN63" s="604"/>
      <c r="BO63" s="604"/>
      <c r="BP63" s="604"/>
      <c r="BQ63" s="604"/>
      <c r="BR63" s="604"/>
      <c r="BS63" s="604"/>
      <c r="BT63" s="604"/>
      <c r="BU63" s="604"/>
      <c r="BV63" s="604"/>
      <c r="BW63" s="604"/>
      <c r="BX63" s="604"/>
    </row>
    <row r="64" spans="1:76" s="605" customFormat="1" ht="105.75" x14ac:dyDescent="0.25">
      <c r="A64" s="252"/>
      <c r="B64" s="246"/>
      <c r="C64" s="251"/>
      <c r="D64" s="251"/>
      <c r="E64" s="253"/>
      <c r="F64" s="254"/>
      <c r="G64" s="254"/>
      <c r="H64" s="255"/>
      <c r="I64" s="249"/>
      <c r="J64" s="249"/>
      <c r="K64" s="249"/>
      <c r="L64" s="249"/>
      <c r="M64" s="253"/>
      <c r="N64" s="251"/>
      <c r="O64" s="256"/>
      <c r="P64" s="610"/>
      <c r="Q64" s="611"/>
      <c r="R64" s="611"/>
      <c r="S64" s="611">
        <f ca="1">IF(NOT(ISERROR(MATCH(R64,_xlfn.ANCHORARRAY(H75),0))),Q77&amp;"Por favor no seleccionar los criterios de impacto",R64)</f>
        <v>0</v>
      </c>
      <c r="T64" s="610"/>
      <c r="U64" s="611"/>
      <c r="V64" s="252"/>
      <c r="W64" s="194">
        <v>4</v>
      </c>
      <c r="X64" s="192" t="s">
        <v>558</v>
      </c>
      <c r="Y64" s="194" t="str">
        <f t="shared" si="36"/>
        <v>Probabilidad</v>
      </c>
      <c r="Z64" s="188" t="s">
        <v>213</v>
      </c>
      <c r="AA64" s="188" t="s">
        <v>219</v>
      </c>
      <c r="AB64" s="185" t="s">
        <v>513</v>
      </c>
      <c r="AC64" s="188" t="s">
        <v>222</v>
      </c>
      <c r="AD64" s="188" t="s">
        <v>227</v>
      </c>
      <c r="AE64" s="188" t="s">
        <v>231</v>
      </c>
      <c r="AF64" s="602">
        <f t="shared" si="70"/>
        <v>0.10584</v>
      </c>
      <c r="AG64" s="186" t="str">
        <f t="shared" si="37"/>
        <v>Muy Baja</v>
      </c>
      <c r="AH64" s="185">
        <f t="shared" si="38"/>
        <v>0.10584</v>
      </c>
      <c r="AI64" s="186" t="str">
        <f t="shared" ca="1" si="39"/>
        <v>Catastrófico</v>
      </c>
      <c r="AJ64" s="185">
        <f t="shared" ca="1" si="72"/>
        <v>1</v>
      </c>
      <c r="AK64" s="187" t="str">
        <f t="shared" ca="1" si="41"/>
        <v>Extremo</v>
      </c>
      <c r="AL64" s="603" t="s">
        <v>265</v>
      </c>
      <c r="AM64" s="189"/>
      <c r="AN64" s="194"/>
      <c r="AO64" s="190"/>
      <c r="AP64" s="190"/>
      <c r="AQ64" s="191"/>
      <c r="AR64" s="194"/>
      <c r="AS64" s="604"/>
      <c r="AT64" s="604"/>
      <c r="AU64" s="604"/>
      <c r="AV64" s="604"/>
      <c r="AW64" s="604"/>
      <c r="AX64" s="604"/>
      <c r="AY64" s="604"/>
      <c r="AZ64" s="604"/>
      <c r="BA64" s="604"/>
      <c r="BB64" s="604"/>
      <c r="BC64" s="604"/>
      <c r="BD64" s="604"/>
      <c r="BE64" s="604"/>
      <c r="BF64" s="604"/>
      <c r="BG64" s="604"/>
      <c r="BH64" s="604"/>
      <c r="BI64" s="604"/>
      <c r="BJ64" s="604"/>
      <c r="BK64" s="604"/>
      <c r="BL64" s="604"/>
      <c r="BM64" s="604"/>
      <c r="BN64" s="604"/>
      <c r="BO64" s="604"/>
      <c r="BP64" s="604"/>
      <c r="BQ64" s="604"/>
      <c r="BR64" s="604"/>
      <c r="BS64" s="604"/>
      <c r="BT64" s="604"/>
      <c r="BU64" s="604"/>
      <c r="BV64" s="604"/>
      <c r="BW64" s="604"/>
      <c r="BX64" s="604"/>
    </row>
    <row r="65" spans="1:76" s="605" customFormat="1" ht="105.75" x14ac:dyDescent="0.25">
      <c r="A65" s="252"/>
      <c r="B65" s="246"/>
      <c r="C65" s="251"/>
      <c r="D65" s="251"/>
      <c r="E65" s="253"/>
      <c r="F65" s="254"/>
      <c r="G65" s="254"/>
      <c r="H65" s="255"/>
      <c r="I65" s="249"/>
      <c r="J65" s="249"/>
      <c r="K65" s="249"/>
      <c r="L65" s="249"/>
      <c r="M65" s="253"/>
      <c r="N65" s="251"/>
      <c r="O65" s="256"/>
      <c r="P65" s="610"/>
      <c r="Q65" s="611"/>
      <c r="R65" s="611"/>
      <c r="S65" s="611">
        <f ca="1">IF(NOT(ISERROR(MATCH(R65,_xlfn.ANCHORARRAY(H76),0))),Q78&amp;"Por favor no seleccionar los criterios de impacto",R65)</f>
        <v>0</v>
      </c>
      <c r="T65" s="610"/>
      <c r="U65" s="611"/>
      <c r="V65" s="252"/>
      <c r="W65" s="194">
        <v>5</v>
      </c>
      <c r="X65" s="192" t="s">
        <v>559</v>
      </c>
      <c r="Y65" s="194" t="str">
        <f t="shared" si="36"/>
        <v>Probabilidad</v>
      </c>
      <c r="Z65" s="188" t="s">
        <v>211</v>
      </c>
      <c r="AA65" s="188" t="s">
        <v>217</v>
      </c>
      <c r="AB65" s="185" t="s">
        <v>548</v>
      </c>
      <c r="AC65" s="188" t="s">
        <v>222</v>
      </c>
      <c r="AD65" s="188" t="s">
        <v>227</v>
      </c>
      <c r="AE65" s="188" t="s">
        <v>231</v>
      </c>
      <c r="AF65" s="602">
        <f t="shared" si="70"/>
        <v>5.2920000000000002E-2</v>
      </c>
      <c r="AG65" s="186" t="str">
        <f t="shared" si="37"/>
        <v>Muy Baja</v>
      </c>
      <c r="AH65" s="185">
        <f t="shared" si="38"/>
        <v>5.2920000000000002E-2</v>
      </c>
      <c r="AI65" s="186" t="str">
        <f t="shared" ca="1" si="39"/>
        <v>Catastrófico</v>
      </c>
      <c r="AJ65" s="185">
        <f t="shared" ca="1" si="72"/>
        <v>1</v>
      </c>
      <c r="AK65" s="187" t="str">
        <f t="shared" ca="1" si="41"/>
        <v>Extremo</v>
      </c>
      <c r="AL65" s="603" t="s">
        <v>265</v>
      </c>
      <c r="AM65" s="189"/>
      <c r="AN65" s="194"/>
      <c r="AO65" s="190"/>
      <c r="AP65" s="190"/>
      <c r="AQ65" s="191"/>
      <c r="AR65" s="194"/>
      <c r="AS65" s="604"/>
      <c r="AT65" s="604"/>
      <c r="AU65" s="604"/>
      <c r="AV65" s="604"/>
      <c r="AW65" s="604"/>
      <c r="AX65" s="604"/>
      <c r="AY65" s="604"/>
      <c r="AZ65" s="604"/>
      <c r="BA65" s="604"/>
      <c r="BB65" s="604"/>
      <c r="BC65" s="604"/>
      <c r="BD65" s="604"/>
      <c r="BE65" s="604"/>
      <c r="BF65" s="604"/>
      <c r="BG65" s="604"/>
      <c r="BH65" s="604"/>
      <c r="BI65" s="604"/>
      <c r="BJ65" s="604"/>
      <c r="BK65" s="604"/>
      <c r="BL65" s="604"/>
      <c r="BM65" s="604"/>
      <c r="BN65" s="604"/>
      <c r="BO65" s="604"/>
      <c r="BP65" s="604"/>
      <c r="BQ65" s="604"/>
      <c r="BR65" s="604"/>
      <c r="BS65" s="604"/>
      <c r="BT65" s="604"/>
      <c r="BU65" s="604"/>
      <c r="BV65" s="604"/>
      <c r="BW65" s="604"/>
      <c r="BX65" s="604"/>
    </row>
    <row r="66" spans="1:76" s="605" customFormat="1" ht="105.75" x14ac:dyDescent="0.25">
      <c r="A66" s="252"/>
      <c r="B66" s="247"/>
      <c r="C66" s="239"/>
      <c r="D66" s="239"/>
      <c r="E66" s="253"/>
      <c r="F66" s="254"/>
      <c r="G66" s="254"/>
      <c r="H66" s="255"/>
      <c r="I66" s="250"/>
      <c r="J66" s="250"/>
      <c r="K66" s="250"/>
      <c r="L66" s="250"/>
      <c r="M66" s="253"/>
      <c r="N66" s="239"/>
      <c r="O66" s="256"/>
      <c r="P66" s="610"/>
      <c r="Q66" s="611"/>
      <c r="R66" s="611"/>
      <c r="S66" s="611">
        <f ca="1">IF(NOT(ISERROR(MATCH(R66,_xlfn.ANCHORARRAY(H77),0))),Q79&amp;"Por favor no seleccionar los criterios de impacto",R66)</f>
        <v>0</v>
      </c>
      <c r="T66" s="610"/>
      <c r="U66" s="611"/>
      <c r="V66" s="252"/>
      <c r="W66" s="194">
        <v>6</v>
      </c>
      <c r="X66" s="192" t="s">
        <v>560</v>
      </c>
      <c r="Y66" s="194" t="str">
        <f t="shared" si="36"/>
        <v>Probabilidad</v>
      </c>
      <c r="Z66" s="188" t="s">
        <v>213</v>
      </c>
      <c r="AA66" s="188" t="s">
        <v>217</v>
      </c>
      <c r="AB66" s="185" t="s">
        <v>490</v>
      </c>
      <c r="AC66" s="188" t="s">
        <v>222</v>
      </c>
      <c r="AD66" s="188" t="s">
        <v>227</v>
      </c>
      <c r="AE66" s="188" t="s">
        <v>231</v>
      </c>
      <c r="AF66" s="602">
        <f t="shared" si="70"/>
        <v>3.1752000000000002E-2</v>
      </c>
      <c r="AG66" s="186" t="str">
        <f t="shared" si="37"/>
        <v>Muy Baja</v>
      </c>
      <c r="AH66" s="185">
        <f t="shared" si="38"/>
        <v>3.1752000000000002E-2</v>
      </c>
      <c r="AI66" s="186" t="str">
        <f t="shared" ca="1" si="39"/>
        <v>Catastrófico</v>
      </c>
      <c r="AJ66" s="185">
        <f t="shared" ca="1" si="72"/>
        <v>1</v>
      </c>
      <c r="AK66" s="187" t="str">
        <f t="shared" ca="1" si="41"/>
        <v>Extremo</v>
      </c>
      <c r="AL66" s="603" t="s">
        <v>265</v>
      </c>
      <c r="AM66" s="189"/>
      <c r="AN66" s="194"/>
      <c r="AO66" s="190"/>
      <c r="AP66" s="190"/>
      <c r="AQ66" s="191"/>
      <c r="AR66" s="194"/>
      <c r="AS66" s="604"/>
      <c r="AT66" s="604"/>
      <c r="AU66" s="604"/>
      <c r="AV66" s="604"/>
      <c r="AW66" s="604"/>
      <c r="AX66" s="604"/>
      <c r="AY66" s="604"/>
      <c r="AZ66" s="604"/>
      <c r="BA66" s="604"/>
      <c r="BB66" s="604"/>
      <c r="BC66" s="604"/>
      <c r="BD66" s="604"/>
      <c r="BE66" s="604"/>
      <c r="BF66" s="604"/>
      <c r="BG66" s="604"/>
      <c r="BH66" s="604"/>
      <c r="BI66" s="604"/>
      <c r="BJ66" s="604"/>
      <c r="BK66" s="604"/>
      <c r="BL66" s="604"/>
      <c r="BM66" s="604"/>
      <c r="BN66" s="604"/>
      <c r="BO66" s="604"/>
      <c r="BP66" s="604"/>
      <c r="BQ66" s="604"/>
      <c r="BR66" s="604"/>
      <c r="BS66" s="604"/>
      <c r="BT66" s="604"/>
      <c r="BU66" s="604"/>
      <c r="BV66" s="604"/>
      <c r="BW66" s="604"/>
      <c r="BX66" s="604"/>
    </row>
    <row r="67" spans="1:76" s="605" customFormat="1" ht="121.5" x14ac:dyDescent="0.25">
      <c r="A67" s="252">
        <v>10</v>
      </c>
      <c r="B67" s="245" t="s">
        <v>568</v>
      </c>
      <c r="C67" s="238" t="s">
        <v>270</v>
      </c>
      <c r="D67" s="238" t="s">
        <v>569</v>
      </c>
      <c r="E67" s="253" t="s">
        <v>239</v>
      </c>
      <c r="F67" s="254" t="s">
        <v>570</v>
      </c>
      <c r="G67" s="254" t="s">
        <v>571</v>
      </c>
      <c r="H67" s="255" t="s">
        <v>572</v>
      </c>
      <c r="I67" s="248" t="s">
        <v>480</v>
      </c>
      <c r="J67" s="248" t="s">
        <v>480</v>
      </c>
      <c r="K67" s="248" t="s">
        <v>480</v>
      </c>
      <c r="L67" s="248" t="s">
        <v>480</v>
      </c>
      <c r="M67" s="253" t="s">
        <v>252</v>
      </c>
      <c r="N67" s="238" t="s">
        <v>543</v>
      </c>
      <c r="O67" s="256">
        <v>8640</v>
      </c>
      <c r="P67" s="610" t="str">
        <f>IF(O67&lt;=0,"",IF(O67&lt;=2,"Muy Baja",IF(O67&lt;=24,"Baja",IF(O67&lt;=500,"Media",IF(O67&lt;=5000,"Alta","Muy Alta")))))</f>
        <v>Muy Alta</v>
      </c>
      <c r="Q67" s="611">
        <f>IF(P67="","",IF(P67="Muy Baja",0.2,IF(P67="Baja",0.4,IF(P67="Media",0.6,IF(P67="Alta",0.8,IF(P67="Muy Alta",1,))))))</f>
        <v>1</v>
      </c>
      <c r="R67" s="611" t="s">
        <v>195</v>
      </c>
      <c r="S67" s="611" t="str">
        <f ca="1">IF(NOT(ISERROR(MATCH(R67,'Tabla Impacto'!$B$221:$B$223,0))),'Tabla Impacto'!$F$223&amp;"Por favor no seleccionar los criterios de impacto(Afectación Económica o presupuestal y Pérdida Reputacional)",R67)</f>
        <v xml:space="preserve">Entre 100 y 500 SMLMV </v>
      </c>
      <c r="T67" s="610" t="str">
        <f ca="1">+IF(OR(S67='[1]Tabla Impacto'!$C$11,S67='[1]Tabla Impacto'!$D$11),"Leve",IF(OR(S67='[1]Tabla Impacto'!$C$12,S67='[1]Tabla Impacto'!$D$12),"Menor",IF(OR(S67='[1]Tabla Impacto'!$C$13,S67='[1]Tabla Impacto'!$D$13),"Moderado",IF(OR(S67='[1]Tabla Impacto'!$C$14,S67='[1]Tabla Impacto'!$D$14),"Mayor",IF(OR(S67='[1]Tabla Impacto'!$C$15,S67='[1]Tabla Impacto'!$D$15),"Catastrófico","")))))</f>
        <v>Mayor</v>
      </c>
      <c r="U67" s="611">
        <f t="shared" ref="U67" ca="1" si="73">IF(T67="","",IF(T67="Leve",0.2,IF(T67="Menor",0.4,IF(T67="Moderado",0.6,IF(T67="Mayor",0.8,IF(T67="Catastrófico",1,))))))</f>
        <v>0.8</v>
      </c>
      <c r="V67" s="252" t="str">
        <f t="shared" ref="V67" ca="1" si="74">IF(OR(AND(P67="Muy Baja",T67="Leve"),AND(P67="Muy Baja",T67="Menor"),AND(P67="Baja",T67="Leve")),"Bajo",IF(OR(AND(P67="Muy baja",T67="Moderado"),AND(P67="Baja",T67="Menor"),AND(P67="Baja",T67="Moderado"),AND(P67="Media",T67="Leve"),AND(P67="Media",T67="Menor"),AND(P67="Media",T67="Moderado"),AND(P67="Alta",T67="Leve"),AND(P67="Alta",T67="Menor")),"Moderado",IF(OR(AND(P67="Muy Baja",T67="Mayor"),AND(P67="Baja",T67="Mayor"),AND(P67="Media",T67="Mayor"),AND(P67="Alta",T67="Moderado"),AND(P67="Alta",T67="Mayor"),AND(P67="Muy Alta",T67="Leve"),AND(P67="Muy Alta",T67="Menor"),AND(P67="Muy Alta",T67="Moderado"),AND(P67="Muy Alta",T67="Mayor")),"Alto",IF(OR(AND(P67="Muy Baja",T67="Catastrófico"),AND(P67="Baja",T67="Catastrófico"),AND(P67="Media",T67="Catastrófico"),AND(P67="Alta",T67="Catastrófico"),AND(P67="Muy Alta",T67="Catastrófico")),"Extremo",""))))</f>
        <v>Alto</v>
      </c>
      <c r="W67" s="194">
        <v>1</v>
      </c>
      <c r="X67" s="192" t="s">
        <v>573</v>
      </c>
      <c r="Y67" s="194" t="str">
        <f t="shared" si="36"/>
        <v>Probabilidad</v>
      </c>
      <c r="Z67" s="188" t="s">
        <v>211</v>
      </c>
      <c r="AA67" s="188" t="s">
        <v>217</v>
      </c>
      <c r="AB67" s="185" t="s">
        <v>548</v>
      </c>
      <c r="AC67" s="188" t="s">
        <v>222</v>
      </c>
      <c r="AD67" s="188" t="s">
        <v>227</v>
      </c>
      <c r="AE67" s="188" t="s">
        <v>231</v>
      </c>
      <c r="AF67" s="602">
        <f t="shared" ref="AF67" si="75">IFERROR(IF(Y67="Probabilidad",(Q67-(+Q67*AB67)),IF(Y67="Impacto",Q67,"")),"")</f>
        <v>0.5</v>
      </c>
      <c r="AG67" s="186" t="str">
        <f t="shared" si="37"/>
        <v>Media</v>
      </c>
      <c r="AH67" s="185">
        <f t="shared" si="38"/>
        <v>0.5</v>
      </c>
      <c r="AI67" s="186" t="str">
        <f t="shared" ca="1" si="39"/>
        <v>Mayor</v>
      </c>
      <c r="AJ67" s="185">
        <f t="shared" ref="AJ67" ca="1" si="76">IFERROR(IF(Y67="Impacto",(U67-(+U67*AB67)),IF(Y67="Probabilidad",U67,"")),"")</f>
        <v>0.8</v>
      </c>
      <c r="AK67" s="187" t="str">
        <f t="shared" ca="1" si="41"/>
        <v>Alto</v>
      </c>
      <c r="AL67" s="603" t="s">
        <v>265</v>
      </c>
      <c r="AM67" s="189" t="s">
        <v>575</v>
      </c>
      <c r="AN67" s="191" t="s">
        <v>562</v>
      </c>
      <c r="AO67" s="190" t="s">
        <v>563</v>
      </c>
      <c r="AP67" s="190" t="s">
        <v>576</v>
      </c>
      <c r="AQ67" s="191" t="s">
        <v>577</v>
      </c>
      <c r="AR67" s="194" t="s">
        <v>262</v>
      </c>
      <c r="AS67" s="604"/>
      <c r="AT67" s="604"/>
      <c r="AU67" s="604"/>
      <c r="AV67" s="604"/>
      <c r="AW67" s="604"/>
      <c r="AX67" s="604"/>
      <c r="AY67" s="604"/>
      <c r="AZ67" s="604"/>
      <c r="BA67" s="604"/>
      <c r="BB67" s="604"/>
      <c r="BC67" s="604"/>
      <c r="BD67" s="604"/>
      <c r="BE67" s="604"/>
      <c r="BF67" s="604"/>
      <c r="BG67" s="604"/>
      <c r="BH67" s="604"/>
      <c r="BI67" s="604"/>
      <c r="BJ67" s="604"/>
      <c r="BK67" s="604"/>
      <c r="BL67" s="604"/>
      <c r="BM67" s="604"/>
      <c r="BN67" s="604"/>
      <c r="BO67" s="604"/>
      <c r="BP67" s="604"/>
      <c r="BQ67" s="604"/>
      <c r="BR67" s="604"/>
      <c r="BS67" s="604"/>
      <c r="BT67" s="604"/>
      <c r="BU67" s="604"/>
      <c r="BV67" s="604"/>
      <c r="BW67" s="604"/>
      <c r="BX67" s="604"/>
    </row>
    <row r="68" spans="1:76" s="605" customFormat="1" ht="133.5" customHeight="1" x14ac:dyDescent="0.25">
      <c r="A68" s="252"/>
      <c r="B68" s="246"/>
      <c r="C68" s="251"/>
      <c r="D68" s="246"/>
      <c r="E68" s="253"/>
      <c r="F68" s="254"/>
      <c r="G68" s="254"/>
      <c r="H68" s="255"/>
      <c r="I68" s="249"/>
      <c r="J68" s="249"/>
      <c r="K68" s="249"/>
      <c r="L68" s="249"/>
      <c r="M68" s="253"/>
      <c r="N68" s="251"/>
      <c r="O68" s="256"/>
      <c r="P68" s="610"/>
      <c r="Q68" s="611"/>
      <c r="R68" s="611"/>
      <c r="S68" s="611">
        <f ca="1">IF(NOT(ISERROR(MATCH(R68,_xlfn.ANCHORARRAY(H79),0))),Q81&amp;"Por favor no seleccionar los criterios de impacto",R68)</f>
        <v>0</v>
      </c>
      <c r="T68" s="610"/>
      <c r="U68" s="611"/>
      <c r="V68" s="252"/>
      <c r="W68" s="194">
        <v>2</v>
      </c>
      <c r="X68" s="192" t="s">
        <v>574</v>
      </c>
      <c r="Y68" s="194" t="str">
        <f t="shared" si="36"/>
        <v>Probabilidad</v>
      </c>
      <c r="Z68" s="188" t="s">
        <v>211</v>
      </c>
      <c r="AA68" s="188" t="s">
        <v>217</v>
      </c>
      <c r="AB68" s="185" t="s">
        <v>548</v>
      </c>
      <c r="AC68" s="188" t="s">
        <v>222</v>
      </c>
      <c r="AD68" s="188" t="s">
        <v>227</v>
      </c>
      <c r="AE68" s="188" t="s">
        <v>231</v>
      </c>
      <c r="AF68" s="602">
        <f t="shared" ref="AF68:AF72" si="77">IFERROR(IF(AND(Y67="Probabilidad",Y68="Probabilidad"),(AH67-(+AH67*AB68)),IF(Y68="Probabilidad",(Q67-(+Q67*AB68)),IF(Y68="Impacto",AH67,""))),"")</f>
        <v>0.25</v>
      </c>
      <c r="AG68" s="186" t="str">
        <f t="shared" si="37"/>
        <v>Baja</v>
      </c>
      <c r="AH68" s="185">
        <f t="shared" si="38"/>
        <v>0.25</v>
      </c>
      <c r="AI68" s="186" t="str">
        <f t="shared" ca="1" si="39"/>
        <v>Mayor</v>
      </c>
      <c r="AJ68" s="185">
        <f t="shared" ref="AJ68" ca="1" si="78">IFERROR(IF(AND(Y67="Impacto",Y68="Impacto"),(AJ67-(+AJ67*AB68)),IF(Y68="Impacto",(U67-(+U67*AB68)),IF(Y68="Probabilidad",AJ67,""))),"")</f>
        <v>0.8</v>
      </c>
      <c r="AK68" s="187" t="str">
        <f t="shared" ca="1" si="41"/>
        <v>Alto</v>
      </c>
      <c r="AL68" s="603" t="s">
        <v>265</v>
      </c>
      <c r="AM68" s="189" t="s">
        <v>575</v>
      </c>
      <c r="AN68" s="191" t="s">
        <v>562</v>
      </c>
      <c r="AO68" s="190" t="s">
        <v>563</v>
      </c>
      <c r="AP68" s="190" t="s">
        <v>576</v>
      </c>
      <c r="AQ68" s="191" t="s">
        <v>577</v>
      </c>
      <c r="AR68" s="194" t="s">
        <v>262</v>
      </c>
    </row>
    <row r="69" spans="1:76" s="605" customFormat="1" ht="69" hidden="1" customHeight="1" x14ac:dyDescent="0.25">
      <c r="A69" s="252"/>
      <c r="B69" s="246"/>
      <c r="C69" s="251"/>
      <c r="D69" s="246"/>
      <c r="E69" s="253"/>
      <c r="F69" s="254"/>
      <c r="G69" s="254"/>
      <c r="H69" s="255"/>
      <c r="I69" s="249"/>
      <c r="J69" s="249"/>
      <c r="K69" s="249"/>
      <c r="L69" s="249"/>
      <c r="M69" s="253"/>
      <c r="N69" s="251"/>
      <c r="O69" s="256"/>
      <c r="P69" s="610"/>
      <c r="Q69" s="611"/>
      <c r="R69" s="611"/>
      <c r="S69" s="611">
        <f ca="1">IF(NOT(ISERROR(MATCH(R69,_xlfn.ANCHORARRAY(H80),0))),Q82&amp;"Por favor no seleccionar los criterios de impacto",R69)</f>
        <v>0</v>
      </c>
      <c r="T69" s="610"/>
      <c r="U69" s="611"/>
      <c r="V69" s="252"/>
      <c r="W69" s="194">
        <v>3</v>
      </c>
      <c r="X69" s="192"/>
      <c r="Y69" s="194" t="str">
        <f t="shared" si="36"/>
        <v/>
      </c>
      <c r="Z69" s="188"/>
      <c r="AA69" s="188"/>
      <c r="AB69" s="185" t="str">
        <f t="shared" si="44"/>
        <v/>
      </c>
      <c r="AC69" s="188"/>
      <c r="AD69" s="188"/>
      <c r="AE69" s="188"/>
      <c r="AF69" s="602" t="str">
        <f t="shared" si="77"/>
        <v/>
      </c>
      <c r="AG69" s="186" t="str">
        <f t="shared" si="37"/>
        <v/>
      </c>
      <c r="AH69" s="185" t="str">
        <f t="shared" si="38"/>
        <v/>
      </c>
      <c r="AI69" s="186" t="str">
        <f t="shared" si="39"/>
        <v/>
      </c>
      <c r="AJ69" s="185" t="str">
        <f t="shared" ref="AJ69:AJ72" si="79">IFERROR(IF(AND(Y68="Impacto",Y69="Impacto"),(AJ68-(+AJ68*AB69)),IF(AND(Y68="Probabilidad",Y69="Impacto"),(AJ67-(+AJ67*AB69)),IF(Y69="Probabilidad",AJ68,""))),"")</f>
        <v/>
      </c>
      <c r="AK69" s="187" t="str">
        <f t="shared" si="41"/>
        <v/>
      </c>
      <c r="AL69" s="603"/>
      <c r="AM69" s="189"/>
      <c r="AN69" s="194"/>
      <c r="AO69" s="190"/>
      <c r="AP69" s="190"/>
      <c r="AQ69" s="191"/>
      <c r="AR69" s="194"/>
    </row>
    <row r="70" spans="1:76" s="605" customFormat="1" ht="69" hidden="1" customHeight="1" x14ac:dyDescent="0.25">
      <c r="A70" s="252"/>
      <c r="B70" s="246"/>
      <c r="C70" s="251"/>
      <c r="D70" s="246"/>
      <c r="E70" s="253"/>
      <c r="F70" s="254"/>
      <c r="G70" s="254"/>
      <c r="H70" s="255"/>
      <c r="I70" s="249"/>
      <c r="J70" s="249"/>
      <c r="K70" s="249"/>
      <c r="L70" s="249"/>
      <c r="M70" s="253"/>
      <c r="N70" s="251"/>
      <c r="O70" s="256"/>
      <c r="P70" s="610"/>
      <c r="Q70" s="611"/>
      <c r="R70" s="611"/>
      <c r="S70" s="611">
        <f ca="1">IF(NOT(ISERROR(MATCH(R70,_xlfn.ANCHORARRAY(H81),0))),Q83&amp;"Por favor no seleccionar los criterios de impacto",R70)</f>
        <v>0</v>
      </c>
      <c r="T70" s="610"/>
      <c r="U70" s="611"/>
      <c r="V70" s="252"/>
      <c r="W70" s="194">
        <v>4</v>
      </c>
      <c r="X70" s="192"/>
      <c r="Y70" s="194" t="str">
        <f t="shared" si="36"/>
        <v/>
      </c>
      <c r="Z70" s="188"/>
      <c r="AA70" s="188"/>
      <c r="AB70" s="185" t="str">
        <f t="shared" si="44"/>
        <v/>
      </c>
      <c r="AC70" s="188"/>
      <c r="AD70" s="188"/>
      <c r="AE70" s="188"/>
      <c r="AF70" s="602" t="str">
        <f t="shared" si="77"/>
        <v/>
      </c>
      <c r="AG70" s="186" t="str">
        <f t="shared" si="37"/>
        <v/>
      </c>
      <c r="AH70" s="185" t="str">
        <f t="shared" si="38"/>
        <v/>
      </c>
      <c r="AI70" s="186" t="str">
        <f t="shared" si="39"/>
        <v/>
      </c>
      <c r="AJ70" s="185" t="str">
        <f t="shared" si="79"/>
        <v/>
      </c>
      <c r="AK70" s="187" t="str">
        <f t="shared" si="41"/>
        <v/>
      </c>
      <c r="AL70" s="603"/>
      <c r="AM70" s="189"/>
      <c r="AN70" s="194"/>
      <c r="AO70" s="190"/>
      <c r="AP70" s="190"/>
      <c r="AQ70" s="191"/>
      <c r="AR70" s="194"/>
    </row>
    <row r="71" spans="1:76" s="605" customFormat="1" ht="69" hidden="1" customHeight="1" x14ac:dyDescent="0.25">
      <c r="A71" s="252"/>
      <c r="B71" s="246"/>
      <c r="C71" s="251"/>
      <c r="D71" s="246"/>
      <c r="E71" s="253"/>
      <c r="F71" s="254"/>
      <c r="G71" s="254"/>
      <c r="H71" s="255"/>
      <c r="I71" s="249"/>
      <c r="J71" s="249"/>
      <c r="K71" s="249"/>
      <c r="L71" s="249"/>
      <c r="M71" s="253"/>
      <c r="N71" s="251"/>
      <c r="O71" s="256"/>
      <c r="P71" s="610"/>
      <c r="Q71" s="611"/>
      <c r="R71" s="611"/>
      <c r="S71" s="611">
        <f ca="1">IF(NOT(ISERROR(MATCH(R71,_xlfn.ANCHORARRAY(H82),0))),Q84&amp;"Por favor no seleccionar los criterios de impacto",R71)</f>
        <v>0</v>
      </c>
      <c r="T71" s="610"/>
      <c r="U71" s="611"/>
      <c r="V71" s="252"/>
      <c r="W71" s="194">
        <v>5</v>
      </c>
      <c r="X71" s="192"/>
      <c r="Y71" s="194" t="str">
        <f t="shared" si="36"/>
        <v/>
      </c>
      <c r="Z71" s="188"/>
      <c r="AA71" s="188"/>
      <c r="AB71" s="185" t="str">
        <f t="shared" si="44"/>
        <v/>
      </c>
      <c r="AC71" s="188"/>
      <c r="AD71" s="188"/>
      <c r="AE71" s="188"/>
      <c r="AF71" s="602" t="str">
        <f t="shared" si="77"/>
        <v/>
      </c>
      <c r="AG71" s="186" t="str">
        <f t="shared" si="37"/>
        <v/>
      </c>
      <c r="AH71" s="185" t="str">
        <f t="shared" si="38"/>
        <v/>
      </c>
      <c r="AI71" s="186" t="str">
        <f t="shared" si="39"/>
        <v/>
      </c>
      <c r="AJ71" s="185" t="str">
        <f t="shared" si="79"/>
        <v/>
      </c>
      <c r="AK71" s="187" t="str">
        <f t="shared" si="41"/>
        <v/>
      </c>
      <c r="AL71" s="603"/>
      <c r="AM71" s="189"/>
      <c r="AN71" s="194"/>
      <c r="AO71" s="190"/>
      <c r="AP71" s="190"/>
      <c r="AQ71" s="191"/>
      <c r="AR71" s="194"/>
    </row>
    <row r="72" spans="1:76" s="605" customFormat="1" ht="69" hidden="1" customHeight="1" x14ac:dyDescent="0.25">
      <c r="A72" s="252"/>
      <c r="B72" s="247"/>
      <c r="C72" s="239"/>
      <c r="D72" s="247"/>
      <c r="E72" s="253"/>
      <c r="F72" s="254"/>
      <c r="G72" s="254"/>
      <c r="H72" s="255"/>
      <c r="I72" s="250"/>
      <c r="J72" s="250"/>
      <c r="K72" s="250"/>
      <c r="L72" s="250"/>
      <c r="M72" s="253"/>
      <c r="N72" s="239"/>
      <c r="O72" s="256"/>
      <c r="P72" s="610"/>
      <c r="Q72" s="611"/>
      <c r="R72" s="611"/>
      <c r="S72" s="611">
        <f ca="1">IF(NOT(ISERROR(MATCH(R72,_xlfn.ANCHORARRAY(H83),0))),Q85&amp;"Por favor no seleccionar los criterios de impacto",R72)</f>
        <v>0</v>
      </c>
      <c r="T72" s="610"/>
      <c r="U72" s="611"/>
      <c r="V72" s="252"/>
      <c r="W72" s="194">
        <v>6</v>
      </c>
      <c r="X72" s="192"/>
      <c r="Y72" s="194" t="str">
        <f t="shared" si="36"/>
        <v/>
      </c>
      <c r="Z72" s="188"/>
      <c r="AA72" s="188"/>
      <c r="AB72" s="185" t="str">
        <f t="shared" si="44"/>
        <v/>
      </c>
      <c r="AC72" s="188"/>
      <c r="AD72" s="188"/>
      <c r="AE72" s="188"/>
      <c r="AF72" s="602" t="str">
        <f t="shared" si="77"/>
        <v/>
      </c>
      <c r="AG72" s="186" t="str">
        <f t="shared" si="37"/>
        <v/>
      </c>
      <c r="AH72" s="185" t="str">
        <f t="shared" si="38"/>
        <v/>
      </c>
      <c r="AI72" s="186" t="str">
        <f t="shared" si="39"/>
        <v/>
      </c>
      <c r="AJ72" s="185" t="str">
        <f t="shared" si="79"/>
        <v/>
      </c>
      <c r="AK72" s="187" t="str">
        <f t="shared" si="41"/>
        <v/>
      </c>
      <c r="AL72" s="603"/>
      <c r="AM72" s="189"/>
      <c r="AN72" s="194"/>
      <c r="AO72" s="190"/>
      <c r="AP72" s="190"/>
      <c r="AQ72" s="191"/>
      <c r="AR72" s="194"/>
    </row>
    <row r="73" spans="1:76" s="605" customFormat="1" ht="276" customHeight="1" x14ac:dyDescent="0.25">
      <c r="A73" s="252">
        <v>11</v>
      </c>
      <c r="B73" s="245" t="s">
        <v>580</v>
      </c>
      <c r="C73" s="238" t="s">
        <v>270</v>
      </c>
      <c r="D73" s="238" t="s">
        <v>581</v>
      </c>
      <c r="E73" s="253" t="s">
        <v>243</v>
      </c>
      <c r="F73" s="254" t="s">
        <v>582</v>
      </c>
      <c r="G73" s="254" t="s">
        <v>583</v>
      </c>
      <c r="H73" s="255" t="s">
        <v>584</v>
      </c>
      <c r="I73" s="248" t="s">
        <v>480</v>
      </c>
      <c r="J73" s="248" t="s">
        <v>480</v>
      </c>
      <c r="K73" s="248" t="s">
        <v>480</v>
      </c>
      <c r="L73" s="248" t="s">
        <v>480</v>
      </c>
      <c r="M73" s="253" t="s">
        <v>252</v>
      </c>
      <c r="N73" s="238" t="s">
        <v>543</v>
      </c>
      <c r="O73" s="256">
        <v>12</v>
      </c>
      <c r="P73" s="610" t="str">
        <f>IF(O73&lt;=0,"",IF(O73&lt;=2,"Muy Baja",IF(O73&lt;=24,"Baja",IF(O73&lt;=500,"Media",IF(O73&lt;=5000,"Alta","Muy Alta")))))</f>
        <v>Baja</v>
      </c>
      <c r="Q73" s="611">
        <f>IF(P73="","",IF(P73="Muy Baja",0.2,IF(P73="Baja",0.4,IF(P73="Media",0.6,IF(P73="Alta",0.8,IF(P73="Muy Alta",1,))))))</f>
        <v>0.4</v>
      </c>
      <c r="R73" s="611" t="s">
        <v>195</v>
      </c>
      <c r="S73" s="611" t="str">
        <f ca="1">IF(NOT(ISERROR(MATCH(R73,'Tabla Impacto'!$B$221:$B$223,0))),'Tabla Impacto'!$F$223&amp;"Por favor no seleccionar los criterios de impacto(Afectación Económica o presupuestal y Pérdida Reputacional)",R73)</f>
        <v xml:space="preserve">Entre 100 y 500 SMLMV </v>
      </c>
      <c r="T73" s="610" t="str">
        <f ca="1">+IF(OR(S73='[1]Tabla Impacto'!$C$11,S73='[1]Tabla Impacto'!$D$11),"Leve",IF(OR(S73='[1]Tabla Impacto'!$C$12,S73='[1]Tabla Impacto'!$D$12),"Menor",IF(OR(S73='[1]Tabla Impacto'!$C$13,S73='[1]Tabla Impacto'!$D$13),"Moderado",IF(OR(S73='[1]Tabla Impacto'!$C$14,S73='[1]Tabla Impacto'!$D$14),"Mayor",IF(OR(S73='[1]Tabla Impacto'!$C$15,S73='[1]Tabla Impacto'!$D$15),"Catastrófico","")))))</f>
        <v>Mayor</v>
      </c>
      <c r="U73" s="611">
        <f t="shared" ref="U73" ca="1" si="80">IF(T73="","",IF(T73="Leve",0.2,IF(T73="Menor",0.4,IF(T73="Moderado",0.6,IF(T73="Mayor",0.8,IF(T73="Catastrófico",1,))))))</f>
        <v>0.8</v>
      </c>
      <c r="V73" s="252" t="str">
        <f t="shared" ref="V73" ca="1" si="81">IF(OR(AND(P73="Muy Baja",T73="Leve"),AND(P73="Muy Baja",T73="Menor"),AND(P73="Baja",T73="Leve")),"Bajo",IF(OR(AND(P73="Muy baja",T73="Moderado"),AND(P73="Baja",T73="Menor"),AND(P73="Baja",T73="Moderado"),AND(P73="Media",T73="Leve"),AND(P73="Media",T73="Menor"),AND(P73="Media",T73="Moderado"),AND(P73="Alta",T73="Leve"),AND(P73="Alta",T73="Menor")),"Moderado",IF(OR(AND(P73="Muy Baja",T73="Mayor"),AND(P73="Baja",T73="Mayor"),AND(P73="Media",T73="Mayor"),AND(P73="Alta",T73="Moderado"),AND(P73="Alta",T73="Mayor"),AND(P73="Muy Alta",T73="Leve"),AND(P73="Muy Alta",T73="Menor"),AND(P73="Muy Alta",T73="Moderado"),AND(P73="Muy Alta",T73="Mayor")),"Alto",IF(OR(AND(P73="Muy Baja",T73="Catastrófico"),AND(P73="Baja",T73="Catastrófico"),AND(P73="Media",T73="Catastrófico"),AND(P73="Alta",T73="Catastrófico"),AND(P73="Muy Alta",T73="Catastrófico")),"Extremo",""))))</f>
        <v>Alto</v>
      </c>
      <c r="W73" s="194">
        <v>1</v>
      </c>
      <c r="X73" s="192" t="s">
        <v>585</v>
      </c>
      <c r="Y73" s="194" t="str">
        <f t="shared" si="36"/>
        <v>Probabilidad</v>
      </c>
      <c r="Z73" s="188" t="s">
        <v>211</v>
      </c>
      <c r="AA73" s="188" t="s">
        <v>219</v>
      </c>
      <c r="AB73" s="185" t="s">
        <v>490</v>
      </c>
      <c r="AC73" s="188" t="s">
        <v>222</v>
      </c>
      <c r="AD73" s="188" t="s">
        <v>227</v>
      </c>
      <c r="AE73" s="188" t="s">
        <v>231</v>
      </c>
      <c r="AF73" s="602">
        <f t="shared" ref="AF73" si="82">IFERROR(IF(Y73="Probabilidad",(Q73-(+Q73*AB73)),IF(Y73="Impacto",Q73,"")),"")</f>
        <v>0.24</v>
      </c>
      <c r="AG73" s="186" t="str">
        <f t="shared" si="37"/>
        <v>Baja</v>
      </c>
      <c r="AH73" s="185">
        <f t="shared" si="38"/>
        <v>0.24</v>
      </c>
      <c r="AI73" s="186" t="str">
        <f t="shared" ca="1" si="39"/>
        <v>Mayor</v>
      </c>
      <c r="AJ73" s="185">
        <f t="shared" ref="AJ73" ca="1" si="83">IFERROR(IF(Y73="Impacto",(U73-(+U73*AB73)),IF(Y73="Probabilidad",U73,"")),"")</f>
        <v>0.8</v>
      </c>
      <c r="AK73" s="187" t="str">
        <f t="shared" ca="1" si="41"/>
        <v>Alto</v>
      </c>
      <c r="AL73" s="603" t="s">
        <v>265</v>
      </c>
      <c r="AM73" s="236" t="s">
        <v>578</v>
      </c>
      <c r="AN73" s="238" t="s">
        <v>562</v>
      </c>
      <c r="AO73" s="240" t="s">
        <v>563</v>
      </c>
      <c r="AP73" s="240" t="s">
        <v>564</v>
      </c>
      <c r="AQ73" s="238" t="s">
        <v>579</v>
      </c>
      <c r="AR73" s="245" t="s">
        <v>262</v>
      </c>
    </row>
    <row r="74" spans="1:76" s="605" customFormat="1" ht="164.25" customHeight="1" x14ac:dyDescent="0.25">
      <c r="A74" s="252"/>
      <c r="B74" s="246"/>
      <c r="C74" s="251"/>
      <c r="D74" s="251"/>
      <c r="E74" s="253"/>
      <c r="F74" s="254"/>
      <c r="G74" s="254"/>
      <c r="H74" s="255"/>
      <c r="I74" s="249"/>
      <c r="J74" s="249"/>
      <c r="K74" s="249"/>
      <c r="L74" s="249"/>
      <c r="M74" s="253"/>
      <c r="N74" s="251"/>
      <c r="O74" s="256"/>
      <c r="P74" s="610"/>
      <c r="Q74" s="611"/>
      <c r="R74" s="611"/>
      <c r="S74" s="611">
        <f ca="1">IF(NOT(ISERROR(MATCH(R74,_xlfn.ANCHORARRAY(H85),0))),Q87&amp;"Por favor no seleccionar los criterios de impacto",R74)</f>
        <v>0</v>
      </c>
      <c r="T74" s="610"/>
      <c r="U74" s="611"/>
      <c r="V74" s="252"/>
      <c r="W74" s="194">
        <v>2</v>
      </c>
      <c r="X74" s="192" t="s">
        <v>586</v>
      </c>
      <c r="Y74" s="194" t="str">
        <f t="shared" si="36"/>
        <v>Probabilidad</v>
      </c>
      <c r="Z74" s="188" t="s">
        <v>211</v>
      </c>
      <c r="AA74" s="188" t="s">
        <v>219</v>
      </c>
      <c r="AB74" s="185" t="s">
        <v>490</v>
      </c>
      <c r="AC74" s="188" t="s">
        <v>222</v>
      </c>
      <c r="AD74" s="188" t="s">
        <v>227</v>
      </c>
      <c r="AE74" s="188" t="s">
        <v>231</v>
      </c>
      <c r="AF74" s="602">
        <f t="shared" ref="AF74:AF78" si="84">IFERROR(IF(AND(Y73="Probabilidad",Y74="Probabilidad"),(AH73-(+AH73*AB74)),IF(Y74="Probabilidad",(Q73-(+Q73*AB74)),IF(Y74="Impacto",AH73,""))),"")</f>
        <v>0.14399999999999999</v>
      </c>
      <c r="AG74" s="186" t="str">
        <f t="shared" si="37"/>
        <v>Muy Baja</v>
      </c>
      <c r="AH74" s="185">
        <f t="shared" si="38"/>
        <v>0.14399999999999999</v>
      </c>
      <c r="AI74" s="186" t="str">
        <f t="shared" ca="1" si="39"/>
        <v>Mayor</v>
      </c>
      <c r="AJ74" s="185">
        <f t="shared" ref="AJ74" ca="1" si="85">IFERROR(IF(AND(Y73="Impacto",Y74="Impacto"),(AJ73-(+AJ73*AB74)),IF(Y74="Impacto",(U73-(+U73*AB74)),IF(Y74="Probabilidad",AJ73,""))),"")</f>
        <v>0.8</v>
      </c>
      <c r="AK74" s="187" t="str">
        <f t="shared" ca="1" si="41"/>
        <v>Alto</v>
      </c>
      <c r="AL74" s="603" t="s">
        <v>265</v>
      </c>
      <c r="AM74" s="237"/>
      <c r="AN74" s="239"/>
      <c r="AO74" s="241"/>
      <c r="AP74" s="241"/>
      <c r="AQ74" s="239"/>
      <c r="AR74" s="247"/>
    </row>
    <row r="75" spans="1:76" s="605" customFormat="1" ht="69" hidden="1" customHeight="1" x14ac:dyDescent="0.25">
      <c r="A75" s="252"/>
      <c r="B75" s="246"/>
      <c r="C75" s="251"/>
      <c r="D75" s="251"/>
      <c r="E75" s="253"/>
      <c r="F75" s="254"/>
      <c r="G75" s="254"/>
      <c r="H75" s="255"/>
      <c r="I75" s="249"/>
      <c r="J75" s="249"/>
      <c r="K75" s="249"/>
      <c r="L75" s="249"/>
      <c r="M75" s="253"/>
      <c r="N75" s="251"/>
      <c r="O75" s="256"/>
      <c r="P75" s="610"/>
      <c r="Q75" s="611"/>
      <c r="R75" s="611"/>
      <c r="S75" s="611">
        <f ca="1">IF(NOT(ISERROR(MATCH(R75,_xlfn.ANCHORARRAY(H86),0))),Q88&amp;"Por favor no seleccionar los criterios de impacto",R75)</f>
        <v>0</v>
      </c>
      <c r="T75" s="610"/>
      <c r="U75" s="611"/>
      <c r="V75" s="252"/>
      <c r="W75" s="194">
        <v>3</v>
      </c>
      <c r="X75" s="192"/>
      <c r="Y75" s="194" t="str">
        <f t="shared" si="36"/>
        <v/>
      </c>
      <c r="Z75" s="188"/>
      <c r="AA75" s="188"/>
      <c r="AB75" s="185" t="str">
        <f t="shared" si="44"/>
        <v/>
      </c>
      <c r="AC75" s="188"/>
      <c r="AD75" s="188"/>
      <c r="AE75" s="188"/>
      <c r="AF75" s="602" t="str">
        <f t="shared" si="84"/>
        <v/>
      </c>
      <c r="AG75" s="186" t="str">
        <f t="shared" si="37"/>
        <v/>
      </c>
      <c r="AH75" s="185" t="str">
        <f t="shared" si="38"/>
        <v/>
      </c>
      <c r="AI75" s="186" t="str">
        <f t="shared" si="39"/>
        <v/>
      </c>
      <c r="AJ75" s="185" t="str">
        <f t="shared" ref="AJ75:AJ78" si="86">IFERROR(IF(AND(Y74="Impacto",Y75="Impacto"),(AJ74-(+AJ74*AB75)),IF(AND(Y74="Probabilidad",Y75="Impacto"),(AJ73-(+AJ73*AB75)),IF(Y75="Probabilidad",AJ74,""))),"")</f>
        <v/>
      </c>
      <c r="AK75" s="187" t="str">
        <f t="shared" si="41"/>
        <v/>
      </c>
      <c r="AL75" s="603"/>
      <c r="AM75" s="189"/>
      <c r="AN75" s="194"/>
      <c r="AO75" s="190"/>
      <c r="AP75" s="190"/>
      <c r="AQ75" s="191"/>
      <c r="AR75" s="194"/>
    </row>
    <row r="76" spans="1:76" s="605" customFormat="1" ht="69" hidden="1" customHeight="1" x14ac:dyDescent="0.25">
      <c r="A76" s="252"/>
      <c r="B76" s="246"/>
      <c r="C76" s="251"/>
      <c r="D76" s="251"/>
      <c r="E76" s="253"/>
      <c r="F76" s="254"/>
      <c r="G76" s="254"/>
      <c r="H76" s="255"/>
      <c r="I76" s="249"/>
      <c r="J76" s="249"/>
      <c r="K76" s="249"/>
      <c r="L76" s="249"/>
      <c r="M76" s="253"/>
      <c r="N76" s="251"/>
      <c r="O76" s="256"/>
      <c r="P76" s="610"/>
      <c r="Q76" s="611"/>
      <c r="R76" s="611"/>
      <c r="S76" s="611">
        <f ca="1">IF(NOT(ISERROR(MATCH(R76,_xlfn.ANCHORARRAY(H87),0))),Q89&amp;"Por favor no seleccionar los criterios de impacto",R76)</f>
        <v>0</v>
      </c>
      <c r="T76" s="610"/>
      <c r="U76" s="611"/>
      <c r="V76" s="252"/>
      <c r="W76" s="194">
        <v>4</v>
      </c>
      <c r="X76" s="192"/>
      <c r="Y76" s="194" t="str">
        <f t="shared" si="36"/>
        <v/>
      </c>
      <c r="Z76" s="188"/>
      <c r="AA76" s="188"/>
      <c r="AB76" s="185" t="str">
        <f t="shared" si="44"/>
        <v/>
      </c>
      <c r="AC76" s="188"/>
      <c r="AD76" s="188"/>
      <c r="AE76" s="188"/>
      <c r="AF76" s="602" t="str">
        <f t="shared" si="84"/>
        <v/>
      </c>
      <c r="AG76" s="186" t="str">
        <f t="shared" si="37"/>
        <v/>
      </c>
      <c r="AH76" s="185" t="str">
        <f t="shared" si="38"/>
        <v/>
      </c>
      <c r="AI76" s="186" t="str">
        <f t="shared" si="39"/>
        <v/>
      </c>
      <c r="AJ76" s="185" t="str">
        <f t="shared" si="86"/>
        <v/>
      </c>
      <c r="AK76" s="187" t="str">
        <f t="shared" si="41"/>
        <v/>
      </c>
      <c r="AL76" s="603"/>
      <c r="AM76" s="189"/>
      <c r="AN76" s="194"/>
      <c r="AO76" s="190"/>
      <c r="AP76" s="190"/>
      <c r="AQ76" s="191"/>
      <c r="AR76" s="194"/>
    </row>
    <row r="77" spans="1:76" s="605" customFormat="1" ht="69" hidden="1" customHeight="1" x14ac:dyDescent="0.25">
      <c r="A77" s="252"/>
      <c r="B77" s="246"/>
      <c r="C77" s="251"/>
      <c r="D77" s="251"/>
      <c r="E77" s="253"/>
      <c r="F77" s="254"/>
      <c r="G77" s="254"/>
      <c r="H77" s="255"/>
      <c r="I77" s="249"/>
      <c r="J77" s="249"/>
      <c r="K77" s="249"/>
      <c r="L77" s="249"/>
      <c r="M77" s="253"/>
      <c r="N77" s="251"/>
      <c r="O77" s="256"/>
      <c r="P77" s="610"/>
      <c r="Q77" s="611"/>
      <c r="R77" s="611"/>
      <c r="S77" s="611">
        <f ca="1">IF(NOT(ISERROR(MATCH(R77,_xlfn.ANCHORARRAY(H88),0))),Q90&amp;"Por favor no seleccionar los criterios de impacto",R77)</f>
        <v>0</v>
      </c>
      <c r="T77" s="610"/>
      <c r="U77" s="611"/>
      <c r="V77" s="252"/>
      <c r="W77" s="194">
        <v>5</v>
      </c>
      <c r="X77" s="192"/>
      <c r="Y77" s="194" t="str">
        <f t="shared" si="36"/>
        <v/>
      </c>
      <c r="Z77" s="188"/>
      <c r="AA77" s="188"/>
      <c r="AB77" s="185" t="str">
        <f t="shared" si="44"/>
        <v/>
      </c>
      <c r="AC77" s="188"/>
      <c r="AD77" s="188"/>
      <c r="AE77" s="188"/>
      <c r="AF77" s="602" t="str">
        <f t="shared" si="84"/>
        <v/>
      </c>
      <c r="AG77" s="186" t="str">
        <f t="shared" si="37"/>
        <v/>
      </c>
      <c r="AH77" s="185" t="str">
        <f t="shared" si="38"/>
        <v/>
      </c>
      <c r="AI77" s="186" t="str">
        <f t="shared" si="39"/>
        <v/>
      </c>
      <c r="AJ77" s="185" t="str">
        <f t="shared" si="86"/>
        <v/>
      </c>
      <c r="AK77" s="187" t="str">
        <f t="shared" si="41"/>
        <v/>
      </c>
      <c r="AL77" s="603"/>
      <c r="AM77" s="189"/>
      <c r="AN77" s="194"/>
      <c r="AO77" s="190"/>
      <c r="AP77" s="190"/>
      <c r="AQ77" s="191"/>
      <c r="AR77" s="194"/>
    </row>
    <row r="78" spans="1:76" s="605" customFormat="1" ht="69" hidden="1" customHeight="1" x14ac:dyDescent="0.25">
      <c r="A78" s="252"/>
      <c r="B78" s="247"/>
      <c r="C78" s="239"/>
      <c r="D78" s="239"/>
      <c r="E78" s="253"/>
      <c r="F78" s="254"/>
      <c r="G78" s="254"/>
      <c r="H78" s="255"/>
      <c r="I78" s="250"/>
      <c r="J78" s="250"/>
      <c r="K78" s="250"/>
      <c r="L78" s="250"/>
      <c r="M78" s="253"/>
      <c r="N78" s="239"/>
      <c r="O78" s="256"/>
      <c r="P78" s="610"/>
      <c r="Q78" s="611"/>
      <c r="R78" s="611"/>
      <c r="S78" s="611">
        <f ca="1">IF(NOT(ISERROR(MATCH(R78,_xlfn.ANCHORARRAY(H89),0))),Q91&amp;"Por favor no seleccionar los criterios de impacto",R78)</f>
        <v>0</v>
      </c>
      <c r="T78" s="610"/>
      <c r="U78" s="611"/>
      <c r="V78" s="252"/>
      <c r="W78" s="194">
        <v>6</v>
      </c>
      <c r="X78" s="192"/>
      <c r="Y78" s="194" t="str">
        <f t="shared" si="36"/>
        <v/>
      </c>
      <c r="Z78" s="188"/>
      <c r="AA78" s="188"/>
      <c r="AB78" s="185" t="str">
        <f t="shared" si="44"/>
        <v/>
      </c>
      <c r="AC78" s="188"/>
      <c r="AD78" s="188"/>
      <c r="AE78" s="188"/>
      <c r="AF78" s="602" t="str">
        <f t="shared" si="84"/>
        <v/>
      </c>
      <c r="AG78" s="186" t="str">
        <f t="shared" si="37"/>
        <v/>
      </c>
      <c r="AH78" s="185" t="str">
        <f t="shared" si="38"/>
        <v/>
      </c>
      <c r="AI78" s="186" t="str">
        <f t="shared" si="39"/>
        <v/>
      </c>
      <c r="AJ78" s="185" t="str">
        <f t="shared" si="86"/>
        <v/>
      </c>
      <c r="AK78" s="187" t="str">
        <f t="shared" si="41"/>
        <v/>
      </c>
      <c r="AL78" s="603"/>
      <c r="AM78" s="189"/>
      <c r="AN78" s="194"/>
      <c r="AO78" s="190"/>
      <c r="AP78" s="190"/>
      <c r="AQ78" s="191"/>
      <c r="AR78" s="194"/>
    </row>
    <row r="79" spans="1:76" s="605" customFormat="1" ht="187.5" customHeight="1" x14ac:dyDescent="0.25">
      <c r="A79" s="252">
        <v>12</v>
      </c>
      <c r="B79" s="245" t="s">
        <v>587</v>
      </c>
      <c r="C79" s="238" t="s">
        <v>271</v>
      </c>
      <c r="D79" s="238" t="s">
        <v>588</v>
      </c>
      <c r="E79" s="253" t="s">
        <v>241</v>
      </c>
      <c r="F79" s="254" t="s">
        <v>589</v>
      </c>
      <c r="G79" s="254" t="s">
        <v>590</v>
      </c>
      <c r="H79" s="255" t="s">
        <v>591</v>
      </c>
      <c r="I79" s="248" t="s">
        <v>480</v>
      </c>
      <c r="J79" s="248" t="s">
        <v>480</v>
      </c>
      <c r="K79" s="248" t="s">
        <v>480</v>
      </c>
      <c r="L79" s="248" t="s">
        <v>480</v>
      </c>
      <c r="M79" s="253" t="s">
        <v>242</v>
      </c>
      <c r="N79" s="238"/>
      <c r="O79" s="256">
        <v>340</v>
      </c>
      <c r="P79" s="610" t="str">
        <f>IF(O79&lt;=0,"",IF(O79&lt;=2,"Muy Baja",IF(O79&lt;=24,"Baja",IF(O79&lt;=500,"Media",IF(O79&lt;=5000,"Alta","Muy Alta")))))</f>
        <v>Media</v>
      </c>
      <c r="Q79" s="611">
        <f>IF(P79="","",IF(P79="Muy Baja",0.2,IF(P79="Baja",0.4,IF(P79="Media",0.6,IF(P79="Alta",0.8,IF(P79="Muy Alta",1,))))))</f>
        <v>0.6</v>
      </c>
      <c r="R79" s="611" t="s">
        <v>193</v>
      </c>
      <c r="S79" s="611" t="str">
        <f ca="1">IF(NOT(ISERROR(MATCH(R79,'Tabla Impacto'!$B$221:$B$223,0))),'Tabla Impacto'!$F$223&amp;"Por favor no seleccionar los criterios de impacto(Afectación Económica o presupuestal y Pérdida Reputacional)",R79)</f>
        <v>El riesgo afecta la imagen de la entidad con algunos usuarios de relevancia frente al logro de los objetivos</v>
      </c>
      <c r="T79" s="610" t="str">
        <f ca="1">+IF(OR(S79='[1]Tabla Impacto'!$C$11,S79='[1]Tabla Impacto'!$D$11),"Leve",IF(OR(S79='[1]Tabla Impacto'!$C$12,S79='[1]Tabla Impacto'!$D$12),"Menor",IF(OR(S79='[1]Tabla Impacto'!$C$13,S79='[1]Tabla Impacto'!$D$13),"Moderado",IF(OR(S79='[1]Tabla Impacto'!$C$14,S79='[1]Tabla Impacto'!$D$14),"Mayor",IF(OR(S79='[1]Tabla Impacto'!$C$15,S79='[1]Tabla Impacto'!$D$15),"Catastrófico","")))))</f>
        <v>Moderado</v>
      </c>
      <c r="U79" s="611">
        <f t="shared" ref="U79" ca="1" si="87">IF(T79="","",IF(T79="Leve",0.2,IF(T79="Menor",0.4,IF(T79="Moderado",0.6,IF(T79="Mayor",0.8,IF(T79="Catastrófico",1,))))))</f>
        <v>0.6</v>
      </c>
      <c r="V79" s="252" t="str">
        <f t="shared" ref="V79" ca="1" si="88">IF(OR(AND(P79="Muy Baja",T79="Leve"),AND(P79="Muy Baja",T79="Menor"),AND(P79="Baja",T79="Leve")),"Bajo",IF(OR(AND(P79="Muy baja",T79="Moderado"),AND(P79="Baja",T79="Menor"),AND(P79="Baja",T79="Moderado"),AND(P79="Media",T79="Leve"),AND(P79="Media",T79="Menor"),AND(P79="Media",T79="Moderado"),AND(P79="Alta",T79="Leve"),AND(P79="Alta",T79="Menor")),"Moderado",IF(OR(AND(P79="Muy Baja",T79="Mayor"),AND(P79="Baja",T79="Mayor"),AND(P79="Media",T79="Mayor"),AND(P79="Alta",T79="Moderado"),AND(P79="Alta",T79="Mayor"),AND(P79="Muy Alta",T79="Leve"),AND(P79="Muy Alta",T79="Menor"),AND(P79="Muy Alta",T79="Moderado"),AND(P79="Muy Alta",T79="Mayor")),"Alto",IF(OR(AND(P79="Muy Baja",T79="Catastrófico"),AND(P79="Baja",T79="Catastrófico"),AND(P79="Media",T79="Catastrófico"),AND(P79="Alta",T79="Catastrófico"),AND(P79="Muy Alta",T79="Catastrófico")),"Extremo",""))))</f>
        <v>Moderado</v>
      </c>
      <c r="W79" s="194">
        <v>1</v>
      </c>
      <c r="X79" s="192" t="s">
        <v>592</v>
      </c>
      <c r="Y79" s="194" t="str">
        <f t="shared" si="36"/>
        <v>Probabilidad</v>
      </c>
      <c r="Z79" s="188" t="s">
        <v>211</v>
      </c>
      <c r="AA79" s="188" t="s">
        <v>219</v>
      </c>
      <c r="AB79" s="185" t="s">
        <v>490</v>
      </c>
      <c r="AC79" s="188" t="s">
        <v>222</v>
      </c>
      <c r="AD79" s="188" t="s">
        <v>229</v>
      </c>
      <c r="AE79" s="188" t="s">
        <v>231</v>
      </c>
      <c r="AF79" s="602">
        <f t="shared" ref="AF79" si="89">IFERROR(IF(Y79="Probabilidad",(Q79-(+Q79*AB79)),IF(Y79="Impacto",Q79,"")),"")</f>
        <v>0.36</v>
      </c>
      <c r="AG79" s="186" t="str">
        <f t="shared" si="37"/>
        <v>Baja</v>
      </c>
      <c r="AH79" s="185">
        <f t="shared" si="38"/>
        <v>0.36</v>
      </c>
      <c r="AI79" s="186" t="str">
        <f t="shared" ca="1" si="39"/>
        <v>Moderado</v>
      </c>
      <c r="AJ79" s="185">
        <f t="shared" ref="AJ79" ca="1" si="90">IFERROR(IF(Y79="Impacto",(U79-(+U79*AB79)),IF(Y79="Probabilidad",U79,"")),"")</f>
        <v>0.6</v>
      </c>
      <c r="AK79" s="187" t="str">
        <f t="shared" ca="1" si="41"/>
        <v>Moderado</v>
      </c>
      <c r="AL79" s="603" t="s">
        <v>258</v>
      </c>
      <c r="AM79" s="189"/>
      <c r="AN79" s="194"/>
      <c r="AO79" s="190"/>
      <c r="AP79" s="190"/>
      <c r="AQ79" s="191"/>
      <c r="AR79" s="194"/>
    </row>
    <row r="80" spans="1:76" s="605" customFormat="1" ht="69" hidden="1" customHeight="1" x14ac:dyDescent="0.25">
      <c r="A80" s="252"/>
      <c r="B80" s="246"/>
      <c r="C80" s="251"/>
      <c r="D80" s="251"/>
      <c r="E80" s="253"/>
      <c r="F80" s="254"/>
      <c r="G80" s="254"/>
      <c r="H80" s="255"/>
      <c r="I80" s="249"/>
      <c r="J80" s="249"/>
      <c r="K80" s="249"/>
      <c r="L80" s="249"/>
      <c r="M80" s="253"/>
      <c r="N80" s="251"/>
      <c r="O80" s="256"/>
      <c r="P80" s="610"/>
      <c r="Q80" s="611"/>
      <c r="R80" s="611"/>
      <c r="S80" s="611">
        <f ca="1">IF(NOT(ISERROR(MATCH(R80,_xlfn.ANCHORARRAY(H91),0))),Q93&amp;"Por favor no seleccionar los criterios de impacto",R80)</f>
        <v>0</v>
      </c>
      <c r="T80" s="610"/>
      <c r="U80" s="611"/>
      <c r="V80" s="252"/>
      <c r="W80" s="194">
        <v>2</v>
      </c>
      <c r="X80" s="192"/>
      <c r="Y80" s="194" t="str">
        <f t="shared" si="36"/>
        <v/>
      </c>
      <c r="Z80" s="188"/>
      <c r="AA80" s="188"/>
      <c r="AB80" s="185" t="str">
        <f t="shared" si="44"/>
        <v/>
      </c>
      <c r="AC80" s="188"/>
      <c r="AD80" s="188"/>
      <c r="AE80" s="188"/>
      <c r="AF80" s="602" t="str">
        <f t="shared" ref="AF80:AF84" si="91">IFERROR(IF(AND(Y79="Probabilidad",Y80="Probabilidad"),(AH79-(+AH79*AB80)),IF(Y80="Probabilidad",(Q79-(+Q79*AB80)),IF(Y80="Impacto",AH79,""))),"")</f>
        <v/>
      </c>
      <c r="AG80" s="186" t="str">
        <f t="shared" si="37"/>
        <v/>
      </c>
      <c r="AH80" s="185" t="str">
        <f t="shared" si="38"/>
        <v/>
      </c>
      <c r="AI80" s="186" t="str">
        <f t="shared" si="39"/>
        <v/>
      </c>
      <c r="AJ80" s="185" t="str">
        <f t="shared" ref="AJ80" si="92">IFERROR(IF(AND(Y79="Impacto",Y80="Impacto"),(AJ79-(+AJ79*AB80)),IF(Y80="Impacto",(U79-(+U79*AB80)),IF(Y80="Probabilidad",AJ79,""))),"")</f>
        <v/>
      </c>
      <c r="AK80" s="187" t="str">
        <f t="shared" si="41"/>
        <v/>
      </c>
      <c r="AL80" s="603"/>
      <c r="AM80" s="189"/>
      <c r="AN80" s="194"/>
      <c r="AO80" s="190"/>
      <c r="AP80" s="190"/>
      <c r="AQ80" s="191"/>
      <c r="AR80" s="194"/>
    </row>
    <row r="81" spans="1:44" s="605" customFormat="1" ht="69" hidden="1" customHeight="1" x14ac:dyDescent="0.25">
      <c r="A81" s="252"/>
      <c r="B81" s="246"/>
      <c r="C81" s="251"/>
      <c r="D81" s="251"/>
      <c r="E81" s="253"/>
      <c r="F81" s="254"/>
      <c r="G81" s="254"/>
      <c r="H81" s="255"/>
      <c r="I81" s="249"/>
      <c r="J81" s="249"/>
      <c r="K81" s="249"/>
      <c r="L81" s="249"/>
      <c r="M81" s="253"/>
      <c r="N81" s="251"/>
      <c r="O81" s="256"/>
      <c r="P81" s="610"/>
      <c r="Q81" s="611"/>
      <c r="R81" s="611"/>
      <c r="S81" s="611">
        <f ca="1">IF(NOT(ISERROR(MATCH(R81,_xlfn.ANCHORARRAY(H92),0))),Q94&amp;"Por favor no seleccionar los criterios de impacto",R81)</f>
        <v>0</v>
      </c>
      <c r="T81" s="610"/>
      <c r="U81" s="611"/>
      <c r="V81" s="252"/>
      <c r="W81" s="194">
        <v>3</v>
      </c>
      <c r="X81" s="192"/>
      <c r="Y81" s="194" t="str">
        <f t="shared" si="36"/>
        <v/>
      </c>
      <c r="Z81" s="188"/>
      <c r="AA81" s="188"/>
      <c r="AB81" s="185" t="str">
        <f t="shared" si="44"/>
        <v/>
      </c>
      <c r="AC81" s="188"/>
      <c r="AD81" s="188"/>
      <c r="AE81" s="188"/>
      <c r="AF81" s="602" t="str">
        <f t="shared" si="91"/>
        <v/>
      </c>
      <c r="AG81" s="186" t="str">
        <f t="shared" si="37"/>
        <v/>
      </c>
      <c r="AH81" s="185" t="str">
        <f t="shared" si="38"/>
        <v/>
      </c>
      <c r="AI81" s="186" t="str">
        <f t="shared" si="39"/>
        <v/>
      </c>
      <c r="AJ81" s="185" t="str">
        <f t="shared" ref="AJ81:AJ84" si="93">IFERROR(IF(AND(Y80="Impacto",Y81="Impacto"),(AJ80-(+AJ80*AB81)),IF(AND(Y80="Probabilidad",Y81="Impacto"),(AJ79-(+AJ79*AB81)),IF(Y81="Probabilidad",AJ80,""))),"")</f>
        <v/>
      </c>
      <c r="AK81" s="187" t="str">
        <f t="shared" si="41"/>
        <v/>
      </c>
      <c r="AL81" s="603"/>
      <c r="AM81" s="189"/>
      <c r="AN81" s="194"/>
      <c r="AO81" s="190"/>
      <c r="AP81" s="190"/>
      <c r="AQ81" s="191"/>
      <c r="AR81" s="194"/>
    </row>
    <row r="82" spans="1:44" s="605" customFormat="1" ht="69" hidden="1" customHeight="1" x14ac:dyDescent="0.25">
      <c r="A82" s="252"/>
      <c r="B82" s="246"/>
      <c r="C82" s="251"/>
      <c r="D82" s="251"/>
      <c r="E82" s="253"/>
      <c r="F82" s="254"/>
      <c r="G82" s="254"/>
      <c r="H82" s="255"/>
      <c r="I82" s="249"/>
      <c r="J82" s="249"/>
      <c r="K82" s="249"/>
      <c r="L82" s="249"/>
      <c r="M82" s="253"/>
      <c r="N82" s="251"/>
      <c r="O82" s="256"/>
      <c r="P82" s="610"/>
      <c r="Q82" s="611"/>
      <c r="R82" s="611"/>
      <c r="S82" s="611">
        <f ca="1">IF(NOT(ISERROR(MATCH(R82,_xlfn.ANCHORARRAY(H93),0))),Q95&amp;"Por favor no seleccionar los criterios de impacto",R82)</f>
        <v>0</v>
      </c>
      <c r="T82" s="610"/>
      <c r="U82" s="611"/>
      <c r="V82" s="252"/>
      <c r="W82" s="194">
        <v>4</v>
      </c>
      <c r="X82" s="192"/>
      <c r="Y82" s="194" t="str">
        <f t="shared" si="36"/>
        <v/>
      </c>
      <c r="Z82" s="188"/>
      <c r="AA82" s="188"/>
      <c r="AB82" s="185" t="str">
        <f t="shared" si="44"/>
        <v/>
      </c>
      <c r="AC82" s="188"/>
      <c r="AD82" s="188"/>
      <c r="AE82" s="188"/>
      <c r="AF82" s="602" t="str">
        <f t="shared" si="91"/>
        <v/>
      </c>
      <c r="AG82" s="186" t="str">
        <f t="shared" si="37"/>
        <v/>
      </c>
      <c r="AH82" s="185" t="str">
        <f t="shared" si="38"/>
        <v/>
      </c>
      <c r="AI82" s="186" t="str">
        <f t="shared" si="39"/>
        <v/>
      </c>
      <c r="AJ82" s="185" t="str">
        <f t="shared" si="93"/>
        <v/>
      </c>
      <c r="AK82" s="187" t="str">
        <f t="shared" si="41"/>
        <v/>
      </c>
      <c r="AL82" s="603"/>
      <c r="AM82" s="189"/>
      <c r="AN82" s="194"/>
      <c r="AO82" s="190"/>
      <c r="AP82" s="190"/>
      <c r="AQ82" s="191"/>
      <c r="AR82" s="194"/>
    </row>
    <row r="83" spans="1:44" s="605" customFormat="1" ht="69" hidden="1" customHeight="1" x14ac:dyDescent="0.25">
      <c r="A83" s="252"/>
      <c r="B83" s="246"/>
      <c r="C83" s="251"/>
      <c r="D83" s="251"/>
      <c r="E83" s="253"/>
      <c r="F83" s="254"/>
      <c r="G83" s="254"/>
      <c r="H83" s="255"/>
      <c r="I83" s="249"/>
      <c r="J83" s="249"/>
      <c r="K83" s="249"/>
      <c r="L83" s="249"/>
      <c r="M83" s="253"/>
      <c r="N83" s="251"/>
      <c r="O83" s="256"/>
      <c r="P83" s="610"/>
      <c r="Q83" s="611"/>
      <c r="R83" s="611"/>
      <c r="S83" s="611">
        <f ca="1">IF(NOT(ISERROR(MATCH(R83,_xlfn.ANCHORARRAY(H94),0))),Q96&amp;"Por favor no seleccionar los criterios de impacto",R83)</f>
        <v>0</v>
      </c>
      <c r="T83" s="610"/>
      <c r="U83" s="611"/>
      <c r="V83" s="252"/>
      <c r="W83" s="194">
        <v>5</v>
      </c>
      <c r="X83" s="192"/>
      <c r="Y83" s="194" t="str">
        <f t="shared" si="36"/>
        <v/>
      </c>
      <c r="Z83" s="188"/>
      <c r="AA83" s="188"/>
      <c r="AB83" s="185" t="str">
        <f t="shared" si="44"/>
        <v/>
      </c>
      <c r="AC83" s="188"/>
      <c r="AD83" s="188"/>
      <c r="AE83" s="188"/>
      <c r="AF83" s="602" t="str">
        <f t="shared" si="91"/>
        <v/>
      </c>
      <c r="AG83" s="186" t="str">
        <f t="shared" si="37"/>
        <v/>
      </c>
      <c r="AH83" s="185" t="str">
        <f t="shared" si="38"/>
        <v/>
      </c>
      <c r="AI83" s="186" t="str">
        <f t="shared" si="39"/>
        <v/>
      </c>
      <c r="AJ83" s="185" t="str">
        <f t="shared" si="93"/>
        <v/>
      </c>
      <c r="AK83" s="187" t="str">
        <f t="shared" si="41"/>
        <v/>
      </c>
      <c r="AL83" s="603"/>
      <c r="AM83" s="189"/>
      <c r="AN83" s="194"/>
      <c r="AO83" s="190"/>
      <c r="AP83" s="190"/>
      <c r="AQ83" s="191"/>
      <c r="AR83" s="194"/>
    </row>
    <row r="84" spans="1:44" s="605" customFormat="1" ht="69" hidden="1" customHeight="1" x14ac:dyDescent="0.25">
      <c r="A84" s="252"/>
      <c r="B84" s="247"/>
      <c r="C84" s="239"/>
      <c r="D84" s="239"/>
      <c r="E84" s="253"/>
      <c r="F84" s="254"/>
      <c r="G84" s="254"/>
      <c r="H84" s="255"/>
      <c r="I84" s="250"/>
      <c r="J84" s="250"/>
      <c r="K84" s="250"/>
      <c r="L84" s="250"/>
      <c r="M84" s="253"/>
      <c r="N84" s="239"/>
      <c r="O84" s="256"/>
      <c r="P84" s="610"/>
      <c r="Q84" s="611"/>
      <c r="R84" s="611"/>
      <c r="S84" s="611">
        <f ca="1">IF(NOT(ISERROR(MATCH(R84,_xlfn.ANCHORARRAY(H95),0))),Q97&amp;"Por favor no seleccionar los criterios de impacto",R84)</f>
        <v>0</v>
      </c>
      <c r="T84" s="610"/>
      <c r="U84" s="611"/>
      <c r="V84" s="252"/>
      <c r="W84" s="194">
        <v>6</v>
      </c>
      <c r="X84" s="192"/>
      <c r="Y84" s="194" t="str">
        <f t="shared" si="36"/>
        <v/>
      </c>
      <c r="Z84" s="188"/>
      <c r="AA84" s="188"/>
      <c r="AB84" s="185" t="str">
        <f t="shared" si="44"/>
        <v/>
      </c>
      <c r="AC84" s="188"/>
      <c r="AD84" s="188"/>
      <c r="AE84" s="188"/>
      <c r="AF84" s="602" t="str">
        <f t="shared" si="91"/>
        <v/>
      </c>
      <c r="AG84" s="186" t="str">
        <f t="shared" si="37"/>
        <v/>
      </c>
      <c r="AH84" s="185" t="str">
        <f t="shared" si="38"/>
        <v/>
      </c>
      <c r="AI84" s="186" t="str">
        <f t="shared" si="39"/>
        <v/>
      </c>
      <c r="AJ84" s="185" t="str">
        <f t="shared" si="93"/>
        <v/>
      </c>
      <c r="AK84" s="187" t="str">
        <f t="shared" si="41"/>
        <v/>
      </c>
      <c r="AL84" s="603"/>
      <c r="AM84" s="189"/>
      <c r="AN84" s="194"/>
      <c r="AO84" s="190"/>
      <c r="AP84" s="190"/>
      <c r="AQ84" s="191"/>
      <c r="AR84" s="194"/>
    </row>
    <row r="85" spans="1:44" s="605" customFormat="1" ht="179.25" customHeight="1" x14ac:dyDescent="0.25">
      <c r="A85" s="252">
        <v>13</v>
      </c>
      <c r="B85" s="245" t="s">
        <v>593</v>
      </c>
      <c r="C85" s="238" t="s">
        <v>271</v>
      </c>
      <c r="D85" s="238" t="s">
        <v>588</v>
      </c>
      <c r="E85" s="253" t="s">
        <v>241</v>
      </c>
      <c r="F85" s="254" t="s">
        <v>589</v>
      </c>
      <c r="G85" s="254" t="s">
        <v>594</v>
      </c>
      <c r="H85" s="255" t="s">
        <v>595</v>
      </c>
      <c r="I85" s="248" t="s">
        <v>480</v>
      </c>
      <c r="J85" s="248" t="s">
        <v>480</v>
      </c>
      <c r="K85" s="248" t="s">
        <v>480</v>
      </c>
      <c r="L85" s="248" t="s">
        <v>480</v>
      </c>
      <c r="M85" s="253" t="s">
        <v>242</v>
      </c>
      <c r="N85" s="238"/>
      <c r="O85" s="256">
        <v>340</v>
      </c>
      <c r="P85" s="610" t="str">
        <f>IF(O85&lt;=0,"",IF(O85&lt;=2,"Muy Baja",IF(O85&lt;=24,"Baja",IF(O85&lt;=500,"Media",IF(O85&lt;=5000,"Alta","Muy Alta")))))</f>
        <v>Media</v>
      </c>
      <c r="Q85" s="611">
        <f>IF(P85="","",IF(P85="Muy Baja",0.2,IF(P85="Baja",0.4,IF(P85="Media",0.6,IF(P85="Alta",0.8,IF(P85="Muy Alta",1,))))))</f>
        <v>0.6</v>
      </c>
      <c r="R85" s="611" t="s">
        <v>193</v>
      </c>
      <c r="S85" s="611" t="str">
        <f ca="1">IF(NOT(ISERROR(MATCH(R85,'Tabla Impacto'!$B$221:$B$223,0))),'Tabla Impacto'!$F$223&amp;"Por favor no seleccionar los criterios de impacto(Afectación Económica o presupuestal y Pérdida Reputacional)",R85)</f>
        <v>El riesgo afecta la imagen de la entidad con algunos usuarios de relevancia frente al logro de los objetivos</v>
      </c>
      <c r="T85" s="610" t="str">
        <f ca="1">+IF(OR(S85='[1]Tabla Impacto'!$C$11,S85='[1]Tabla Impacto'!$D$11),"Leve",IF(OR(S85='[1]Tabla Impacto'!$C$12,S85='[1]Tabla Impacto'!$D$12),"Menor",IF(OR(S85='[1]Tabla Impacto'!$C$13,S85='[1]Tabla Impacto'!$D$13),"Moderado",IF(OR(S85='[1]Tabla Impacto'!$C$14,S85='[1]Tabla Impacto'!$D$14),"Mayor",IF(OR(S85='[1]Tabla Impacto'!$C$15,S85='[1]Tabla Impacto'!$D$15),"Catastrófico","")))))</f>
        <v>Moderado</v>
      </c>
      <c r="U85" s="611">
        <f t="shared" ref="U85" ca="1" si="94">IF(T85="","",IF(T85="Leve",0.2,IF(T85="Menor",0.4,IF(T85="Moderado",0.6,IF(T85="Mayor",0.8,IF(T85="Catastrófico",1,))))))</f>
        <v>0.6</v>
      </c>
      <c r="V85" s="252" t="str">
        <f t="shared" ref="V85" ca="1" si="95">IF(OR(AND(P85="Muy Baja",T85="Leve"),AND(P85="Muy Baja",T85="Menor"),AND(P85="Baja",T85="Leve")),"Bajo",IF(OR(AND(P85="Muy baja",T85="Moderado"),AND(P85="Baja",T85="Menor"),AND(P85="Baja",T85="Moderado"),AND(P85="Media",T85="Leve"),AND(P85="Media",T85="Menor"),AND(P85="Media",T85="Moderado"),AND(P85="Alta",T85="Leve"),AND(P85="Alta",T85="Menor")),"Moderado",IF(OR(AND(P85="Muy Baja",T85="Mayor"),AND(P85="Baja",T85="Mayor"),AND(P85="Media",T85="Mayor"),AND(P85="Alta",T85="Moderado"),AND(P85="Alta",T85="Mayor"),AND(P85="Muy Alta",T85="Leve"),AND(P85="Muy Alta",T85="Menor"),AND(P85="Muy Alta",T85="Moderado"),AND(P85="Muy Alta",T85="Mayor")),"Alto",IF(OR(AND(P85="Muy Baja",T85="Catastrófico"),AND(P85="Baja",T85="Catastrófico"),AND(P85="Media",T85="Catastrófico"),AND(P85="Alta",T85="Catastrófico"),AND(P85="Muy Alta",T85="Catastrófico")),"Extremo",""))))</f>
        <v>Moderado</v>
      </c>
      <c r="W85" s="194">
        <v>1</v>
      </c>
      <c r="X85" s="192" t="s">
        <v>592</v>
      </c>
      <c r="Y85" s="194" t="str">
        <f t="shared" ref="Y85:Y96" si="96">IF(OR(Z85="Preventivo",Z85="Detectivo"),"Probabilidad",IF(Z85="Correctivo","Impacto",""))</f>
        <v>Probabilidad</v>
      </c>
      <c r="Z85" s="188" t="s">
        <v>211</v>
      </c>
      <c r="AA85" s="188" t="s">
        <v>219</v>
      </c>
      <c r="AB85" s="185" t="s">
        <v>490</v>
      </c>
      <c r="AC85" s="188" t="s">
        <v>222</v>
      </c>
      <c r="AD85" s="188" t="s">
        <v>229</v>
      </c>
      <c r="AE85" s="188" t="s">
        <v>231</v>
      </c>
      <c r="AF85" s="602">
        <f t="shared" ref="AF85" si="97">IFERROR(IF(Y85="Probabilidad",(Q85-(+Q85*AB85)),IF(Y85="Impacto",Q85,"")),"")</f>
        <v>0.36</v>
      </c>
      <c r="AG85" s="186" t="str">
        <f t="shared" ref="AG85:AG96" si="98">IFERROR(IF(AF85="","",IF(AF85&lt;=0.2,"Muy Baja",IF(AF85&lt;=0.4,"Baja",IF(AF85&lt;=0.6,"Media",IF(AF85&lt;=0.8,"Alta","Muy Alta"))))),"")</f>
        <v>Baja</v>
      </c>
      <c r="AH85" s="185">
        <f t="shared" ref="AH85:AH96" si="99">+AF85</f>
        <v>0.36</v>
      </c>
      <c r="AI85" s="186" t="str">
        <f t="shared" ref="AI85:AI96" ca="1" si="100">IFERROR(IF(AJ85="","",IF(AJ85&lt;=0.2,"Leve",IF(AJ85&lt;=0.4,"Menor",IF(AJ85&lt;=0.6,"Moderado",IF(AJ85&lt;=0.8,"Mayor","Catastrófico"))))),"")</f>
        <v>Moderado</v>
      </c>
      <c r="AJ85" s="185">
        <f t="shared" ref="AJ85" ca="1" si="101">IFERROR(IF(Y85="Impacto",(U85-(+U85*AB85)),IF(Y85="Probabilidad",U85,"")),"")</f>
        <v>0.6</v>
      </c>
      <c r="AK85" s="187" t="str">
        <f t="shared" ref="AK85:AK96" ca="1" si="102">IFERROR(IF(OR(AND(AG85="Muy Baja",AI85="Leve"),AND(AG85="Muy Baja",AI85="Menor"),AND(AG85="Baja",AI85="Leve")),"Bajo",IF(OR(AND(AG85="Muy baja",AI85="Moderado"),AND(AG85="Baja",AI85="Menor"),AND(AG85="Baja",AI85="Moderado"),AND(AG85="Media",AI85="Leve"),AND(AG85="Media",AI85="Menor"),AND(AG85="Media",AI85="Moderado"),AND(AG85="Alta",AI85="Leve"),AND(AG85="Alta",AI85="Menor")),"Moderado",IF(OR(AND(AG85="Muy Baja",AI85="Mayor"),AND(AG85="Baja",AI85="Mayor"),AND(AG85="Media",AI85="Mayor"),AND(AG85="Alta",AI85="Moderado"),AND(AG85="Alta",AI85="Mayor"),AND(AG85="Muy Alta",AI85="Leve"),AND(AG85="Muy Alta",AI85="Menor"),AND(AG85="Muy Alta",AI85="Moderado"),AND(AG85="Muy Alta",AI85="Mayor")),"Alto",IF(OR(AND(AG85="Muy Baja",AI85="Catastrófico"),AND(AG85="Baja",AI85="Catastrófico"),AND(AG85="Media",AI85="Catastrófico"),AND(AG85="Alta",AI85="Catastrófico"),AND(AG85="Muy Alta",AI85="Catastrófico")),"Extremo","")))),"")</f>
        <v>Moderado</v>
      </c>
      <c r="AL85" s="603" t="s">
        <v>258</v>
      </c>
      <c r="AM85" s="189"/>
      <c r="AN85" s="194"/>
      <c r="AO85" s="190"/>
      <c r="AP85" s="190"/>
      <c r="AQ85" s="191"/>
      <c r="AR85" s="194"/>
    </row>
    <row r="86" spans="1:44" s="605" customFormat="1" ht="69" hidden="1" customHeight="1" x14ac:dyDescent="0.25">
      <c r="A86" s="252"/>
      <c r="B86" s="246"/>
      <c r="C86" s="251"/>
      <c r="D86" s="251"/>
      <c r="E86" s="253"/>
      <c r="F86" s="254"/>
      <c r="G86" s="254"/>
      <c r="H86" s="255"/>
      <c r="I86" s="249"/>
      <c r="J86" s="249"/>
      <c r="K86" s="249"/>
      <c r="L86" s="249"/>
      <c r="M86" s="253"/>
      <c r="N86" s="251"/>
      <c r="O86" s="256"/>
      <c r="P86" s="610"/>
      <c r="Q86" s="611"/>
      <c r="R86" s="611"/>
      <c r="S86" s="611">
        <f ca="1">IF(NOT(ISERROR(MATCH(R86,_xlfn.ANCHORARRAY(H97),0))),Q99&amp;"Por favor no seleccionar los criterios de impacto",R86)</f>
        <v>0</v>
      </c>
      <c r="T86" s="610"/>
      <c r="U86" s="611"/>
      <c r="V86" s="252"/>
      <c r="W86" s="194">
        <v>2</v>
      </c>
      <c r="X86" s="192"/>
      <c r="Y86" s="194" t="str">
        <f t="shared" si="96"/>
        <v/>
      </c>
      <c r="Z86" s="188"/>
      <c r="AA86" s="188"/>
      <c r="AB86" s="185" t="str">
        <f t="shared" ref="AB86:AB106" si="103">IF(AND(Z86="Preventivo",AA86="Automático"),"50%",IF(AND(Z86="Preventivo",AA86="Manual"),"40%",IF(AND(Z86="Detectivo",AA86="Automático"),"40%",IF(AND(Z86="Detectivo",AA86="Manual"),"30%",IF(AND(Z86="Correctivo",AA86="Automático"),"35%",IF(AND(Z86="Correctivo",AA86="Manual"),"25%",""))))))</f>
        <v/>
      </c>
      <c r="AC86" s="188"/>
      <c r="AD86" s="188"/>
      <c r="AE86" s="188"/>
      <c r="AF86" s="602" t="str">
        <f t="shared" ref="AF86:AF90" si="104">IFERROR(IF(AND(Y85="Probabilidad",Y86="Probabilidad"),(AH85-(+AH85*AB86)),IF(Y86="Probabilidad",(Q85-(+Q85*AB86)),IF(Y86="Impacto",AH85,""))),"")</f>
        <v/>
      </c>
      <c r="AG86" s="186" t="str">
        <f t="shared" si="98"/>
        <v/>
      </c>
      <c r="AH86" s="185" t="str">
        <f t="shared" si="99"/>
        <v/>
      </c>
      <c r="AI86" s="186" t="str">
        <f t="shared" si="100"/>
        <v/>
      </c>
      <c r="AJ86" s="185" t="str">
        <f t="shared" ref="AJ86" si="105">IFERROR(IF(AND(Y85="Impacto",Y86="Impacto"),(AJ85-(+AJ85*AB86)),IF(Y86="Impacto",(U85-(+U85*AB86)),IF(Y86="Probabilidad",AJ85,""))),"")</f>
        <v/>
      </c>
      <c r="AK86" s="187" t="str">
        <f t="shared" si="102"/>
        <v/>
      </c>
      <c r="AL86" s="603"/>
      <c r="AM86" s="189"/>
      <c r="AN86" s="194"/>
      <c r="AO86" s="190"/>
      <c r="AP86" s="190"/>
      <c r="AQ86" s="191"/>
      <c r="AR86" s="194"/>
    </row>
    <row r="87" spans="1:44" s="605" customFormat="1" ht="69" hidden="1" customHeight="1" x14ac:dyDescent="0.25">
      <c r="A87" s="252"/>
      <c r="B87" s="246"/>
      <c r="C87" s="251"/>
      <c r="D87" s="251"/>
      <c r="E87" s="253"/>
      <c r="F87" s="254"/>
      <c r="G87" s="254"/>
      <c r="H87" s="255"/>
      <c r="I87" s="249"/>
      <c r="J87" s="249"/>
      <c r="K87" s="249"/>
      <c r="L87" s="249"/>
      <c r="M87" s="253"/>
      <c r="N87" s="251"/>
      <c r="O87" s="256"/>
      <c r="P87" s="610"/>
      <c r="Q87" s="611"/>
      <c r="R87" s="611"/>
      <c r="S87" s="611">
        <f ca="1">IF(NOT(ISERROR(MATCH(R87,_xlfn.ANCHORARRAY(H98),0))),Q100&amp;"Por favor no seleccionar los criterios de impacto",R87)</f>
        <v>0</v>
      </c>
      <c r="T87" s="610"/>
      <c r="U87" s="611"/>
      <c r="V87" s="252"/>
      <c r="W87" s="194">
        <v>3</v>
      </c>
      <c r="X87" s="192"/>
      <c r="Y87" s="194" t="str">
        <f t="shared" si="96"/>
        <v/>
      </c>
      <c r="Z87" s="188"/>
      <c r="AA87" s="188"/>
      <c r="AB87" s="185" t="str">
        <f t="shared" si="103"/>
        <v/>
      </c>
      <c r="AC87" s="188"/>
      <c r="AD87" s="188"/>
      <c r="AE87" s="188"/>
      <c r="AF87" s="602" t="str">
        <f t="shared" si="104"/>
        <v/>
      </c>
      <c r="AG87" s="186" t="str">
        <f t="shared" si="98"/>
        <v/>
      </c>
      <c r="AH87" s="185" t="str">
        <f t="shared" si="99"/>
        <v/>
      </c>
      <c r="AI87" s="186" t="str">
        <f t="shared" si="100"/>
        <v/>
      </c>
      <c r="AJ87" s="185" t="str">
        <f t="shared" ref="AJ87:AJ90" si="106">IFERROR(IF(AND(Y86="Impacto",Y87="Impacto"),(AJ86-(+AJ86*AB87)),IF(AND(Y86="Probabilidad",Y87="Impacto"),(AJ85-(+AJ85*AB87)),IF(Y87="Probabilidad",AJ86,""))),"")</f>
        <v/>
      </c>
      <c r="AK87" s="187" t="str">
        <f t="shared" si="102"/>
        <v/>
      </c>
      <c r="AL87" s="603"/>
      <c r="AM87" s="189"/>
      <c r="AN87" s="194"/>
      <c r="AO87" s="190"/>
      <c r="AP87" s="190"/>
      <c r="AQ87" s="191"/>
      <c r="AR87" s="194"/>
    </row>
    <row r="88" spans="1:44" s="605" customFormat="1" ht="69" hidden="1" customHeight="1" x14ac:dyDescent="0.25">
      <c r="A88" s="252"/>
      <c r="B88" s="246"/>
      <c r="C88" s="251"/>
      <c r="D88" s="251"/>
      <c r="E88" s="253"/>
      <c r="F88" s="254"/>
      <c r="G88" s="254"/>
      <c r="H88" s="255"/>
      <c r="I88" s="249"/>
      <c r="J88" s="249"/>
      <c r="K88" s="249"/>
      <c r="L88" s="249"/>
      <c r="M88" s="253"/>
      <c r="N88" s="251"/>
      <c r="O88" s="256"/>
      <c r="P88" s="610"/>
      <c r="Q88" s="611"/>
      <c r="R88" s="611"/>
      <c r="S88" s="611">
        <f ca="1">IF(NOT(ISERROR(MATCH(R88,_xlfn.ANCHORARRAY(H99),0))),Q101&amp;"Por favor no seleccionar los criterios de impacto",R88)</f>
        <v>0</v>
      </c>
      <c r="T88" s="610"/>
      <c r="U88" s="611"/>
      <c r="V88" s="252"/>
      <c r="W88" s="194">
        <v>4</v>
      </c>
      <c r="X88" s="192"/>
      <c r="Y88" s="194" t="str">
        <f t="shared" si="96"/>
        <v/>
      </c>
      <c r="Z88" s="188"/>
      <c r="AA88" s="188"/>
      <c r="AB88" s="185" t="str">
        <f t="shared" si="103"/>
        <v/>
      </c>
      <c r="AC88" s="188"/>
      <c r="AD88" s="188"/>
      <c r="AE88" s="188"/>
      <c r="AF88" s="602" t="str">
        <f t="shared" si="104"/>
        <v/>
      </c>
      <c r="AG88" s="186" t="str">
        <f t="shared" si="98"/>
        <v/>
      </c>
      <c r="AH88" s="185" t="str">
        <f t="shared" si="99"/>
        <v/>
      </c>
      <c r="AI88" s="186" t="str">
        <f t="shared" si="100"/>
        <v/>
      </c>
      <c r="AJ88" s="185" t="str">
        <f t="shared" si="106"/>
        <v/>
      </c>
      <c r="AK88" s="187" t="str">
        <f t="shared" si="102"/>
        <v/>
      </c>
      <c r="AL88" s="603"/>
      <c r="AM88" s="189"/>
      <c r="AN88" s="194"/>
      <c r="AO88" s="190"/>
      <c r="AP88" s="190"/>
      <c r="AQ88" s="191"/>
      <c r="AR88" s="194"/>
    </row>
    <row r="89" spans="1:44" s="605" customFormat="1" ht="69" hidden="1" customHeight="1" x14ac:dyDescent="0.25">
      <c r="A89" s="252"/>
      <c r="B89" s="246"/>
      <c r="C89" s="251"/>
      <c r="D89" s="251"/>
      <c r="E89" s="253"/>
      <c r="F89" s="254"/>
      <c r="G89" s="254"/>
      <c r="H89" s="255"/>
      <c r="I89" s="249"/>
      <c r="J89" s="249"/>
      <c r="K89" s="249"/>
      <c r="L89" s="249"/>
      <c r="M89" s="253"/>
      <c r="N89" s="251"/>
      <c r="O89" s="256"/>
      <c r="P89" s="610"/>
      <c r="Q89" s="611"/>
      <c r="R89" s="611"/>
      <c r="S89" s="611">
        <f ca="1">IF(NOT(ISERROR(MATCH(R89,_xlfn.ANCHORARRAY(H100),0))),Q102&amp;"Por favor no seleccionar los criterios de impacto",R89)</f>
        <v>0</v>
      </c>
      <c r="T89" s="610"/>
      <c r="U89" s="611"/>
      <c r="V89" s="252"/>
      <c r="W89" s="194">
        <v>5</v>
      </c>
      <c r="X89" s="192"/>
      <c r="Y89" s="194" t="str">
        <f t="shared" si="96"/>
        <v/>
      </c>
      <c r="Z89" s="188"/>
      <c r="AA89" s="188"/>
      <c r="AB89" s="185" t="str">
        <f t="shared" si="103"/>
        <v/>
      </c>
      <c r="AC89" s="188"/>
      <c r="AD89" s="188"/>
      <c r="AE89" s="188"/>
      <c r="AF89" s="602" t="str">
        <f t="shared" si="104"/>
        <v/>
      </c>
      <c r="AG89" s="186" t="str">
        <f t="shared" si="98"/>
        <v/>
      </c>
      <c r="AH89" s="185" t="str">
        <f t="shared" si="99"/>
        <v/>
      </c>
      <c r="AI89" s="186" t="str">
        <f t="shared" si="100"/>
        <v/>
      </c>
      <c r="AJ89" s="185" t="str">
        <f t="shared" si="106"/>
        <v/>
      </c>
      <c r="AK89" s="187" t="str">
        <f t="shared" si="102"/>
        <v/>
      </c>
      <c r="AL89" s="603"/>
      <c r="AM89" s="189"/>
      <c r="AN89" s="194"/>
      <c r="AO89" s="190"/>
      <c r="AP89" s="190"/>
      <c r="AQ89" s="191"/>
      <c r="AR89" s="194"/>
    </row>
    <row r="90" spans="1:44" s="605" customFormat="1" ht="69" hidden="1" customHeight="1" x14ac:dyDescent="0.25">
      <c r="A90" s="252"/>
      <c r="B90" s="247"/>
      <c r="C90" s="239"/>
      <c r="D90" s="239"/>
      <c r="E90" s="253"/>
      <c r="F90" s="254"/>
      <c r="G90" s="254"/>
      <c r="H90" s="255"/>
      <c r="I90" s="250"/>
      <c r="J90" s="250"/>
      <c r="K90" s="250"/>
      <c r="L90" s="250"/>
      <c r="M90" s="253"/>
      <c r="N90" s="239"/>
      <c r="O90" s="256"/>
      <c r="P90" s="610"/>
      <c r="Q90" s="611"/>
      <c r="R90" s="611"/>
      <c r="S90" s="611">
        <f ca="1">IF(NOT(ISERROR(MATCH(R90,_xlfn.ANCHORARRAY(H101),0))),Q107&amp;"Por favor no seleccionar los criterios de impacto",R90)</f>
        <v>0</v>
      </c>
      <c r="T90" s="610"/>
      <c r="U90" s="611"/>
      <c r="V90" s="252"/>
      <c r="W90" s="194">
        <v>6</v>
      </c>
      <c r="X90" s="192"/>
      <c r="Y90" s="194" t="str">
        <f t="shared" si="96"/>
        <v/>
      </c>
      <c r="Z90" s="188"/>
      <c r="AA90" s="188"/>
      <c r="AB90" s="185" t="str">
        <f t="shared" si="103"/>
        <v/>
      </c>
      <c r="AC90" s="188"/>
      <c r="AD90" s="188"/>
      <c r="AE90" s="188"/>
      <c r="AF90" s="602" t="str">
        <f t="shared" si="104"/>
        <v/>
      </c>
      <c r="AG90" s="186" t="str">
        <f t="shared" si="98"/>
        <v/>
      </c>
      <c r="AH90" s="185" t="str">
        <f t="shared" si="99"/>
        <v/>
      </c>
      <c r="AI90" s="186" t="str">
        <f t="shared" si="100"/>
        <v/>
      </c>
      <c r="AJ90" s="185" t="str">
        <f t="shared" si="106"/>
        <v/>
      </c>
      <c r="AK90" s="187" t="str">
        <f t="shared" si="102"/>
        <v/>
      </c>
      <c r="AL90" s="603"/>
      <c r="AM90" s="189"/>
      <c r="AN90" s="194"/>
      <c r="AO90" s="190"/>
      <c r="AP90" s="190"/>
      <c r="AQ90" s="191"/>
      <c r="AR90" s="194"/>
    </row>
    <row r="91" spans="1:44" s="605" customFormat="1" ht="174" customHeight="1" x14ac:dyDescent="0.25">
      <c r="A91" s="252">
        <v>14</v>
      </c>
      <c r="B91" s="245" t="s">
        <v>596</v>
      </c>
      <c r="C91" s="238" t="s">
        <v>271</v>
      </c>
      <c r="D91" s="245" t="s">
        <v>597</v>
      </c>
      <c r="E91" s="253" t="s">
        <v>241</v>
      </c>
      <c r="F91" s="254" t="s">
        <v>598</v>
      </c>
      <c r="G91" s="254" t="s">
        <v>599</v>
      </c>
      <c r="H91" s="255" t="s">
        <v>600</v>
      </c>
      <c r="I91" s="248" t="s">
        <v>480</v>
      </c>
      <c r="J91" s="248" t="s">
        <v>480</v>
      </c>
      <c r="K91" s="248" t="s">
        <v>480</v>
      </c>
      <c r="L91" s="248" t="s">
        <v>480</v>
      </c>
      <c r="M91" s="253" t="s">
        <v>242</v>
      </c>
      <c r="N91" s="238"/>
      <c r="O91" s="256">
        <v>50001</v>
      </c>
      <c r="P91" s="610" t="str">
        <f t="shared" ref="P91" si="107">IF(O91&lt;=0,"",IF(O91&lt;=2,"Muy Baja",IF(O91&lt;=24,"Baja",IF(O91&lt;=500,"Media",IF(O91&lt;=5000,"Alta","Muy Alta")))))</f>
        <v>Muy Alta</v>
      </c>
      <c r="Q91" s="611">
        <f t="shared" ref="Q91" si="108">IF(P91="","",IF(P91="Muy Baja",0.2,IF(P91="Baja",0.4,IF(P91="Media",0.6,IF(P91="Alta",0.8,IF(P91="Muy Alta",1,))))))</f>
        <v>1</v>
      </c>
      <c r="R91" s="611" t="s">
        <v>193</v>
      </c>
      <c r="S91" s="611" t="str">
        <f ca="1">IF(NOT(ISERROR(MATCH(R91,'Tabla Impacto'!$B$221:$B$223,0))),'Tabla Impacto'!$F$223&amp;"Por favor no seleccionar los criterios de impacto(Afectación Económica o presupuestal y Pérdida Reputacional)",R91)</f>
        <v>El riesgo afecta la imagen de la entidad con algunos usuarios de relevancia frente al logro de los objetivos</v>
      </c>
      <c r="T91" s="610" t="str">
        <f ca="1">+IF(OR(S91='[1]Tabla Impacto'!$C$11,S91='[1]Tabla Impacto'!$D$11),"Leve",IF(OR(S91='[1]Tabla Impacto'!$C$12,S91='[1]Tabla Impacto'!$D$12),"Menor",IF(OR(S91='[1]Tabla Impacto'!$C$13,S91='[1]Tabla Impacto'!$D$13),"Moderado",IF(OR(S91='[1]Tabla Impacto'!$C$14,S91='[1]Tabla Impacto'!$D$14),"Mayor",IF(OR(S91='[1]Tabla Impacto'!$C$15,S91='[1]Tabla Impacto'!$D$15),"Catastrófico","")))))</f>
        <v>Moderado</v>
      </c>
      <c r="U91" s="611">
        <f t="shared" ref="U91" ca="1" si="109">IF(T91="","",IF(T91="Leve",0.2,IF(T91="Menor",0.4,IF(T91="Moderado",0.6,IF(T91="Mayor",0.8,IF(T91="Catastrófico",1,))))))</f>
        <v>0.6</v>
      </c>
      <c r="V91" s="252" t="str">
        <f t="shared" ref="V91" ca="1" si="110">IF(OR(AND(P91="Muy Baja",T91="Leve"),AND(P91="Muy Baja",T91="Menor"),AND(P91="Baja",T91="Leve")),"Bajo",IF(OR(AND(P91="Muy baja",T91="Moderado"),AND(P91="Baja",T91="Menor"),AND(P91="Baja",T91="Moderado"),AND(P91="Media",T91="Leve"),AND(P91="Media",T91="Menor"),AND(P91="Media",T91="Moderado"),AND(P91="Alta",T91="Leve"),AND(P91="Alta",T91="Menor")),"Moderado",IF(OR(AND(P91="Muy Baja",T91="Mayor"),AND(P91="Baja",T91="Mayor"),AND(P91="Media",T91="Mayor"),AND(P91="Alta",T91="Moderado"),AND(P91="Alta",T91="Mayor"),AND(P91="Muy Alta",T91="Leve"),AND(P91="Muy Alta",T91="Menor"),AND(P91="Muy Alta",T91="Moderado"),AND(P91="Muy Alta",T91="Mayor")),"Alto",IF(OR(AND(P91="Muy Baja",T91="Catastrófico"),AND(P91="Baja",T91="Catastrófico"),AND(P91="Media",T91="Catastrófico"),AND(P91="Alta",T91="Catastrófico"),AND(P91="Muy Alta",T91="Catastrófico")),"Extremo",""))))</f>
        <v>Alto</v>
      </c>
      <c r="W91" s="194">
        <v>1</v>
      </c>
      <c r="X91" s="192" t="s">
        <v>601</v>
      </c>
      <c r="Y91" s="194" t="str">
        <f t="shared" si="96"/>
        <v>Probabilidad</v>
      </c>
      <c r="Z91" s="188" t="s">
        <v>211</v>
      </c>
      <c r="AA91" s="188" t="s">
        <v>219</v>
      </c>
      <c r="AB91" s="185" t="s">
        <v>490</v>
      </c>
      <c r="AC91" s="188" t="s">
        <v>222</v>
      </c>
      <c r="AD91" s="188" t="s">
        <v>227</v>
      </c>
      <c r="AE91" s="188" t="s">
        <v>231</v>
      </c>
      <c r="AF91" s="602">
        <f t="shared" ref="AF91" si="111">IFERROR(IF(Y91="Probabilidad",(Q91-(+Q91*AB91)),IF(Y91="Impacto",Q91,"")),"")</f>
        <v>0.6</v>
      </c>
      <c r="AG91" s="186" t="str">
        <f t="shared" si="98"/>
        <v>Media</v>
      </c>
      <c r="AH91" s="185">
        <f t="shared" si="99"/>
        <v>0.6</v>
      </c>
      <c r="AI91" s="186" t="str">
        <f t="shared" ca="1" si="100"/>
        <v>Moderado</v>
      </c>
      <c r="AJ91" s="185">
        <f t="shared" ref="AJ91" ca="1" si="112">IFERROR(IF(Y91="Impacto",(U91-(+U91*AB91)),IF(Y91="Probabilidad",U91,"")),"")</f>
        <v>0.6</v>
      </c>
      <c r="AK91" s="187" t="str">
        <f t="shared" ca="1" si="102"/>
        <v>Moderado</v>
      </c>
      <c r="AL91" s="603" t="s">
        <v>258</v>
      </c>
      <c r="AM91" s="189"/>
      <c r="AN91" s="194"/>
      <c r="AO91" s="190"/>
      <c r="AP91" s="190"/>
      <c r="AQ91" s="191"/>
      <c r="AR91" s="194"/>
    </row>
    <row r="92" spans="1:44" s="605" customFormat="1" ht="69" hidden="1" customHeight="1" x14ac:dyDescent="0.25">
      <c r="A92" s="252"/>
      <c r="B92" s="246"/>
      <c r="C92" s="251"/>
      <c r="D92" s="246"/>
      <c r="E92" s="253"/>
      <c r="F92" s="254"/>
      <c r="G92" s="254"/>
      <c r="H92" s="255"/>
      <c r="I92" s="249"/>
      <c r="J92" s="249"/>
      <c r="K92" s="249"/>
      <c r="L92" s="249"/>
      <c r="M92" s="253"/>
      <c r="N92" s="251"/>
      <c r="O92" s="256"/>
      <c r="P92" s="610"/>
      <c r="Q92" s="611"/>
      <c r="R92" s="611"/>
      <c r="S92" s="611">
        <f ca="1">IF(NOT(ISERROR(MATCH(R92,_xlfn.ANCHORARRAY(H107),0))),Q109&amp;"Por favor no seleccionar los criterios de impacto",R92)</f>
        <v>0</v>
      </c>
      <c r="T92" s="610"/>
      <c r="U92" s="611"/>
      <c r="V92" s="252"/>
      <c r="W92" s="194">
        <v>2</v>
      </c>
      <c r="X92" s="192"/>
      <c r="Y92" s="194" t="str">
        <f t="shared" si="96"/>
        <v/>
      </c>
      <c r="Z92" s="188"/>
      <c r="AA92" s="188"/>
      <c r="AB92" s="185" t="str">
        <f t="shared" si="103"/>
        <v/>
      </c>
      <c r="AC92" s="188"/>
      <c r="AD92" s="188"/>
      <c r="AE92" s="188"/>
      <c r="AF92" s="602" t="str">
        <f t="shared" ref="AF92:AF96" si="113">IFERROR(IF(AND(Y91="Probabilidad",Y92="Probabilidad"),(AH91-(+AH91*AB92)),IF(Y92="Probabilidad",(Q91-(+Q91*AB92)),IF(Y92="Impacto",AH91,""))),"")</f>
        <v/>
      </c>
      <c r="AG92" s="186" t="str">
        <f t="shared" si="98"/>
        <v/>
      </c>
      <c r="AH92" s="185" t="str">
        <f t="shared" si="99"/>
        <v/>
      </c>
      <c r="AI92" s="186" t="str">
        <f t="shared" si="100"/>
        <v/>
      </c>
      <c r="AJ92" s="185" t="str">
        <f t="shared" ref="AJ92" si="114">IFERROR(IF(AND(Y91="Impacto",Y92="Impacto"),(AJ91-(+AJ91*AB92)),IF(Y92="Impacto",(U91-(+U91*AB92)),IF(Y92="Probabilidad",AJ91,""))),"")</f>
        <v/>
      </c>
      <c r="AK92" s="187" t="str">
        <f t="shared" si="102"/>
        <v/>
      </c>
      <c r="AL92" s="603"/>
      <c r="AM92" s="189"/>
      <c r="AN92" s="194"/>
      <c r="AO92" s="190"/>
      <c r="AP92" s="190"/>
      <c r="AQ92" s="191"/>
      <c r="AR92" s="194"/>
    </row>
    <row r="93" spans="1:44" s="605" customFormat="1" ht="69" hidden="1" customHeight="1" x14ac:dyDescent="0.25">
      <c r="A93" s="252"/>
      <c r="B93" s="246"/>
      <c r="C93" s="251"/>
      <c r="D93" s="246"/>
      <c r="E93" s="253"/>
      <c r="F93" s="254"/>
      <c r="G93" s="254"/>
      <c r="H93" s="255"/>
      <c r="I93" s="249"/>
      <c r="J93" s="249"/>
      <c r="K93" s="249"/>
      <c r="L93" s="249"/>
      <c r="M93" s="253"/>
      <c r="N93" s="251"/>
      <c r="O93" s="256"/>
      <c r="P93" s="610"/>
      <c r="Q93" s="611"/>
      <c r="R93" s="611"/>
      <c r="S93" s="611">
        <f ca="1">IF(NOT(ISERROR(MATCH(R93,_xlfn.ANCHORARRAY(H108),0))),Q110&amp;"Por favor no seleccionar los criterios de impacto",R93)</f>
        <v>0</v>
      </c>
      <c r="T93" s="610"/>
      <c r="U93" s="611"/>
      <c r="V93" s="252"/>
      <c r="W93" s="194">
        <v>3</v>
      </c>
      <c r="X93" s="192"/>
      <c r="Y93" s="194" t="str">
        <f t="shared" si="96"/>
        <v/>
      </c>
      <c r="Z93" s="188"/>
      <c r="AA93" s="188"/>
      <c r="AB93" s="185" t="str">
        <f t="shared" si="103"/>
        <v/>
      </c>
      <c r="AC93" s="188"/>
      <c r="AD93" s="188"/>
      <c r="AE93" s="188"/>
      <c r="AF93" s="602" t="str">
        <f t="shared" si="113"/>
        <v/>
      </c>
      <c r="AG93" s="186" t="str">
        <f t="shared" si="98"/>
        <v/>
      </c>
      <c r="AH93" s="185" t="str">
        <f t="shared" si="99"/>
        <v/>
      </c>
      <c r="AI93" s="186" t="str">
        <f t="shared" si="100"/>
        <v/>
      </c>
      <c r="AJ93" s="185" t="str">
        <f t="shared" ref="AJ93:AJ96" si="115">IFERROR(IF(AND(Y92="Impacto",Y93="Impacto"),(AJ92-(+AJ92*AB93)),IF(AND(Y92="Probabilidad",Y93="Impacto"),(AJ91-(+AJ91*AB93)),IF(Y93="Probabilidad",AJ92,""))),"")</f>
        <v/>
      </c>
      <c r="AK93" s="187" t="str">
        <f t="shared" si="102"/>
        <v/>
      </c>
      <c r="AL93" s="603"/>
      <c r="AM93" s="189"/>
      <c r="AN93" s="194"/>
      <c r="AO93" s="190"/>
      <c r="AP93" s="190"/>
      <c r="AQ93" s="191"/>
      <c r="AR93" s="194"/>
    </row>
    <row r="94" spans="1:44" s="605" customFormat="1" ht="69" hidden="1" customHeight="1" x14ac:dyDescent="0.25">
      <c r="A94" s="252"/>
      <c r="B94" s="246"/>
      <c r="C94" s="251"/>
      <c r="D94" s="246"/>
      <c r="E94" s="253"/>
      <c r="F94" s="254"/>
      <c r="G94" s="254"/>
      <c r="H94" s="255"/>
      <c r="I94" s="249"/>
      <c r="J94" s="249"/>
      <c r="K94" s="249"/>
      <c r="L94" s="249"/>
      <c r="M94" s="253"/>
      <c r="N94" s="251"/>
      <c r="O94" s="256"/>
      <c r="P94" s="610"/>
      <c r="Q94" s="611"/>
      <c r="R94" s="611"/>
      <c r="S94" s="611">
        <f ca="1">IF(NOT(ISERROR(MATCH(R94,_xlfn.ANCHORARRAY(H109),0))),Q111&amp;"Por favor no seleccionar los criterios de impacto",R94)</f>
        <v>0</v>
      </c>
      <c r="T94" s="610"/>
      <c r="U94" s="611"/>
      <c r="V94" s="252"/>
      <c r="W94" s="194">
        <v>4</v>
      </c>
      <c r="X94" s="192"/>
      <c r="Y94" s="194" t="str">
        <f t="shared" si="96"/>
        <v/>
      </c>
      <c r="Z94" s="188"/>
      <c r="AA94" s="188"/>
      <c r="AB94" s="185" t="str">
        <f t="shared" si="103"/>
        <v/>
      </c>
      <c r="AC94" s="188"/>
      <c r="AD94" s="188"/>
      <c r="AE94" s="188"/>
      <c r="AF94" s="602" t="str">
        <f t="shared" si="113"/>
        <v/>
      </c>
      <c r="AG94" s="186" t="str">
        <f t="shared" si="98"/>
        <v/>
      </c>
      <c r="AH94" s="185" t="str">
        <f t="shared" si="99"/>
        <v/>
      </c>
      <c r="AI94" s="186" t="str">
        <f t="shared" si="100"/>
        <v/>
      </c>
      <c r="AJ94" s="185" t="str">
        <f t="shared" si="115"/>
        <v/>
      </c>
      <c r="AK94" s="187" t="str">
        <f t="shared" si="102"/>
        <v/>
      </c>
      <c r="AL94" s="603"/>
      <c r="AM94" s="189"/>
      <c r="AN94" s="194"/>
      <c r="AO94" s="190"/>
      <c r="AP94" s="190"/>
      <c r="AQ94" s="191"/>
      <c r="AR94" s="194"/>
    </row>
    <row r="95" spans="1:44" s="605" customFormat="1" ht="69" hidden="1" customHeight="1" x14ac:dyDescent="0.25">
      <c r="A95" s="252"/>
      <c r="B95" s="246"/>
      <c r="C95" s="251"/>
      <c r="D95" s="246"/>
      <c r="E95" s="253"/>
      <c r="F95" s="254"/>
      <c r="G95" s="254"/>
      <c r="H95" s="255"/>
      <c r="I95" s="249"/>
      <c r="J95" s="249"/>
      <c r="K95" s="249"/>
      <c r="L95" s="249"/>
      <c r="M95" s="253"/>
      <c r="N95" s="251"/>
      <c r="O95" s="256"/>
      <c r="P95" s="610"/>
      <c r="Q95" s="611"/>
      <c r="R95" s="611"/>
      <c r="S95" s="611">
        <f ca="1">IF(NOT(ISERROR(MATCH(R95,_xlfn.ANCHORARRAY(H110),0))),Q112&amp;"Por favor no seleccionar los criterios de impacto",R95)</f>
        <v>0</v>
      </c>
      <c r="T95" s="610"/>
      <c r="U95" s="611"/>
      <c r="V95" s="252"/>
      <c r="W95" s="194">
        <v>5</v>
      </c>
      <c r="X95" s="192"/>
      <c r="Y95" s="194" t="str">
        <f t="shared" si="96"/>
        <v/>
      </c>
      <c r="Z95" s="188"/>
      <c r="AA95" s="188"/>
      <c r="AB95" s="185" t="str">
        <f t="shared" si="103"/>
        <v/>
      </c>
      <c r="AC95" s="188"/>
      <c r="AD95" s="188"/>
      <c r="AE95" s="188"/>
      <c r="AF95" s="602" t="str">
        <f t="shared" si="113"/>
        <v/>
      </c>
      <c r="AG95" s="186" t="str">
        <f t="shared" si="98"/>
        <v/>
      </c>
      <c r="AH95" s="185" t="str">
        <f t="shared" si="99"/>
        <v/>
      </c>
      <c r="AI95" s="186" t="str">
        <f t="shared" si="100"/>
        <v/>
      </c>
      <c r="AJ95" s="185" t="str">
        <f t="shared" si="115"/>
        <v/>
      </c>
      <c r="AK95" s="187" t="str">
        <f t="shared" si="102"/>
        <v/>
      </c>
      <c r="AL95" s="603"/>
      <c r="AM95" s="189"/>
      <c r="AN95" s="194"/>
      <c r="AO95" s="190"/>
      <c r="AP95" s="190"/>
      <c r="AQ95" s="191"/>
      <c r="AR95" s="194"/>
    </row>
    <row r="96" spans="1:44" s="605" customFormat="1" ht="69" hidden="1" customHeight="1" x14ac:dyDescent="0.25">
      <c r="A96" s="252"/>
      <c r="B96" s="247"/>
      <c r="C96" s="239"/>
      <c r="D96" s="247"/>
      <c r="E96" s="253"/>
      <c r="F96" s="254"/>
      <c r="G96" s="254"/>
      <c r="H96" s="255"/>
      <c r="I96" s="250"/>
      <c r="J96" s="250"/>
      <c r="K96" s="250"/>
      <c r="L96" s="250"/>
      <c r="M96" s="253"/>
      <c r="N96" s="239"/>
      <c r="O96" s="256"/>
      <c r="P96" s="610"/>
      <c r="Q96" s="611"/>
      <c r="R96" s="611"/>
      <c r="S96" s="611">
        <f ca="1">IF(NOT(ISERROR(MATCH(R96,_xlfn.ANCHORARRAY(H111),0))),Q113&amp;"Por favor no seleccionar los criterios de impacto",R96)</f>
        <v>0</v>
      </c>
      <c r="T96" s="610"/>
      <c r="U96" s="611"/>
      <c r="V96" s="252"/>
      <c r="W96" s="194">
        <v>6</v>
      </c>
      <c r="X96" s="192"/>
      <c r="Y96" s="194" t="str">
        <f t="shared" si="96"/>
        <v/>
      </c>
      <c r="Z96" s="188"/>
      <c r="AA96" s="188"/>
      <c r="AB96" s="185" t="str">
        <f t="shared" si="103"/>
        <v/>
      </c>
      <c r="AC96" s="188"/>
      <c r="AD96" s="188"/>
      <c r="AE96" s="188"/>
      <c r="AF96" s="602" t="str">
        <f t="shared" si="113"/>
        <v/>
      </c>
      <c r="AG96" s="186" t="str">
        <f t="shared" si="98"/>
        <v/>
      </c>
      <c r="AH96" s="185" t="str">
        <f t="shared" si="99"/>
        <v/>
      </c>
      <c r="AI96" s="186" t="str">
        <f t="shared" si="100"/>
        <v/>
      </c>
      <c r="AJ96" s="185" t="str">
        <f t="shared" si="115"/>
        <v/>
      </c>
      <c r="AK96" s="187" t="str">
        <f t="shared" si="102"/>
        <v/>
      </c>
      <c r="AL96" s="603"/>
      <c r="AM96" s="189"/>
      <c r="AN96" s="194"/>
      <c r="AO96" s="190"/>
      <c r="AP96" s="190"/>
      <c r="AQ96" s="191"/>
      <c r="AR96" s="194"/>
    </row>
    <row r="97" spans="1:44" s="605" customFormat="1" ht="101.25" x14ac:dyDescent="0.25">
      <c r="A97" s="242">
        <v>15</v>
      </c>
      <c r="B97" s="245" t="s">
        <v>612</v>
      </c>
      <c r="C97" s="238" t="s">
        <v>272</v>
      </c>
      <c r="D97" s="238" t="s">
        <v>613</v>
      </c>
      <c r="E97" s="238" t="s">
        <v>239</v>
      </c>
      <c r="F97" s="238" t="s">
        <v>614</v>
      </c>
      <c r="G97" s="238" t="s">
        <v>615</v>
      </c>
      <c r="H97" s="260" t="s">
        <v>616</v>
      </c>
      <c r="I97" s="248" t="s">
        <v>480</v>
      </c>
      <c r="J97" s="248" t="s">
        <v>480</v>
      </c>
      <c r="K97" s="248" t="s">
        <v>480</v>
      </c>
      <c r="L97" s="248" t="s">
        <v>480</v>
      </c>
      <c r="M97" s="238" t="s">
        <v>242</v>
      </c>
      <c r="N97" s="238"/>
      <c r="O97" s="245">
        <v>5000</v>
      </c>
      <c r="P97" s="600" t="str">
        <f t="shared" ref="P97" si="116">IF(O97&lt;=0,"",IF(O97&lt;=2,"Muy Baja",IF(O97&lt;=24,"Baja",IF(O97&lt;=500,"Media",IF(O97&lt;=5000,"Alta","Muy Alta")))))</f>
        <v>Alta</v>
      </c>
      <c r="Q97" s="601">
        <f t="shared" ref="Q97" si="117">IF(P97="","",IF(P97="Muy Baja",0.2,IF(P97="Baja",0.4,IF(P97="Media",0.6,IF(P97="Alta",0.8,IF(P97="Muy Alta",1,))))))</f>
        <v>0.8</v>
      </c>
      <c r="R97" s="601" t="s">
        <v>189</v>
      </c>
      <c r="S97" s="611" t="str">
        <f ca="1">IF(NOT(ISERROR(MATCH(R97,'Tabla Impacto'!$B$221:$B$223,0))),'Tabla Impacto'!$F$223&amp;"Por favor no seleccionar los criterios de impacto(Afectación Económica o presupuestal y Pérdida Reputacional)",R97)</f>
        <v xml:space="preserve">Entre 10 y 50 SMLMV </v>
      </c>
      <c r="T97" s="600" t="str">
        <f ca="1">+IF(OR(S97='[1]Tabla Impacto'!$C$11,S97='[1]Tabla Impacto'!$D$11),"Leve",IF(OR(S97='[1]Tabla Impacto'!$C$12,S97='[1]Tabla Impacto'!$D$12),"Menor",IF(OR(S97='[1]Tabla Impacto'!$C$13,S97='[1]Tabla Impacto'!$D$13),"Moderado",IF(OR(S97='[1]Tabla Impacto'!$C$14,S97='[1]Tabla Impacto'!$D$14),"Mayor",IF(OR(S97='[1]Tabla Impacto'!$C$15,S97='[1]Tabla Impacto'!$D$15),"Catastrófico","")))))</f>
        <v>Menor</v>
      </c>
      <c r="U97" s="601">
        <f t="shared" ref="U97" ca="1" si="118">IF(T97="","",IF(T97="Leve",0.2,IF(T97="Menor",0.4,IF(T97="Moderado",0.6,IF(T97="Mayor",0.8,IF(T97="Catastrófico",1,))))))</f>
        <v>0.4</v>
      </c>
      <c r="V97" s="242" t="str">
        <f t="shared" ref="V97" ca="1" si="119">IF(OR(AND(P97="Muy Baja",T97="Leve"),AND(P97="Muy Baja",T97="Menor"),AND(P97="Baja",T97="Leve")),"Bajo",IF(OR(AND(P97="Muy baja",T97="Moderado"),AND(P97="Baja",T97="Menor"),AND(P97="Baja",T97="Moderado"),AND(P97="Media",T97="Leve"),AND(P97="Media",T97="Menor"),AND(P97="Media",T97="Moderado"),AND(P97="Alta",T97="Leve"),AND(P97="Alta",T97="Menor")),"Moderado",IF(OR(AND(P97="Muy Baja",T97="Mayor"),AND(P97="Baja",T97="Mayor"),AND(P97="Media",T97="Mayor"),AND(P97="Alta",T97="Moderado"),AND(P97="Alta",T97="Mayor"),AND(P97="Muy Alta",T97="Leve"),AND(P97="Muy Alta",T97="Menor"),AND(P97="Muy Alta",T97="Moderado"),AND(P97="Muy Alta",T97="Mayor")),"Alto",IF(OR(AND(P97="Muy Baja",T97="Catastrófico"),AND(P97="Baja",T97="Catastrófico"),AND(P97="Media",T97="Catastrófico"),AND(P97="Alta",T97="Catastrófico"),AND(P97="Muy Alta",T97="Catastrófico")),"Extremo",""))))</f>
        <v>Moderado</v>
      </c>
      <c r="W97" s="194">
        <v>1</v>
      </c>
      <c r="X97" s="195" t="s">
        <v>602</v>
      </c>
      <c r="Y97" s="194" t="str">
        <f t="shared" ref="Y97:Y118" si="120">IF(OR(Z97="Preventivo",Z97="Detectivo"),"Probabilidad",IF(Z97="Correctivo","Impacto",""))</f>
        <v>Probabilidad</v>
      </c>
      <c r="Z97" s="188" t="s">
        <v>213</v>
      </c>
      <c r="AA97" s="188" t="s">
        <v>219</v>
      </c>
      <c r="AB97" s="185" t="str">
        <f t="shared" si="103"/>
        <v>30%</v>
      </c>
      <c r="AC97" s="188" t="s">
        <v>222</v>
      </c>
      <c r="AD97" s="188" t="s">
        <v>227</v>
      </c>
      <c r="AE97" s="188" t="s">
        <v>231</v>
      </c>
      <c r="AF97" s="602">
        <f t="shared" ref="AF97" si="121">IFERROR(IF(Y97="Probabilidad",(Q97-(+Q97*AB97)),IF(Y97="Impacto",Q97,"")),"")</f>
        <v>0.56000000000000005</v>
      </c>
      <c r="AG97" s="186" t="str">
        <f t="shared" ref="AG97:AG118" si="122">IFERROR(IF(AF97="","",IF(AF97&lt;=0.2,"Muy Baja",IF(AF97&lt;=0.4,"Baja",IF(AF97&lt;=0.6,"Media",IF(AF97&lt;=0.8,"Alta","Muy Alta"))))),"")</f>
        <v>Media</v>
      </c>
      <c r="AH97" s="185">
        <f t="shared" ref="AH97:AH118" si="123">+AF97</f>
        <v>0.56000000000000005</v>
      </c>
      <c r="AI97" s="186" t="str">
        <f t="shared" ref="AI97:AI118" ca="1" si="124">IFERROR(IF(AJ97="","",IF(AJ97&lt;=0.2,"Leve",IF(AJ97&lt;=0.4,"Menor",IF(AJ97&lt;=0.6,"Moderado",IF(AJ97&lt;=0.8,"Mayor","Catastrófico"))))),"")</f>
        <v>Menor</v>
      </c>
      <c r="AJ97" s="185">
        <f t="shared" ref="AJ97" ca="1" si="125">IFERROR(IF(Y97="Impacto",(U97-(+U97*AB97)),IF(Y97="Probabilidad",U97,"")),"")</f>
        <v>0.4</v>
      </c>
      <c r="AK97" s="187" t="str">
        <f t="shared" ref="AK97:AK118" ca="1" si="126">IFERROR(IF(OR(AND(AG97="Muy Baja",AI97="Leve"),AND(AG97="Muy Baja",AI97="Menor"),AND(AG97="Baja",AI97="Leve")),"Bajo",IF(OR(AND(AG97="Muy baja",AI97="Moderado"),AND(AG97="Baja",AI97="Menor"),AND(AG97="Baja",AI97="Moderado"),AND(AG97="Media",AI97="Leve"),AND(AG97="Media",AI97="Menor"),AND(AG97="Media",AI97="Moderado"),AND(AG97="Alta",AI97="Leve"),AND(AG97="Alta",AI97="Menor")),"Moderado",IF(OR(AND(AG97="Muy Baja",AI97="Mayor"),AND(AG97="Baja",AI97="Mayor"),AND(AG97="Media",AI97="Mayor"),AND(AG97="Alta",AI97="Moderado"),AND(AG97="Alta",AI97="Mayor"),AND(AG97="Muy Alta",AI97="Leve"),AND(AG97="Muy Alta",AI97="Menor"),AND(AG97="Muy Alta",AI97="Moderado"),AND(AG97="Muy Alta",AI97="Mayor")),"Alto",IF(OR(AND(AG97="Muy Baja",AI97="Catastrófico"),AND(AG97="Baja",AI97="Catastrófico"),AND(AG97="Media",AI97="Catastrófico"),AND(AG97="Alta",AI97="Catastrófico"),AND(AG97="Muy Alta",AI97="Catastrófico")),"Extremo","")))),"")</f>
        <v>Moderado</v>
      </c>
      <c r="AL97" s="603" t="s">
        <v>258</v>
      </c>
      <c r="AM97" s="189"/>
      <c r="AN97" s="194"/>
      <c r="AO97" s="190"/>
      <c r="AP97" s="190"/>
      <c r="AQ97" s="191"/>
      <c r="AR97" s="194"/>
    </row>
    <row r="98" spans="1:44" s="605" customFormat="1" ht="243" x14ac:dyDescent="0.25">
      <c r="A98" s="243"/>
      <c r="B98" s="246"/>
      <c r="C98" s="251"/>
      <c r="D98" s="246"/>
      <c r="E98" s="251"/>
      <c r="F98" s="251"/>
      <c r="G98" s="251"/>
      <c r="H98" s="261"/>
      <c r="I98" s="249"/>
      <c r="J98" s="249"/>
      <c r="K98" s="249"/>
      <c r="L98" s="249"/>
      <c r="M98" s="251"/>
      <c r="N98" s="251"/>
      <c r="O98" s="246"/>
      <c r="P98" s="606"/>
      <c r="Q98" s="607"/>
      <c r="R98" s="607"/>
      <c r="S98" s="611">
        <f ca="1">IF(NOT(ISERROR(MATCH(R98,_xlfn.ANCHORARRAY(H113),0))),Q115&amp;"Por favor no seleccionar los criterios de impacto",R98)</f>
        <v>0</v>
      </c>
      <c r="T98" s="606"/>
      <c r="U98" s="607"/>
      <c r="V98" s="243"/>
      <c r="W98" s="194">
        <v>2</v>
      </c>
      <c r="X98" s="192" t="s">
        <v>603</v>
      </c>
      <c r="Y98" s="194" t="str">
        <f t="shared" si="120"/>
        <v>Probabilidad</v>
      </c>
      <c r="Z98" s="188" t="s">
        <v>211</v>
      </c>
      <c r="AA98" s="188" t="s">
        <v>219</v>
      </c>
      <c r="AB98" s="185" t="str">
        <f t="shared" si="103"/>
        <v>40%</v>
      </c>
      <c r="AC98" s="188" t="s">
        <v>222</v>
      </c>
      <c r="AD98" s="188" t="s">
        <v>229</v>
      </c>
      <c r="AE98" s="188" t="s">
        <v>231</v>
      </c>
      <c r="AF98" s="602">
        <f t="shared" ref="AF98:AF106" si="127">IFERROR(IF(AND(Y97="Probabilidad",Y98="Probabilidad"),(AH97-(+AH97*AB98)),IF(Y98="Probabilidad",(Q97-(+Q97*AB98)),IF(Y98="Impacto",AH97,""))),"")</f>
        <v>0.33600000000000002</v>
      </c>
      <c r="AG98" s="186" t="str">
        <f t="shared" si="122"/>
        <v>Baja</v>
      </c>
      <c r="AH98" s="185">
        <f t="shared" si="123"/>
        <v>0.33600000000000002</v>
      </c>
      <c r="AI98" s="186" t="str">
        <f t="shared" ca="1" si="124"/>
        <v>Menor</v>
      </c>
      <c r="AJ98" s="185">
        <f t="shared" ref="AJ98" ca="1" si="128">IFERROR(IF(AND(Y97="Impacto",Y98="Impacto"),(AJ97-(+AJ97*AB98)),IF(Y98="Impacto",(U97-(+U97*AB98)),IF(Y98="Probabilidad",AJ97,""))),"")</f>
        <v>0.4</v>
      </c>
      <c r="AK98" s="187" t="str">
        <f t="shared" ca="1" si="126"/>
        <v>Moderado</v>
      </c>
      <c r="AL98" s="603" t="s">
        <v>258</v>
      </c>
      <c r="AM98" s="189"/>
      <c r="AN98" s="194"/>
      <c r="AO98" s="190"/>
      <c r="AP98" s="190"/>
      <c r="AQ98" s="191"/>
      <c r="AR98" s="194"/>
    </row>
    <row r="99" spans="1:44" s="605" customFormat="1" ht="121.5" x14ac:dyDescent="0.25">
      <c r="A99" s="243"/>
      <c r="B99" s="246"/>
      <c r="C99" s="251"/>
      <c r="D99" s="246"/>
      <c r="E99" s="251"/>
      <c r="F99" s="251"/>
      <c r="G99" s="251"/>
      <c r="H99" s="261"/>
      <c r="I99" s="249"/>
      <c r="J99" s="249"/>
      <c r="K99" s="249"/>
      <c r="L99" s="249"/>
      <c r="M99" s="251"/>
      <c r="N99" s="251"/>
      <c r="O99" s="246"/>
      <c r="P99" s="606"/>
      <c r="Q99" s="607"/>
      <c r="R99" s="607"/>
      <c r="S99" s="611">
        <f ca="1">IF(NOT(ISERROR(MATCH(R99,_xlfn.ANCHORARRAY(H114),0))),Q116&amp;"Por favor no seleccionar los criterios de impacto",R99)</f>
        <v>0</v>
      </c>
      <c r="T99" s="606"/>
      <c r="U99" s="607"/>
      <c r="V99" s="243"/>
      <c r="W99" s="194">
        <v>3</v>
      </c>
      <c r="X99" s="195" t="s">
        <v>604</v>
      </c>
      <c r="Y99" s="194" t="str">
        <f t="shared" si="120"/>
        <v>Probabilidad</v>
      </c>
      <c r="Z99" s="188" t="s">
        <v>211</v>
      </c>
      <c r="AA99" s="188" t="s">
        <v>219</v>
      </c>
      <c r="AB99" s="185" t="str">
        <f t="shared" si="103"/>
        <v>40%</v>
      </c>
      <c r="AC99" s="188" t="s">
        <v>222</v>
      </c>
      <c r="AD99" s="188" t="s">
        <v>227</v>
      </c>
      <c r="AE99" s="188" t="s">
        <v>231</v>
      </c>
      <c r="AF99" s="602">
        <f t="shared" si="127"/>
        <v>0.2016</v>
      </c>
      <c r="AG99" s="186" t="str">
        <f t="shared" si="122"/>
        <v>Baja</v>
      </c>
      <c r="AH99" s="185">
        <f t="shared" si="123"/>
        <v>0.2016</v>
      </c>
      <c r="AI99" s="186" t="str">
        <f t="shared" ca="1" si="124"/>
        <v>Menor</v>
      </c>
      <c r="AJ99" s="185">
        <f t="shared" ref="AJ99:AJ102" ca="1" si="129">IFERROR(IF(AND(Y98="Impacto",Y99="Impacto"),(AJ98-(+AJ98*AB99)),IF(AND(Y98="Probabilidad",Y99="Impacto"),(AJ97-(+AJ97*AB99)),IF(Y99="Probabilidad",AJ98,""))),"")</f>
        <v>0.4</v>
      </c>
      <c r="AK99" s="187" t="str">
        <f t="shared" ca="1" si="126"/>
        <v>Moderado</v>
      </c>
      <c r="AL99" s="603" t="s">
        <v>258</v>
      </c>
      <c r="AM99" s="189"/>
      <c r="AN99" s="194"/>
      <c r="AO99" s="190"/>
      <c r="AP99" s="190"/>
      <c r="AQ99" s="191"/>
      <c r="AR99" s="194"/>
    </row>
    <row r="100" spans="1:44" s="605" customFormat="1" ht="198" customHeight="1" x14ac:dyDescent="0.25">
      <c r="A100" s="243"/>
      <c r="B100" s="246"/>
      <c r="C100" s="251"/>
      <c r="D100" s="246"/>
      <c r="E100" s="251"/>
      <c r="F100" s="251"/>
      <c r="G100" s="251"/>
      <c r="H100" s="261"/>
      <c r="I100" s="249"/>
      <c r="J100" s="249"/>
      <c r="K100" s="249"/>
      <c r="L100" s="249"/>
      <c r="M100" s="251"/>
      <c r="N100" s="251"/>
      <c r="O100" s="246"/>
      <c r="P100" s="606"/>
      <c r="Q100" s="607"/>
      <c r="R100" s="607"/>
      <c r="S100" s="611">
        <f ca="1">IF(NOT(ISERROR(MATCH(R100,_xlfn.ANCHORARRAY(H115),0))),Q117&amp;"Por favor no seleccionar los criterios de impacto",R100)</f>
        <v>0</v>
      </c>
      <c r="T100" s="606"/>
      <c r="U100" s="607"/>
      <c r="V100" s="243"/>
      <c r="W100" s="194">
        <v>4</v>
      </c>
      <c r="X100" s="192" t="s">
        <v>605</v>
      </c>
      <c r="Y100" s="194" t="str">
        <f t="shared" si="120"/>
        <v>Probabilidad</v>
      </c>
      <c r="Z100" s="188" t="s">
        <v>211</v>
      </c>
      <c r="AA100" s="188" t="s">
        <v>219</v>
      </c>
      <c r="AB100" s="185" t="str">
        <f t="shared" si="103"/>
        <v>40%</v>
      </c>
      <c r="AC100" s="188" t="s">
        <v>222</v>
      </c>
      <c r="AD100" s="188" t="s">
        <v>227</v>
      </c>
      <c r="AE100" s="188" t="s">
        <v>231</v>
      </c>
      <c r="AF100" s="602">
        <f t="shared" si="127"/>
        <v>0.12096</v>
      </c>
      <c r="AG100" s="186" t="str">
        <f t="shared" si="122"/>
        <v>Muy Baja</v>
      </c>
      <c r="AH100" s="185">
        <f t="shared" si="123"/>
        <v>0.12096</v>
      </c>
      <c r="AI100" s="186" t="str">
        <f t="shared" ca="1" si="124"/>
        <v>Menor</v>
      </c>
      <c r="AJ100" s="185">
        <f t="shared" ca="1" si="129"/>
        <v>0.4</v>
      </c>
      <c r="AK100" s="187" t="str">
        <f t="shared" ca="1" si="126"/>
        <v>Bajo</v>
      </c>
      <c r="AL100" s="603" t="s">
        <v>258</v>
      </c>
      <c r="AM100" s="189"/>
      <c r="AN100" s="194"/>
      <c r="AO100" s="190"/>
      <c r="AP100" s="190"/>
      <c r="AQ100" s="191"/>
      <c r="AR100" s="194"/>
    </row>
    <row r="101" spans="1:44" s="605" customFormat="1" ht="177.75" customHeight="1" x14ac:dyDescent="0.25">
      <c r="A101" s="243"/>
      <c r="B101" s="246"/>
      <c r="C101" s="251"/>
      <c r="D101" s="246"/>
      <c r="E101" s="251"/>
      <c r="F101" s="251"/>
      <c r="G101" s="251"/>
      <c r="H101" s="261"/>
      <c r="I101" s="249"/>
      <c r="J101" s="249"/>
      <c r="K101" s="249"/>
      <c r="L101" s="249"/>
      <c r="M101" s="251"/>
      <c r="N101" s="251"/>
      <c r="O101" s="246"/>
      <c r="P101" s="606"/>
      <c r="Q101" s="607"/>
      <c r="R101" s="607"/>
      <c r="S101" s="611">
        <f ca="1">IF(NOT(ISERROR(MATCH(R101,_xlfn.ANCHORARRAY(H116),0))),Q118&amp;"Por favor no seleccionar los criterios de impacto",R101)</f>
        <v>0</v>
      </c>
      <c r="T101" s="606"/>
      <c r="U101" s="607"/>
      <c r="V101" s="243"/>
      <c r="W101" s="194">
        <v>5</v>
      </c>
      <c r="X101" s="192" t="s">
        <v>606</v>
      </c>
      <c r="Y101" s="194" t="str">
        <f t="shared" si="120"/>
        <v>Probabilidad</v>
      </c>
      <c r="Z101" s="188" t="s">
        <v>211</v>
      </c>
      <c r="AA101" s="188" t="s">
        <v>219</v>
      </c>
      <c r="AB101" s="185" t="str">
        <f t="shared" si="103"/>
        <v>40%</v>
      </c>
      <c r="AC101" s="188" t="s">
        <v>222</v>
      </c>
      <c r="AD101" s="188" t="s">
        <v>227</v>
      </c>
      <c r="AE101" s="188" t="s">
        <v>231</v>
      </c>
      <c r="AF101" s="602">
        <f t="shared" si="127"/>
        <v>7.2576000000000002E-2</v>
      </c>
      <c r="AG101" s="186" t="str">
        <f t="shared" si="122"/>
        <v>Muy Baja</v>
      </c>
      <c r="AH101" s="185">
        <f t="shared" si="123"/>
        <v>7.2576000000000002E-2</v>
      </c>
      <c r="AI101" s="186" t="str">
        <f t="shared" ca="1" si="124"/>
        <v>Menor</v>
      </c>
      <c r="AJ101" s="185">
        <f t="shared" ca="1" si="129"/>
        <v>0.4</v>
      </c>
      <c r="AK101" s="187" t="str">
        <f t="shared" ca="1" si="126"/>
        <v>Bajo</v>
      </c>
      <c r="AL101" s="603" t="s">
        <v>258</v>
      </c>
      <c r="AM101" s="189"/>
      <c r="AN101" s="194"/>
      <c r="AO101" s="190"/>
      <c r="AP101" s="190"/>
      <c r="AQ101" s="191"/>
      <c r="AR101" s="194"/>
    </row>
    <row r="102" spans="1:44" s="605" customFormat="1" ht="123" customHeight="1" x14ac:dyDescent="0.25">
      <c r="A102" s="243"/>
      <c r="B102" s="246"/>
      <c r="C102" s="251"/>
      <c r="D102" s="246"/>
      <c r="E102" s="251"/>
      <c r="F102" s="251"/>
      <c r="G102" s="251"/>
      <c r="H102" s="261"/>
      <c r="I102" s="249"/>
      <c r="J102" s="249"/>
      <c r="K102" s="249"/>
      <c r="L102" s="249"/>
      <c r="M102" s="251"/>
      <c r="N102" s="251"/>
      <c r="O102" s="246"/>
      <c r="P102" s="606"/>
      <c r="Q102" s="607"/>
      <c r="R102" s="607"/>
      <c r="S102" s="611">
        <f ca="1">IF(NOT(ISERROR(MATCH(R102,_xlfn.ANCHORARRAY(H117),0))),Q119&amp;"Por favor no seleccionar los criterios de impacto",R102)</f>
        <v>0</v>
      </c>
      <c r="T102" s="606"/>
      <c r="U102" s="607"/>
      <c r="V102" s="243"/>
      <c r="W102" s="194">
        <v>6</v>
      </c>
      <c r="X102" s="196" t="s">
        <v>607</v>
      </c>
      <c r="Y102" s="194" t="str">
        <f t="shared" si="120"/>
        <v>Probabilidad</v>
      </c>
      <c r="Z102" s="188" t="s">
        <v>211</v>
      </c>
      <c r="AA102" s="188" t="s">
        <v>219</v>
      </c>
      <c r="AB102" s="185" t="str">
        <f t="shared" si="103"/>
        <v>40%</v>
      </c>
      <c r="AC102" s="188" t="s">
        <v>222</v>
      </c>
      <c r="AD102" s="188" t="s">
        <v>227</v>
      </c>
      <c r="AE102" s="188" t="s">
        <v>231</v>
      </c>
      <c r="AF102" s="602">
        <f t="shared" si="127"/>
        <v>4.3545600000000004E-2</v>
      </c>
      <c r="AG102" s="186" t="str">
        <f t="shared" si="122"/>
        <v>Muy Baja</v>
      </c>
      <c r="AH102" s="185">
        <f t="shared" si="123"/>
        <v>4.3545600000000004E-2</v>
      </c>
      <c r="AI102" s="186" t="str">
        <f t="shared" ca="1" si="124"/>
        <v>Menor</v>
      </c>
      <c r="AJ102" s="185">
        <f t="shared" ca="1" si="129"/>
        <v>0.4</v>
      </c>
      <c r="AK102" s="187" t="str">
        <f t="shared" ca="1" si="126"/>
        <v>Bajo</v>
      </c>
      <c r="AL102" s="603" t="s">
        <v>258</v>
      </c>
      <c r="AM102" s="189"/>
      <c r="AN102" s="194"/>
      <c r="AO102" s="190"/>
      <c r="AP102" s="190"/>
      <c r="AQ102" s="191"/>
      <c r="AR102" s="194"/>
    </row>
    <row r="103" spans="1:44" s="605" customFormat="1" ht="144" customHeight="1" x14ac:dyDescent="0.25">
      <c r="A103" s="243"/>
      <c r="B103" s="246"/>
      <c r="C103" s="251"/>
      <c r="D103" s="246"/>
      <c r="E103" s="251"/>
      <c r="F103" s="251"/>
      <c r="G103" s="251"/>
      <c r="H103" s="261"/>
      <c r="I103" s="249"/>
      <c r="J103" s="249"/>
      <c r="K103" s="249"/>
      <c r="L103" s="249"/>
      <c r="M103" s="251"/>
      <c r="N103" s="251"/>
      <c r="O103" s="246"/>
      <c r="P103" s="606"/>
      <c r="Q103" s="607"/>
      <c r="R103" s="607"/>
      <c r="S103" s="615"/>
      <c r="T103" s="606"/>
      <c r="U103" s="607"/>
      <c r="V103" s="243"/>
      <c r="W103" s="194">
        <v>7</v>
      </c>
      <c r="X103" s="196" t="s">
        <v>608</v>
      </c>
      <c r="Y103" s="194" t="str">
        <f t="shared" si="120"/>
        <v>Probabilidad</v>
      </c>
      <c r="Z103" s="188" t="s">
        <v>211</v>
      </c>
      <c r="AA103" s="188" t="s">
        <v>219</v>
      </c>
      <c r="AB103" s="185" t="str">
        <f t="shared" si="103"/>
        <v>40%</v>
      </c>
      <c r="AC103" s="188" t="s">
        <v>222</v>
      </c>
      <c r="AD103" s="188" t="s">
        <v>227</v>
      </c>
      <c r="AE103" s="188" t="s">
        <v>231</v>
      </c>
      <c r="AF103" s="602">
        <f t="shared" si="127"/>
        <v>2.6127360000000002E-2</v>
      </c>
      <c r="AG103" s="186" t="str">
        <f t="shared" si="122"/>
        <v>Muy Baja</v>
      </c>
      <c r="AH103" s="185">
        <f t="shared" si="123"/>
        <v>2.6127360000000002E-2</v>
      </c>
      <c r="AI103" s="186" t="str">
        <f t="shared" si="124"/>
        <v>Leve</v>
      </c>
      <c r="AJ103" s="185">
        <f t="shared" ref="AJ103" si="130">IFERROR(IF(Y103="Impacto",(U103-(+U103*AB103)),IF(Y103="Probabilidad",U103,"")),"")</f>
        <v>0</v>
      </c>
      <c r="AK103" s="187" t="str">
        <f t="shared" si="126"/>
        <v>Bajo</v>
      </c>
      <c r="AL103" s="603" t="s">
        <v>258</v>
      </c>
      <c r="AM103" s="189"/>
      <c r="AN103" s="194"/>
      <c r="AO103" s="190"/>
      <c r="AP103" s="190"/>
      <c r="AQ103" s="191"/>
      <c r="AR103" s="194"/>
    </row>
    <row r="104" spans="1:44" s="605" customFormat="1" ht="119.25" customHeight="1" x14ac:dyDescent="0.25">
      <c r="A104" s="243"/>
      <c r="B104" s="246"/>
      <c r="C104" s="251"/>
      <c r="D104" s="246"/>
      <c r="E104" s="251"/>
      <c r="F104" s="251"/>
      <c r="G104" s="251"/>
      <c r="H104" s="261"/>
      <c r="I104" s="249"/>
      <c r="J104" s="249"/>
      <c r="K104" s="249"/>
      <c r="L104" s="249"/>
      <c r="M104" s="251"/>
      <c r="N104" s="251"/>
      <c r="O104" s="246"/>
      <c r="P104" s="606"/>
      <c r="Q104" s="607"/>
      <c r="R104" s="607"/>
      <c r="S104" s="615"/>
      <c r="T104" s="606"/>
      <c r="U104" s="607"/>
      <c r="V104" s="243"/>
      <c r="W104" s="194">
        <v>8</v>
      </c>
      <c r="X104" s="196" t="s">
        <v>609</v>
      </c>
      <c r="Y104" s="194" t="str">
        <f t="shared" si="120"/>
        <v>Probabilidad</v>
      </c>
      <c r="Z104" s="188" t="s">
        <v>211</v>
      </c>
      <c r="AA104" s="188" t="s">
        <v>219</v>
      </c>
      <c r="AB104" s="185" t="str">
        <f t="shared" si="103"/>
        <v>40%</v>
      </c>
      <c r="AC104" s="188" t="s">
        <v>222</v>
      </c>
      <c r="AD104" s="188" t="s">
        <v>227</v>
      </c>
      <c r="AE104" s="188" t="s">
        <v>231</v>
      </c>
      <c r="AF104" s="602">
        <f t="shared" si="127"/>
        <v>1.5676415999999999E-2</v>
      </c>
      <c r="AG104" s="186" t="str">
        <f t="shared" si="122"/>
        <v>Muy Baja</v>
      </c>
      <c r="AH104" s="185">
        <f t="shared" si="123"/>
        <v>1.5676415999999999E-2</v>
      </c>
      <c r="AI104" s="186" t="str">
        <f t="shared" si="124"/>
        <v>Leve</v>
      </c>
      <c r="AJ104" s="185">
        <f t="shared" ref="AJ104" si="131">IFERROR(IF(AND(Y103="Impacto",Y104="Impacto"),(AJ103-(+AJ103*AB104)),IF(Y104="Impacto",(U103-(+U103*AB104)),IF(Y104="Probabilidad",AJ103,""))),"")</f>
        <v>0</v>
      </c>
      <c r="AK104" s="187" t="str">
        <f t="shared" si="126"/>
        <v>Bajo</v>
      </c>
      <c r="AL104" s="603" t="s">
        <v>258</v>
      </c>
      <c r="AM104" s="189"/>
      <c r="AN104" s="194"/>
      <c r="AO104" s="190"/>
      <c r="AP104" s="190"/>
      <c r="AQ104" s="191"/>
      <c r="AR104" s="194"/>
    </row>
    <row r="105" spans="1:44" s="605" customFormat="1" ht="121.5" x14ac:dyDescent="0.25">
      <c r="A105" s="243"/>
      <c r="B105" s="246"/>
      <c r="C105" s="251"/>
      <c r="D105" s="246"/>
      <c r="E105" s="251"/>
      <c r="F105" s="251"/>
      <c r="G105" s="251"/>
      <c r="H105" s="261"/>
      <c r="I105" s="249"/>
      <c r="J105" s="249"/>
      <c r="K105" s="249"/>
      <c r="L105" s="249"/>
      <c r="M105" s="251"/>
      <c r="N105" s="251"/>
      <c r="O105" s="246"/>
      <c r="P105" s="606"/>
      <c r="Q105" s="607"/>
      <c r="R105" s="607"/>
      <c r="S105" s="615"/>
      <c r="T105" s="606"/>
      <c r="U105" s="607"/>
      <c r="V105" s="243"/>
      <c r="W105" s="194">
        <v>9</v>
      </c>
      <c r="X105" s="196" t="s">
        <v>610</v>
      </c>
      <c r="Y105" s="194" t="str">
        <f t="shared" si="120"/>
        <v>Probabilidad</v>
      </c>
      <c r="Z105" s="188" t="s">
        <v>211</v>
      </c>
      <c r="AA105" s="188" t="s">
        <v>219</v>
      </c>
      <c r="AB105" s="185" t="str">
        <f t="shared" si="103"/>
        <v>40%</v>
      </c>
      <c r="AC105" s="188" t="s">
        <v>222</v>
      </c>
      <c r="AD105" s="188" t="s">
        <v>227</v>
      </c>
      <c r="AE105" s="188" t="s">
        <v>231</v>
      </c>
      <c r="AF105" s="602">
        <f t="shared" si="127"/>
        <v>9.4058495999999985E-3</v>
      </c>
      <c r="AG105" s="186" t="str">
        <f t="shared" si="122"/>
        <v>Muy Baja</v>
      </c>
      <c r="AH105" s="185">
        <f t="shared" si="123"/>
        <v>9.4058495999999985E-3</v>
      </c>
      <c r="AI105" s="186" t="str">
        <f t="shared" si="124"/>
        <v>Leve</v>
      </c>
      <c r="AJ105" s="185">
        <f t="shared" ref="AJ105:AJ106" si="132">IFERROR(IF(AND(Y104="Impacto",Y105="Impacto"),(AJ104-(+AJ104*AB105)),IF(AND(Y104="Probabilidad",Y105="Impacto"),(AJ103-(+AJ103*AB105)),IF(Y105="Probabilidad",AJ104,""))),"")</f>
        <v>0</v>
      </c>
      <c r="AK105" s="187" t="str">
        <f t="shared" si="126"/>
        <v>Bajo</v>
      </c>
      <c r="AL105" s="603" t="s">
        <v>258</v>
      </c>
      <c r="AM105" s="189"/>
      <c r="AN105" s="194"/>
      <c r="AO105" s="190"/>
      <c r="AP105" s="190"/>
      <c r="AQ105" s="191"/>
      <c r="AR105" s="194"/>
    </row>
    <row r="106" spans="1:44" s="605" customFormat="1" ht="121.5" x14ac:dyDescent="0.25">
      <c r="A106" s="244"/>
      <c r="B106" s="247"/>
      <c r="C106" s="239"/>
      <c r="D106" s="247"/>
      <c r="E106" s="239"/>
      <c r="F106" s="239"/>
      <c r="G106" s="239"/>
      <c r="H106" s="262"/>
      <c r="I106" s="250"/>
      <c r="J106" s="250"/>
      <c r="K106" s="250"/>
      <c r="L106" s="250"/>
      <c r="M106" s="239"/>
      <c r="N106" s="239"/>
      <c r="O106" s="247"/>
      <c r="P106" s="608"/>
      <c r="Q106" s="609"/>
      <c r="R106" s="609"/>
      <c r="S106" s="615"/>
      <c r="T106" s="608"/>
      <c r="U106" s="609"/>
      <c r="V106" s="244"/>
      <c r="W106" s="194">
        <v>10</v>
      </c>
      <c r="X106" s="196" t="s">
        <v>611</v>
      </c>
      <c r="Y106" s="194" t="str">
        <f t="shared" si="120"/>
        <v>Probabilidad</v>
      </c>
      <c r="Z106" s="188" t="s">
        <v>211</v>
      </c>
      <c r="AA106" s="188" t="s">
        <v>219</v>
      </c>
      <c r="AB106" s="185" t="str">
        <f t="shared" si="103"/>
        <v>40%</v>
      </c>
      <c r="AC106" s="188" t="s">
        <v>222</v>
      </c>
      <c r="AD106" s="188" t="s">
        <v>227</v>
      </c>
      <c r="AE106" s="188" t="s">
        <v>231</v>
      </c>
      <c r="AF106" s="602">
        <f t="shared" si="127"/>
        <v>5.6435097599999984E-3</v>
      </c>
      <c r="AG106" s="186" t="str">
        <f t="shared" si="122"/>
        <v>Muy Baja</v>
      </c>
      <c r="AH106" s="185">
        <f t="shared" si="123"/>
        <v>5.6435097599999984E-3</v>
      </c>
      <c r="AI106" s="186" t="str">
        <f t="shared" si="124"/>
        <v>Leve</v>
      </c>
      <c r="AJ106" s="185">
        <f t="shared" si="132"/>
        <v>0</v>
      </c>
      <c r="AK106" s="187" t="str">
        <f t="shared" si="126"/>
        <v>Bajo</v>
      </c>
      <c r="AL106" s="603" t="s">
        <v>258</v>
      </c>
      <c r="AM106" s="189"/>
      <c r="AN106" s="194"/>
      <c r="AO106" s="190"/>
      <c r="AP106" s="190"/>
      <c r="AQ106" s="191"/>
      <c r="AR106" s="194"/>
    </row>
    <row r="107" spans="1:44" s="605" customFormat="1" ht="105" customHeight="1" x14ac:dyDescent="0.25">
      <c r="A107" s="252">
        <v>16</v>
      </c>
      <c r="B107" s="245" t="s">
        <v>617</v>
      </c>
      <c r="C107" s="238" t="s">
        <v>272</v>
      </c>
      <c r="D107" s="263" t="s">
        <v>618</v>
      </c>
      <c r="E107" s="253" t="s">
        <v>241</v>
      </c>
      <c r="F107" s="254" t="s">
        <v>619</v>
      </c>
      <c r="G107" s="254" t="s">
        <v>620</v>
      </c>
      <c r="H107" s="255" t="s">
        <v>621</v>
      </c>
      <c r="I107" s="248" t="s">
        <v>480</v>
      </c>
      <c r="J107" s="248" t="s">
        <v>480</v>
      </c>
      <c r="K107" s="248" t="s">
        <v>480</v>
      </c>
      <c r="L107" s="248" t="s">
        <v>480</v>
      </c>
      <c r="M107" s="253" t="s">
        <v>242</v>
      </c>
      <c r="N107" s="238"/>
      <c r="O107" s="256">
        <v>5000</v>
      </c>
      <c r="P107" s="610" t="str">
        <f t="shared" ref="P107" si="133">IF(O107&lt;=0,"",IF(O107&lt;=2,"Muy Baja",IF(O107&lt;=24,"Baja",IF(O107&lt;=500,"Media",IF(O107&lt;=5000,"Alta","Muy Alta")))))</f>
        <v>Alta</v>
      </c>
      <c r="Q107" s="611">
        <f t="shared" ref="Q107" si="134">IF(P107="","",IF(P107="Muy Baja",0.2,IF(P107="Baja",0.4,IF(P107="Media",0.6,IF(P107="Alta",0.8,IF(P107="Muy Alta",1,))))))</f>
        <v>0.8</v>
      </c>
      <c r="R107" s="611" t="s">
        <v>190</v>
      </c>
      <c r="S107" s="611" t="str">
        <f ca="1">IF(NOT(ISERROR(MATCH(R107,'Tabla Impacto'!$B$221:$B$223,0))),'Tabla Impacto'!$F$223&amp;"Por favor no seleccionar los criterios de impacto(Afectación Económica o presupuestal y Pérdida Reputacional)",R107)</f>
        <v>El riesgo afecta la imagen de la entidad internamente, de conocimiento general, nivel interno, de junta dircetiva y accionistas y/o de provedores</v>
      </c>
      <c r="T107" s="610" t="str">
        <f ca="1">+IF(OR(S107='[1]Tabla Impacto'!$C$11,S107='[1]Tabla Impacto'!$D$11),"Leve",IF(OR(S107='[1]Tabla Impacto'!$C$12,S107='[1]Tabla Impacto'!$D$12),"Menor",IF(OR(S107='[1]Tabla Impacto'!$C$13,S107='[1]Tabla Impacto'!$D$13),"Moderado",IF(OR(S107='[1]Tabla Impacto'!$C$14,S107='[1]Tabla Impacto'!$D$14),"Mayor",IF(OR(S107='[1]Tabla Impacto'!$C$15,S107='[1]Tabla Impacto'!$D$15),"Catastrófico","")))))</f>
        <v>Menor</v>
      </c>
      <c r="U107" s="611">
        <f t="shared" ref="U107" ca="1" si="135">IF(T107="","",IF(T107="Leve",0.2,IF(T107="Menor",0.4,IF(T107="Moderado",0.6,IF(T107="Mayor",0.8,IF(T107="Catastrófico",1,))))))</f>
        <v>0.4</v>
      </c>
      <c r="V107" s="252" t="str">
        <f t="shared" ref="V107" ca="1" si="136">IF(OR(AND(P107="Muy Baja",T107="Leve"),AND(P107="Muy Baja",T107="Menor"),AND(P107="Baja",T107="Leve")),"Bajo",IF(OR(AND(P107="Muy baja",T107="Moderado"),AND(P107="Baja",T107="Menor"),AND(P107="Baja",T107="Moderado"),AND(P107="Media",T107="Leve"),AND(P107="Media",T107="Menor"),AND(P107="Media",T107="Moderado"),AND(P107="Alta",T107="Leve"),AND(P107="Alta",T107="Menor")),"Moderado",IF(OR(AND(P107="Muy Baja",T107="Mayor"),AND(P107="Baja",T107="Mayor"),AND(P107="Media",T107="Mayor"),AND(P107="Alta",T107="Moderado"),AND(P107="Alta",T107="Mayor"),AND(P107="Muy Alta",T107="Leve"),AND(P107="Muy Alta",T107="Menor"),AND(P107="Muy Alta",T107="Moderado"),AND(P107="Muy Alta",T107="Mayor")),"Alto",IF(OR(AND(P107="Muy Baja",T107="Catastrófico"),AND(P107="Baja",T107="Catastrófico"),AND(P107="Media",T107="Catastrófico"),AND(P107="Alta",T107="Catastrófico"),AND(P107="Muy Alta",T107="Catastrófico")),"Extremo",""))))</f>
        <v>Moderado</v>
      </c>
      <c r="W107" s="194">
        <v>1</v>
      </c>
      <c r="X107" s="192" t="s">
        <v>622</v>
      </c>
      <c r="Y107" s="194" t="str">
        <f t="shared" si="120"/>
        <v>Probabilidad</v>
      </c>
      <c r="Z107" s="188" t="s">
        <v>211</v>
      </c>
      <c r="AA107" s="188" t="s">
        <v>219</v>
      </c>
      <c r="AB107" s="185" t="str">
        <f>IF(AND(Z107="Preventivo",AA107="Automático"),"50%",IF(AND(Z107="Preventivo",AA107="Manual"),"40%",IF(AND(Z107="Detectivo",AA107="Automático"),"40%",IF(AND(Z107="Detectivo",AA107="Manual"),"30%",IF(AND(Z107="Correctivo",AA107="Automático"),"35%",IF(AND(Z107="Correctivo",AA107="Manual"),"25%",""))))))</f>
        <v>40%</v>
      </c>
      <c r="AC107" s="188" t="s">
        <v>222</v>
      </c>
      <c r="AD107" s="188" t="s">
        <v>227</v>
      </c>
      <c r="AE107" s="188" t="s">
        <v>231</v>
      </c>
      <c r="AF107" s="602">
        <f t="shared" ref="AF107" si="137">IFERROR(IF(Y107="Probabilidad",(Q107-(+Q107*AB107)),IF(Y107="Impacto",Q107,"")),"")</f>
        <v>0.48</v>
      </c>
      <c r="AG107" s="186" t="str">
        <f t="shared" si="122"/>
        <v>Media</v>
      </c>
      <c r="AH107" s="185">
        <f t="shared" si="123"/>
        <v>0.48</v>
      </c>
      <c r="AI107" s="186" t="str">
        <f t="shared" ca="1" si="124"/>
        <v>Menor</v>
      </c>
      <c r="AJ107" s="185">
        <f t="shared" ref="AJ107" ca="1" si="138">IFERROR(IF(Y107="Impacto",(U107-(+U107*AB107)),IF(Y107="Probabilidad",U107,"")),"")</f>
        <v>0.4</v>
      </c>
      <c r="AK107" s="187" t="str">
        <f t="shared" ca="1" si="126"/>
        <v>Moderado</v>
      </c>
      <c r="AL107" s="603" t="s">
        <v>258</v>
      </c>
      <c r="AM107" s="189"/>
      <c r="AN107" s="194"/>
      <c r="AO107" s="190"/>
      <c r="AP107" s="190"/>
      <c r="AQ107" s="191"/>
      <c r="AR107" s="194"/>
    </row>
    <row r="108" spans="1:44" s="605" customFormat="1" ht="96.75" customHeight="1" x14ac:dyDescent="0.25">
      <c r="A108" s="252"/>
      <c r="B108" s="246"/>
      <c r="C108" s="251"/>
      <c r="D108" s="266"/>
      <c r="E108" s="253"/>
      <c r="F108" s="254"/>
      <c r="G108" s="254"/>
      <c r="H108" s="255"/>
      <c r="I108" s="249"/>
      <c r="J108" s="249"/>
      <c r="K108" s="249"/>
      <c r="L108" s="249"/>
      <c r="M108" s="253"/>
      <c r="N108" s="251"/>
      <c r="O108" s="256"/>
      <c r="P108" s="610"/>
      <c r="Q108" s="611"/>
      <c r="R108" s="611"/>
      <c r="S108" s="611">
        <f ca="1">IF(NOT(ISERROR(MATCH(R108,_xlfn.ANCHORARRAY(H119),0))),Q121&amp;"Por favor no seleccionar los criterios de impacto",R108)</f>
        <v>0</v>
      </c>
      <c r="T108" s="610"/>
      <c r="U108" s="611"/>
      <c r="V108" s="252"/>
      <c r="W108" s="194">
        <v>2</v>
      </c>
      <c r="X108" s="192" t="s">
        <v>623</v>
      </c>
      <c r="Y108" s="194" t="str">
        <f t="shared" si="120"/>
        <v>Probabilidad</v>
      </c>
      <c r="Z108" s="188" t="s">
        <v>211</v>
      </c>
      <c r="AA108" s="188" t="s">
        <v>219</v>
      </c>
      <c r="AB108" s="185" t="str">
        <f>IF(AND(Z108="Preventivo",AA108="Automático"),"50%",IF(AND(Z108="Preventivo",AA108="Manual"),"40%",IF(AND(Z108="Detectivo",AA108="Automático"),"40%",IF(AND(Z108="Detectivo",AA108="Manual"),"30%",IF(AND(Z108="Correctivo",AA108="Automático"),"35%",IF(AND(Z108="Correctivo",AA108="Manual"),"25%",""))))))</f>
        <v>40%</v>
      </c>
      <c r="AC108" s="188" t="s">
        <v>222</v>
      </c>
      <c r="AD108" s="188" t="s">
        <v>227</v>
      </c>
      <c r="AE108" s="188" t="s">
        <v>231</v>
      </c>
      <c r="AF108" s="602">
        <f t="shared" ref="AF108:AF112" si="139">IFERROR(IF(AND(Y107="Probabilidad",Y108="Probabilidad"),(AH107-(+AH107*AB108)),IF(Y108="Probabilidad",(Q107-(+Q107*AB108)),IF(Y108="Impacto",AH107,""))),"")</f>
        <v>0.28799999999999998</v>
      </c>
      <c r="AG108" s="186" t="str">
        <f t="shared" si="122"/>
        <v>Baja</v>
      </c>
      <c r="AH108" s="185">
        <f t="shared" si="123"/>
        <v>0.28799999999999998</v>
      </c>
      <c r="AI108" s="186" t="str">
        <f t="shared" ca="1" si="124"/>
        <v>Menor</v>
      </c>
      <c r="AJ108" s="185">
        <f t="shared" ref="AJ108" ca="1" si="140">IFERROR(IF(AND(Y107="Impacto",Y108="Impacto"),(AJ107-(+AJ107*AB108)),IF(Y108="Impacto",(U107-(+U107*AB108)),IF(Y108="Probabilidad",AJ107,""))),"")</f>
        <v>0.4</v>
      </c>
      <c r="AK108" s="187" t="str">
        <f t="shared" ca="1" si="126"/>
        <v>Moderado</v>
      </c>
      <c r="AL108" s="603" t="s">
        <v>258</v>
      </c>
      <c r="AM108" s="189"/>
      <c r="AN108" s="194"/>
      <c r="AO108" s="190"/>
      <c r="AP108" s="190"/>
      <c r="AQ108" s="191"/>
      <c r="AR108" s="194"/>
    </row>
    <row r="109" spans="1:44" s="605" customFormat="1" ht="109.5" customHeight="1" x14ac:dyDescent="0.25">
      <c r="A109" s="252"/>
      <c r="B109" s="246"/>
      <c r="C109" s="251"/>
      <c r="D109" s="266"/>
      <c r="E109" s="253"/>
      <c r="F109" s="254"/>
      <c r="G109" s="254"/>
      <c r="H109" s="255"/>
      <c r="I109" s="249"/>
      <c r="J109" s="249"/>
      <c r="K109" s="249"/>
      <c r="L109" s="249"/>
      <c r="M109" s="253"/>
      <c r="N109" s="251"/>
      <c r="O109" s="256"/>
      <c r="P109" s="610"/>
      <c r="Q109" s="611"/>
      <c r="R109" s="611"/>
      <c r="S109" s="611">
        <f ca="1">IF(NOT(ISERROR(MATCH(R109,_xlfn.ANCHORARRAY(H120),0))),Q122&amp;"Por favor no seleccionar los criterios de impacto",R109)</f>
        <v>0</v>
      </c>
      <c r="T109" s="610"/>
      <c r="U109" s="611"/>
      <c r="V109" s="252"/>
      <c r="W109" s="194">
        <v>3</v>
      </c>
      <c r="X109" s="192" t="s">
        <v>624</v>
      </c>
      <c r="Y109" s="194" t="str">
        <f t="shared" si="120"/>
        <v>Impacto</v>
      </c>
      <c r="Z109" s="188" t="s">
        <v>215</v>
      </c>
      <c r="AA109" s="188" t="s">
        <v>219</v>
      </c>
      <c r="AB109" s="185" t="str">
        <f t="shared" ref="AB109" si="141">IF(AND(Z109="Preventivo",AA109="Automático"),"50%",IF(AND(Z109="Preventivo",AA109="Manual"),"40%",IF(AND(Z109="Detectivo",AA109="Automático"),"40%",IF(AND(Z109="Detectivo",AA109="Manual"),"30%",IF(AND(Z109="Correctivo",AA109="Automático"),"35%",IF(AND(Z109="Correctivo",AA109="Manual"),"25%",""))))))</f>
        <v>25%</v>
      </c>
      <c r="AC109" s="188" t="s">
        <v>222</v>
      </c>
      <c r="AD109" s="188" t="s">
        <v>229</v>
      </c>
      <c r="AE109" s="188" t="s">
        <v>231</v>
      </c>
      <c r="AF109" s="602">
        <f t="shared" si="139"/>
        <v>0.28799999999999998</v>
      </c>
      <c r="AG109" s="186" t="str">
        <f t="shared" si="122"/>
        <v>Baja</v>
      </c>
      <c r="AH109" s="185">
        <f t="shared" si="123"/>
        <v>0.28799999999999998</v>
      </c>
      <c r="AI109" s="186" t="str">
        <f t="shared" ca="1" si="124"/>
        <v>Menor</v>
      </c>
      <c r="AJ109" s="185">
        <f t="shared" ref="AJ109:AJ112" ca="1" si="142">IFERROR(IF(AND(Y108="Impacto",Y109="Impacto"),(AJ108-(+AJ108*AB109)),IF(AND(Y108="Probabilidad",Y109="Impacto"),(AJ107-(+AJ107*AB109)),IF(Y109="Probabilidad",AJ108,""))),"")</f>
        <v>0.30000000000000004</v>
      </c>
      <c r="AK109" s="187" t="str">
        <f t="shared" ca="1" si="126"/>
        <v>Moderado</v>
      </c>
      <c r="AL109" s="603" t="s">
        <v>258</v>
      </c>
      <c r="AM109" s="189"/>
      <c r="AN109" s="194"/>
      <c r="AO109" s="190"/>
      <c r="AP109" s="190"/>
      <c r="AQ109" s="191"/>
      <c r="AR109" s="194"/>
    </row>
    <row r="110" spans="1:44" s="605" customFormat="1" ht="69" hidden="1" customHeight="1" x14ac:dyDescent="0.25">
      <c r="A110" s="252"/>
      <c r="B110" s="246"/>
      <c r="C110" s="251"/>
      <c r="D110" s="266"/>
      <c r="E110" s="253"/>
      <c r="F110" s="254"/>
      <c r="G110" s="254"/>
      <c r="H110" s="255"/>
      <c r="I110" s="249"/>
      <c r="J110" s="249"/>
      <c r="K110" s="249"/>
      <c r="L110" s="249"/>
      <c r="M110" s="253"/>
      <c r="N110" s="251"/>
      <c r="O110" s="256"/>
      <c r="P110" s="610"/>
      <c r="Q110" s="611"/>
      <c r="R110" s="611"/>
      <c r="S110" s="611">
        <f ca="1">IF(NOT(ISERROR(MATCH(R110,_xlfn.ANCHORARRAY(H121),0))),Q123&amp;"Por favor no seleccionar los criterios de impacto",R110)</f>
        <v>0</v>
      </c>
      <c r="T110" s="610"/>
      <c r="U110" s="611"/>
      <c r="V110" s="252"/>
      <c r="W110" s="194">
        <v>4</v>
      </c>
      <c r="X110" s="192"/>
      <c r="Y110" s="194" t="str">
        <f t="shared" si="120"/>
        <v/>
      </c>
      <c r="Z110" s="188"/>
      <c r="AA110" s="188"/>
      <c r="AB110" s="185" t="str">
        <f t="shared" ref="AB110:AB120" si="143">IF(AND(Z110="Preventivo",AA110="Automático"),"50%",IF(AND(Z110="Preventivo",AA110="Manual"),"40%",IF(AND(Z110="Detectivo",AA110="Automático"),"40%",IF(AND(Z110="Detectivo",AA110="Manual"),"30%",IF(AND(Z110="Correctivo",AA110="Automático"),"35%",IF(AND(Z110="Correctivo",AA110="Manual"),"25%",""))))))</f>
        <v/>
      </c>
      <c r="AC110" s="188"/>
      <c r="AD110" s="188"/>
      <c r="AE110" s="188"/>
      <c r="AF110" s="602" t="str">
        <f t="shared" si="139"/>
        <v/>
      </c>
      <c r="AG110" s="186" t="str">
        <f t="shared" si="122"/>
        <v/>
      </c>
      <c r="AH110" s="185" t="str">
        <f t="shared" si="123"/>
        <v/>
      </c>
      <c r="AI110" s="186" t="str">
        <f t="shared" si="124"/>
        <v/>
      </c>
      <c r="AJ110" s="185" t="str">
        <f t="shared" si="142"/>
        <v/>
      </c>
      <c r="AK110" s="187" t="str">
        <f t="shared" si="126"/>
        <v/>
      </c>
      <c r="AL110" s="603"/>
      <c r="AM110" s="189"/>
      <c r="AN110" s="194"/>
      <c r="AO110" s="190"/>
      <c r="AP110" s="190"/>
      <c r="AQ110" s="191"/>
      <c r="AR110" s="194"/>
    </row>
    <row r="111" spans="1:44" s="605" customFormat="1" ht="69" hidden="1" customHeight="1" x14ac:dyDescent="0.25">
      <c r="A111" s="252"/>
      <c r="B111" s="246"/>
      <c r="C111" s="251"/>
      <c r="D111" s="266"/>
      <c r="E111" s="253"/>
      <c r="F111" s="254"/>
      <c r="G111" s="254"/>
      <c r="H111" s="255"/>
      <c r="I111" s="249"/>
      <c r="J111" s="249"/>
      <c r="K111" s="249"/>
      <c r="L111" s="249"/>
      <c r="M111" s="253"/>
      <c r="N111" s="251"/>
      <c r="O111" s="256"/>
      <c r="P111" s="610"/>
      <c r="Q111" s="611"/>
      <c r="R111" s="611"/>
      <c r="S111" s="611">
        <f ca="1">IF(NOT(ISERROR(MATCH(R111,_xlfn.ANCHORARRAY(H122),0))),Q124&amp;"Por favor no seleccionar los criterios de impacto",R111)</f>
        <v>0</v>
      </c>
      <c r="T111" s="610"/>
      <c r="U111" s="611"/>
      <c r="V111" s="252"/>
      <c r="W111" s="194">
        <v>5</v>
      </c>
      <c r="X111" s="192"/>
      <c r="Y111" s="194" t="str">
        <f t="shared" si="120"/>
        <v/>
      </c>
      <c r="Z111" s="188"/>
      <c r="AA111" s="188"/>
      <c r="AB111" s="185" t="str">
        <f t="shared" si="143"/>
        <v/>
      </c>
      <c r="AC111" s="188"/>
      <c r="AD111" s="188"/>
      <c r="AE111" s="188"/>
      <c r="AF111" s="602" t="str">
        <f t="shared" si="139"/>
        <v/>
      </c>
      <c r="AG111" s="186" t="str">
        <f t="shared" si="122"/>
        <v/>
      </c>
      <c r="AH111" s="185" t="str">
        <f t="shared" si="123"/>
        <v/>
      </c>
      <c r="AI111" s="186" t="str">
        <f t="shared" si="124"/>
        <v/>
      </c>
      <c r="AJ111" s="185" t="str">
        <f t="shared" si="142"/>
        <v/>
      </c>
      <c r="AK111" s="187" t="str">
        <f t="shared" si="126"/>
        <v/>
      </c>
      <c r="AL111" s="603"/>
      <c r="AM111" s="189"/>
      <c r="AN111" s="194"/>
      <c r="AO111" s="190"/>
      <c r="AP111" s="190"/>
      <c r="AQ111" s="191"/>
      <c r="AR111" s="194"/>
    </row>
    <row r="112" spans="1:44" s="605" customFormat="1" ht="69" hidden="1" customHeight="1" x14ac:dyDescent="0.25">
      <c r="A112" s="252"/>
      <c r="B112" s="247"/>
      <c r="C112" s="239"/>
      <c r="D112" s="267"/>
      <c r="E112" s="253"/>
      <c r="F112" s="254"/>
      <c r="G112" s="254"/>
      <c r="H112" s="255"/>
      <c r="I112" s="250"/>
      <c r="J112" s="250"/>
      <c r="K112" s="250"/>
      <c r="L112" s="250"/>
      <c r="M112" s="253"/>
      <c r="N112" s="239"/>
      <c r="O112" s="256"/>
      <c r="P112" s="610"/>
      <c r="Q112" s="611"/>
      <c r="R112" s="611"/>
      <c r="S112" s="611">
        <f ca="1">IF(NOT(ISERROR(MATCH(R112,_xlfn.ANCHORARRAY(H123),0))),Q125&amp;"Por favor no seleccionar los criterios de impacto",R112)</f>
        <v>0</v>
      </c>
      <c r="T112" s="610"/>
      <c r="U112" s="611"/>
      <c r="V112" s="252"/>
      <c r="W112" s="194">
        <v>6</v>
      </c>
      <c r="X112" s="192"/>
      <c r="Y112" s="194" t="str">
        <f t="shared" si="120"/>
        <v/>
      </c>
      <c r="Z112" s="188"/>
      <c r="AA112" s="188"/>
      <c r="AB112" s="185" t="str">
        <f t="shared" si="143"/>
        <v/>
      </c>
      <c r="AC112" s="188"/>
      <c r="AD112" s="188"/>
      <c r="AE112" s="188"/>
      <c r="AF112" s="602" t="str">
        <f t="shared" si="139"/>
        <v/>
      </c>
      <c r="AG112" s="186" t="str">
        <f t="shared" si="122"/>
        <v/>
      </c>
      <c r="AH112" s="185" t="str">
        <f t="shared" si="123"/>
        <v/>
      </c>
      <c r="AI112" s="186" t="str">
        <f t="shared" si="124"/>
        <v/>
      </c>
      <c r="AJ112" s="185" t="str">
        <f t="shared" si="142"/>
        <v/>
      </c>
      <c r="AK112" s="187" t="str">
        <f t="shared" si="126"/>
        <v/>
      </c>
      <c r="AL112" s="603"/>
      <c r="AM112" s="189"/>
      <c r="AN112" s="194"/>
      <c r="AO112" s="190"/>
      <c r="AP112" s="190"/>
      <c r="AQ112" s="191"/>
      <c r="AR112" s="194"/>
    </row>
    <row r="113" spans="1:44" s="605" customFormat="1" ht="121.5" x14ac:dyDescent="0.25">
      <c r="A113" s="252">
        <v>17</v>
      </c>
      <c r="B113" s="245" t="s">
        <v>625</v>
      </c>
      <c r="C113" s="238" t="s">
        <v>272</v>
      </c>
      <c r="D113" s="263" t="s">
        <v>626</v>
      </c>
      <c r="E113" s="253" t="s">
        <v>241</v>
      </c>
      <c r="F113" s="254" t="s">
        <v>627</v>
      </c>
      <c r="G113" s="254" t="s">
        <v>628</v>
      </c>
      <c r="H113" s="255" t="s">
        <v>629</v>
      </c>
      <c r="I113" s="248" t="s">
        <v>480</v>
      </c>
      <c r="J113" s="248" t="s">
        <v>480</v>
      </c>
      <c r="K113" s="248" t="s">
        <v>480</v>
      </c>
      <c r="L113" s="248" t="s">
        <v>480</v>
      </c>
      <c r="M113" s="253" t="s">
        <v>242</v>
      </c>
      <c r="N113" s="238"/>
      <c r="O113" s="256">
        <v>5000</v>
      </c>
      <c r="P113" s="610" t="str">
        <f t="shared" ref="P113" si="144">IF(O113&lt;=0,"",IF(O113&lt;=2,"Muy Baja",IF(O113&lt;=24,"Baja",IF(O113&lt;=500,"Media",IF(O113&lt;=5000,"Alta","Muy Alta")))))</f>
        <v>Alta</v>
      </c>
      <c r="Q113" s="611">
        <f t="shared" ref="Q113" si="145">IF(P113="","",IF(P113="Muy Baja",0.2,IF(P113="Baja",0.4,IF(P113="Media",0.6,IF(P113="Alta",0.8,IF(P113="Muy Alta",1,))))))</f>
        <v>0.8</v>
      </c>
      <c r="R113" s="611" t="s">
        <v>190</v>
      </c>
      <c r="S113" s="611" t="str">
        <f ca="1">IF(NOT(ISERROR(MATCH(R113,'Tabla Impacto'!$B$221:$B$223,0))),'Tabla Impacto'!$F$223&amp;"Por favor no seleccionar los criterios de impacto(Afectación Económica o presupuestal y Pérdida Reputacional)",R113)</f>
        <v>El riesgo afecta la imagen de la entidad internamente, de conocimiento general, nivel interno, de junta dircetiva y accionistas y/o de provedores</v>
      </c>
      <c r="T113" s="610" t="str">
        <f ca="1">+IF(OR(S113='[1]Tabla Impacto'!$C$11,S113='[1]Tabla Impacto'!$D$11),"Leve",IF(OR(S113='[1]Tabla Impacto'!$C$12,S113='[1]Tabla Impacto'!$D$12),"Menor",IF(OR(S113='[1]Tabla Impacto'!$C$13,S113='[1]Tabla Impacto'!$D$13),"Moderado",IF(OR(S113='[1]Tabla Impacto'!$C$14,S113='[1]Tabla Impacto'!$D$14),"Mayor",IF(OR(S113='[1]Tabla Impacto'!$C$15,S113='[1]Tabla Impacto'!$D$15),"Catastrófico","")))))</f>
        <v>Menor</v>
      </c>
      <c r="U113" s="611">
        <f t="shared" ref="U113" ca="1" si="146">IF(T113="","",IF(T113="Leve",0.2,IF(T113="Menor",0.4,IF(T113="Moderado",0.6,IF(T113="Mayor",0.8,IF(T113="Catastrófico",1,))))))</f>
        <v>0.4</v>
      </c>
      <c r="V113" s="252" t="str">
        <f t="shared" ref="V113" ca="1" si="147">IF(OR(AND(P113="Muy Baja",T113="Leve"),AND(P113="Muy Baja",T113="Menor"),AND(P113="Baja",T113="Leve")),"Bajo",IF(OR(AND(P113="Muy baja",T113="Moderado"),AND(P113="Baja",T113="Menor"),AND(P113="Baja",T113="Moderado"),AND(P113="Media",T113="Leve"),AND(P113="Media",T113="Menor"),AND(P113="Media",T113="Moderado"),AND(P113="Alta",T113="Leve"),AND(P113="Alta",T113="Menor")),"Moderado",IF(OR(AND(P113="Muy Baja",T113="Mayor"),AND(P113="Baja",T113="Mayor"),AND(P113="Media",T113="Mayor"),AND(P113="Alta",T113="Moderado"),AND(P113="Alta",T113="Mayor"),AND(P113="Muy Alta",T113="Leve"),AND(P113="Muy Alta",T113="Menor"),AND(P113="Muy Alta",T113="Moderado"),AND(P113="Muy Alta",T113="Mayor")),"Alto",IF(OR(AND(P113="Muy Baja",T113="Catastrófico"),AND(P113="Baja",T113="Catastrófico"),AND(P113="Media",T113="Catastrófico"),AND(P113="Alta",T113="Catastrófico"),AND(P113="Muy Alta",T113="Catastrófico")),"Extremo",""))))</f>
        <v>Moderado</v>
      </c>
      <c r="W113" s="194">
        <v>1</v>
      </c>
      <c r="X113" s="192" t="s">
        <v>630</v>
      </c>
      <c r="Y113" s="194" t="str">
        <f t="shared" si="120"/>
        <v>Probabilidad</v>
      </c>
      <c r="Z113" s="188" t="s">
        <v>211</v>
      </c>
      <c r="AA113" s="188" t="s">
        <v>219</v>
      </c>
      <c r="AB113" s="185" t="str">
        <f t="shared" si="143"/>
        <v>40%</v>
      </c>
      <c r="AC113" s="188" t="s">
        <v>222</v>
      </c>
      <c r="AD113" s="188" t="s">
        <v>227</v>
      </c>
      <c r="AE113" s="188" t="s">
        <v>231</v>
      </c>
      <c r="AF113" s="602">
        <f t="shared" ref="AF113" si="148">IFERROR(IF(Y113="Probabilidad",(Q113-(+Q113*AB113)),IF(Y113="Impacto",Q113,"")),"")</f>
        <v>0.48</v>
      </c>
      <c r="AG113" s="186" t="str">
        <f t="shared" si="122"/>
        <v>Media</v>
      </c>
      <c r="AH113" s="185">
        <f t="shared" si="123"/>
        <v>0.48</v>
      </c>
      <c r="AI113" s="186" t="str">
        <f t="shared" ca="1" si="124"/>
        <v>Menor</v>
      </c>
      <c r="AJ113" s="185">
        <f t="shared" ref="AJ113" ca="1" si="149">IFERROR(IF(Y113="Impacto",(U113-(+U113*AB113)),IF(Y113="Probabilidad",U113,"")),"")</f>
        <v>0.4</v>
      </c>
      <c r="AK113" s="187" t="str">
        <f t="shared" ca="1" si="126"/>
        <v>Moderado</v>
      </c>
      <c r="AL113" s="603" t="s">
        <v>258</v>
      </c>
      <c r="AM113" s="189"/>
      <c r="AN113" s="194"/>
      <c r="AO113" s="190"/>
      <c r="AP113" s="190"/>
      <c r="AQ113" s="191"/>
      <c r="AR113" s="194"/>
    </row>
    <row r="114" spans="1:44" s="605" customFormat="1" ht="101.25" x14ac:dyDescent="0.25">
      <c r="A114" s="252"/>
      <c r="B114" s="246"/>
      <c r="C114" s="251"/>
      <c r="D114" s="264"/>
      <c r="E114" s="253"/>
      <c r="F114" s="254"/>
      <c r="G114" s="254"/>
      <c r="H114" s="255"/>
      <c r="I114" s="249"/>
      <c r="J114" s="249"/>
      <c r="K114" s="249"/>
      <c r="L114" s="249"/>
      <c r="M114" s="253"/>
      <c r="N114" s="251"/>
      <c r="O114" s="256"/>
      <c r="P114" s="610"/>
      <c r="Q114" s="611"/>
      <c r="R114" s="611"/>
      <c r="S114" s="611">
        <f ca="1">IF(NOT(ISERROR(MATCH(R114,_xlfn.ANCHORARRAY(H125),0))),Q127&amp;"Por favor no seleccionar los criterios de impacto",R114)</f>
        <v>0</v>
      </c>
      <c r="T114" s="610"/>
      <c r="U114" s="611"/>
      <c r="V114" s="252"/>
      <c r="W114" s="194">
        <v>2</v>
      </c>
      <c r="X114" s="192" t="s">
        <v>631</v>
      </c>
      <c r="Y114" s="194" t="str">
        <f t="shared" si="120"/>
        <v>Probabilidad</v>
      </c>
      <c r="Z114" s="188" t="s">
        <v>211</v>
      </c>
      <c r="AA114" s="188" t="s">
        <v>219</v>
      </c>
      <c r="AB114" s="185" t="str">
        <f t="shared" si="143"/>
        <v>40%</v>
      </c>
      <c r="AC114" s="188" t="s">
        <v>222</v>
      </c>
      <c r="AD114" s="188" t="s">
        <v>227</v>
      </c>
      <c r="AE114" s="188" t="s">
        <v>231</v>
      </c>
      <c r="AF114" s="602">
        <f t="shared" ref="AF114:AF118" si="150">IFERROR(IF(AND(Y113="Probabilidad",Y114="Probabilidad"),(AH113-(+AH113*AB114)),IF(Y114="Probabilidad",(Q113-(+Q113*AB114)),IF(Y114="Impacto",AH113,""))),"")</f>
        <v>0.28799999999999998</v>
      </c>
      <c r="AG114" s="186" t="str">
        <f t="shared" si="122"/>
        <v>Baja</v>
      </c>
      <c r="AH114" s="185">
        <f t="shared" si="123"/>
        <v>0.28799999999999998</v>
      </c>
      <c r="AI114" s="186" t="str">
        <f t="shared" ca="1" si="124"/>
        <v>Menor</v>
      </c>
      <c r="AJ114" s="185">
        <f t="shared" ref="AJ114" ca="1" si="151">IFERROR(IF(AND(Y113="Impacto",Y114="Impacto"),(AJ113-(+AJ113*AB114)),IF(Y114="Impacto",(U113-(+U113*AB114)),IF(Y114="Probabilidad",AJ113,""))),"")</f>
        <v>0.4</v>
      </c>
      <c r="AK114" s="187" t="str">
        <f t="shared" ca="1" si="126"/>
        <v>Moderado</v>
      </c>
      <c r="AL114" s="603" t="s">
        <v>258</v>
      </c>
      <c r="AM114" s="189"/>
      <c r="AN114" s="194"/>
      <c r="AO114" s="190"/>
      <c r="AP114" s="190"/>
      <c r="AQ114" s="191"/>
      <c r="AR114" s="194"/>
    </row>
    <row r="115" spans="1:44" s="605" customFormat="1" ht="101.25" x14ac:dyDescent="0.25">
      <c r="A115" s="252"/>
      <c r="B115" s="246"/>
      <c r="C115" s="251"/>
      <c r="D115" s="264"/>
      <c r="E115" s="253"/>
      <c r="F115" s="254"/>
      <c r="G115" s="254"/>
      <c r="H115" s="255"/>
      <c r="I115" s="249"/>
      <c r="J115" s="249"/>
      <c r="K115" s="249"/>
      <c r="L115" s="249"/>
      <c r="M115" s="253"/>
      <c r="N115" s="251"/>
      <c r="O115" s="256"/>
      <c r="P115" s="610"/>
      <c r="Q115" s="611"/>
      <c r="R115" s="611"/>
      <c r="S115" s="611">
        <f ca="1">IF(NOT(ISERROR(MATCH(R115,_xlfn.ANCHORARRAY(H126),0))),Q128&amp;"Por favor no seleccionar los criterios de impacto",R115)</f>
        <v>0</v>
      </c>
      <c r="T115" s="610"/>
      <c r="U115" s="611"/>
      <c r="V115" s="252"/>
      <c r="W115" s="194">
        <v>3</v>
      </c>
      <c r="X115" s="192" t="s">
        <v>632</v>
      </c>
      <c r="Y115" s="194" t="str">
        <f t="shared" si="120"/>
        <v>Probabilidad</v>
      </c>
      <c r="Z115" s="188" t="s">
        <v>211</v>
      </c>
      <c r="AA115" s="188" t="s">
        <v>219</v>
      </c>
      <c r="AB115" s="185" t="str">
        <f t="shared" si="143"/>
        <v>40%</v>
      </c>
      <c r="AC115" s="188" t="s">
        <v>222</v>
      </c>
      <c r="AD115" s="188" t="s">
        <v>227</v>
      </c>
      <c r="AE115" s="188" t="s">
        <v>231</v>
      </c>
      <c r="AF115" s="602">
        <f t="shared" si="150"/>
        <v>0.17279999999999998</v>
      </c>
      <c r="AG115" s="186" t="str">
        <f t="shared" si="122"/>
        <v>Muy Baja</v>
      </c>
      <c r="AH115" s="185">
        <f t="shared" si="123"/>
        <v>0.17279999999999998</v>
      </c>
      <c r="AI115" s="186" t="str">
        <f t="shared" ca="1" si="124"/>
        <v>Menor</v>
      </c>
      <c r="AJ115" s="185">
        <f t="shared" ref="AJ115:AJ118" ca="1" si="152">IFERROR(IF(AND(Y114="Impacto",Y115="Impacto"),(AJ114-(+AJ114*AB115)),IF(AND(Y114="Probabilidad",Y115="Impacto"),(AJ113-(+AJ113*AB115)),IF(Y115="Probabilidad",AJ114,""))),"")</f>
        <v>0.4</v>
      </c>
      <c r="AK115" s="187" t="str">
        <f t="shared" ca="1" si="126"/>
        <v>Bajo</v>
      </c>
      <c r="AL115" s="603" t="s">
        <v>258</v>
      </c>
      <c r="AM115" s="189"/>
      <c r="AN115" s="194"/>
      <c r="AO115" s="190"/>
      <c r="AP115" s="190"/>
      <c r="AQ115" s="191"/>
      <c r="AR115" s="194"/>
    </row>
    <row r="116" spans="1:44" s="605" customFormat="1" ht="69" hidden="1" customHeight="1" x14ac:dyDescent="0.25">
      <c r="A116" s="252"/>
      <c r="B116" s="246"/>
      <c r="C116" s="251"/>
      <c r="D116" s="264"/>
      <c r="E116" s="253"/>
      <c r="F116" s="254"/>
      <c r="G116" s="254"/>
      <c r="H116" s="255"/>
      <c r="I116" s="249"/>
      <c r="J116" s="249"/>
      <c r="K116" s="249"/>
      <c r="L116" s="249"/>
      <c r="M116" s="253"/>
      <c r="N116" s="251"/>
      <c r="O116" s="256"/>
      <c r="P116" s="610"/>
      <c r="Q116" s="611"/>
      <c r="R116" s="611"/>
      <c r="S116" s="611">
        <f ca="1">IF(NOT(ISERROR(MATCH(R116,_xlfn.ANCHORARRAY(H127),0))),Q129&amp;"Por favor no seleccionar los criterios de impacto",R116)</f>
        <v>0</v>
      </c>
      <c r="T116" s="610"/>
      <c r="U116" s="611"/>
      <c r="V116" s="252"/>
      <c r="W116" s="194">
        <v>4</v>
      </c>
      <c r="X116" s="192"/>
      <c r="Y116" s="194" t="str">
        <f t="shared" si="120"/>
        <v/>
      </c>
      <c r="Z116" s="188"/>
      <c r="AA116" s="188"/>
      <c r="AB116" s="185" t="str">
        <f t="shared" si="143"/>
        <v/>
      </c>
      <c r="AC116" s="188"/>
      <c r="AD116" s="188"/>
      <c r="AE116" s="188"/>
      <c r="AF116" s="602" t="str">
        <f t="shared" si="150"/>
        <v/>
      </c>
      <c r="AG116" s="186" t="str">
        <f t="shared" si="122"/>
        <v/>
      </c>
      <c r="AH116" s="185" t="str">
        <f t="shared" si="123"/>
        <v/>
      </c>
      <c r="AI116" s="186" t="str">
        <f t="shared" si="124"/>
        <v/>
      </c>
      <c r="AJ116" s="185" t="str">
        <f t="shared" si="152"/>
        <v/>
      </c>
      <c r="AK116" s="187" t="str">
        <f t="shared" si="126"/>
        <v/>
      </c>
      <c r="AL116" s="603"/>
      <c r="AM116" s="189"/>
      <c r="AN116" s="194"/>
      <c r="AO116" s="190"/>
      <c r="AP116" s="190"/>
      <c r="AQ116" s="191"/>
      <c r="AR116" s="194"/>
    </row>
    <row r="117" spans="1:44" s="605" customFormat="1" ht="69" hidden="1" customHeight="1" x14ac:dyDescent="0.25">
      <c r="A117" s="252"/>
      <c r="B117" s="246"/>
      <c r="C117" s="251"/>
      <c r="D117" s="264"/>
      <c r="E117" s="253"/>
      <c r="F117" s="254"/>
      <c r="G117" s="254"/>
      <c r="H117" s="255"/>
      <c r="I117" s="249"/>
      <c r="J117" s="249"/>
      <c r="K117" s="249"/>
      <c r="L117" s="249"/>
      <c r="M117" s="253"/>
      <c r="N117" s="251"/>
      <c r="O117" s="256"/>
      <c r="P117" s="610"/>
      <c r="Q117" s="611"/>
      <c r="R117" s="611"/>
      <c r="S117" s="611">
        <f ca="1">IF(NOT(ISERROR(MATCH(R117,_xlfn.ANCHORARRAY(H128),0))),Q130&amp;"Por favor no seleccionar los criterios de impacto",R117)</f>
        <v>0</v>
      </c>
      <c r="T117" s="610"/>
      <c r="U117" s="611"/>
      <c r="V117" s="252"/>
      <c r="W117" s="194">
        <v>5</v>
      </c>
      <c r="X117" s="192"/>
      <c r="Y117" s="194" t="str">
        <f t="shared" si="120"/>
        <v/>
      </c>
      <c r="Z117" s="188"/>
      <c r="AA117" s="188"/>
      <c r="AB117" s="185" t="str">
        <f t="shared" si="143"/>
        <v/>
      </c>
      <c r="AC117" s="188"/>
      <c r="AD117" s="188"/>
      <c r="AE117" s="188"/>
      <c r="AF117" s="602" t="str">
        <f t="shared" si="150"/>
        <v/>
      </c>
      <c r="AG117" s="186" t="str">
        <f t="shared" si="122"/>
        <v/>
      </c>
      <c r="AH117" s="185" t="str">
        <f t="shared" si="123"/>
        <v/>
      </c>
      <c r="AI117" s="186" t="str">
        <f t="shared" si="124"/>
        <v/>
      </c>
      <c r="AJ117" s="185" t="str">
        <f t="shared" si="152"/>
        <v/>
      </c>
      <c r="AK117" s="187" t="str">
        <f t="shared" si="126"/>
        <v/>
      </c>
      <c r="AL117" s="603"/>
      <c r="AM117" s="189"/>
      <c r="AN117" s="194"/>
      <c r="AO117" s="190"/>
      <c r="AP117" s="190"/>
      <c r="AQ117" s="191"/>
      <c r="AR117" s="194"/>
    </row>
    <row r="118" spans="1:44" s="605" customFormat="1" ht="69" hidden="1" customHeight="1" x14ac:dyDescent="0.25">
      <c r="A118" s="252"/>
      <c r="B118" s="247"/>
      <c r="C118" s="239"/>
      <c r="D118" s="265"/>
      <c r="E118" s="253"/>
      <c r="F118" s="254"/>
      <c r="G118" s="254"/>
      <c r="H118" s="255"/>
      <c r="I118" s="250"/>
      <c r="J118" s="250"/>
      <c r="K118" s="250"/>
      <c r="L118" s="250"/>
      <c r="M118" s="253"/>
      <c r="N118" s="239"/>
      <c r="O118" s="256"/>
      <c r="P118" s="610"/>
      <c r="Q118" s="611"/>
      <c r="R118" s="611"/>
      <c r="S118" s="611">
        <f ca="1">IF(NOT(ISERROR(MATCH(R118,_xlfn.ANCHORARRAY(H129),0))),Q131&amp;"Por favor no seleccionar los criterios de impacto",R118)</f>
        <v>0</v>
      </c>
      <c r="T118" s="610"/>
      <c r="U118" s="611"/>
      <c r="V118" s="252"/>
      <c r="W118" s="194">
        <v>6</v>
      </c>
      <c r="X118" s="192"/>
      <c r="Y118" s="194" t="str">
        <f t="shared" si="120"/>
        <v/>
      </c>
      <c r="Z118" s="188"/>
      <c r="AA118" s="188"/>
      <c r="AB118" s="185" t="str">
        <f t="shared" si="143"/>
        <v/>
      </c>
      <c r="AC118" s="188"/>
      <c r="AD118" s="188"/>
      <c r="AE118" s="188"/>
      <c r="AF118" s="602" t="str">
        <f t="shared" si="150"/>
        <v/>
      </c>
      <c r="AG118" s="186" t="str">
        <f t="shared" si="122"/>
        <v/>
      </c>
      <c r="AH118" s="185" t="str">
        <f t="shared" si="123"/>
        <v/>
      </c>
      <c r="AI118" s="186" t="str">
        <f t="shared" si="124"/>
        <v/>
      </c>
      <c r="AJ118" s="185" t="str">
        <f t="shared" si="152"/>
        <v/>
      </c>
      <c r="AK118" s="187" t="str">
        <f t="shared" si="126"/>
        <v/>
      </c>
      <c r="AL118" s="603"/>
      <c r="AM118" s="189"/>
      <c r="AN118" s="194"/>
      <c r="AO118" s="190"/>
      <c r="AP118" s="190"/>
      <c r="AQ118" s="191"/>
      <c r="AR118" s="194"/>
    </row>
    <row r="119" spans="1:44" s="605" customFormat="1" ht="125.25" customHeight="1" x14ac:dyDescent="0.25">
      <c r="A119" s="252">
        <v>18</v>
      </c>
      <c r="B119" s="245" t="s">
        <v>633</v>
      </c>
      <c r="C119" s="238" t="s">
        <v>272</v>
      </c>
      <c r="D119" s="263" t="s">
        <v>634</v>
      </c>
      <c r="E119" s="253" t="s">
        <v>241</v>
      </c>
      <c r="F119" s="254" t="s">
        <v>635</v>
      </c>
      <c r="G119" s="254" t="s">
        <v>636</v>
      </c>
      <c r="H119" s="255" t="s">
        <v>637</v>
      </c>
      <c r="I119" s="248" t="s">
        <v>480</v>
      </c>
      <c r="J119" s="248" t="s">
        <v>480</v>
      </c>
      <c r="K119" s="248" t="s">
        <v>480</v>
      </c>
      <c r="L119" s="248" t="s">
        <v>480</v>
      </c>
      <c r="M119" s="253" t="s">
        <v>242</v>
      </c>
      <c r="N119" s="238"/>
      <c r="O119" s="256">
        <v>5000</v>
      </c>
      <c r="P119" s="610" t="str">
        <f t="shared" ref="P119:P155" si="153">IF(O119&lt;=0,"",IF(O119&lt;=2,"Muy Baja",IF(O119&lt;=24,"Baja",IF(O119&lt;=500,"Media",IF(O119&lt;=5000,"Alta","Muy Alta")))))</f>
        <v>Alta</v>
      </c>
      <c r="Q119" s="611">
        <f t="shared" ref="Q119:Q155" si="154">IF(P119="","",IF(P119="Muy Baja",0.2,IF(P119="Baja",0.4,IF(P119="Media",0.6,IF(P119="Alta",0.8,IF(P119="Muy Alta",1,))))))</f>
        <v>0.8</v>
      </c>
      <c r="R119" s="611" t="s">
        <v>193</v>
      </c>
      <c r="S119" s="611" t="str">
        <f ca="1">IF(NOT(ISERROR(MATCH(R119,'Tabla Impacto'!$B$221:$B$223,0))),'Tabla Impacto'!$F$223&amp;"Por favor no seleccionar los criterios de impacto(Afectación Económica o presupuestal y Pérdida Reputacional)",R119)</f>
        <v>El riesgo afecta la imagen de la entidad con algunos usuarios de relevancia frente al logro de los objetivos</v>
      </c>
      <c r="T119" s="610" t="str">
        <f ca="1">+IF(OR(S119='[1]Tabla Impacto'!$C$11,S119='[1]Tabla Impacto'!$D$11),"Leve",IF(OR(S119='[1]Tabla Impacto'!$C$12,S119='[1]Tabla Impacto'!$D$12),"Menor",IF(OR(S119='[1]Tabla Impacto'!$C$13,S119='[1]Tabla Impacto'!$D$13),"Moderado",IF(OR(S119='[1]Tabla Impacto'!$C$14,S119='[1]Tabla Impacto'!$D$14),"Mayor",IF(OR(S119='[1]Tabla Impacto'!$C$15,S119='[1]Tabla Impacto'!$D$15),"Catastrófico","")))))</f>
        <v>Moderado</v>
      </c>
      <c r="U119" s="611">
        <f t="shared" ref="U119" ca="1" si="155">IF(T119="","",IF(T119="Leve",0.2,IF(T119="Menor",0.4,IF(T119="Moderado",0.6,IF(T119="Mayor",0.8,IF(T119="Catastrófico",1,))))))</f>
        <v>0.6</v>
      </c>
      <c r="V119" s="252" t="str">
        <f t="shared" ref="V119" ca="1" si="156">IF(OR(AND(P119="Muy Baja",T119="Leve"),AND(P119="Muy Baja",T119="Menor"),AND(P119="Baja",T119="Leve")),"Bajo",IF(OR(AND(P119="Muy baja",T119="Moderado"),AND(P119="Baja",T119="Menor"),AND(P119="Baja",T119="Moderado"),AND(P119="Media",T119="Leve"),AND(P119="Media",T119="Menor"),AND(P119="Media",T119="Moderado"),AND(P119="Alta",T119="Leve"),AND(P119="Alta",T119="Menor")),"Moderado",IF(OR(AND(P119="Muy Baja",T119="Mayor"),AND(P119="Baja",T119="Mayor"),AND(P119="Media",T119="Mayor"),AND(P119="Alta",T119="Moderado"),AND(P119="Alta",T119="Mayor"),AND(P119="Muy Alta",T119="Leve"),AND(P119="Muy Alta",T119="Menor"),AND(P119="Muy Alta",T119="Moderado"),AND(P119="Muy Alta",T119="Mayor")),"Alto",IF(OR(AND(P119="Muy Baja",T119="Catastrófico"),AND(P119="Baja",T119="Catastrófico"),AND(P119="Media",T119="Catastrófico"),AND(P119="Alta",T119="Catastrófico"),AND(P119="Muy Alta",T119="Catastrófico")),"Extremo",""))))</f>
        <v>Alto</v>
      </c>
      <c r="W119" s="194">
        <v>1</v>
      </c>
      <c r="X119" s="192" t="s">
        <v>638</v>
      </c>
      <c r="Y119" s="194" t="str">
        <f t="shared" ref="Y119:Y160" si="157">IF(OR(Z119="Preventivo",Z119="Detectivo"),"Probabilidad",IF(Z119="Correctivo","Impacto",""))</f>
        <v>Probabilidad</v>
      </c>
      <c r="Z119" s="188" t="s">
        <v>211</v>
      </c>
      <c r="AA119" s="188" t="s">
        <v>219</v>
      </c>
      <c r="AB119" s="185" t="str">
        <f t="shared" si="143"/>
        <v>40%</v>
      </c>
      <c r="AC119" s="188" t="s">
        <v>222</v>
      </c>
      <c r="AD119" s="188" t="s">
        <v>227</v>
      </c>
      <c r="AE119" s="188" t="s">
        <v>231</v>
      </c>
      <c r="AF119" s="602">
        <f t="shared" ref="AF119" si="158">IFERROR(IF(Y119="Probabilidad",(Q119-(+Q119*AB119)),IF(Y119="Impacto",Q119,"")),"")</f>
        <v>0.48</v>
      </c>
      <c r="AG119" s="186" t="str">
        <f t="shared" ref="AG119:AG160" si="159">IFERROR(IF(AF119="","",IF(AF119&lt;=0.2,"Muy Baja",IF(AF119&lt;=0.4,"Baja",IF(AF119&lt;=0.6,"Media",IF(AF119&lt;=0.8,"Alta","Muy Alta"))))),"")</f>
        <v>Media</v>
      </c>
      <c r="AH119" s="185">
        <f t="shared" ref="AH119:AH160" si="160">+AF119</f>
        <v>0.48</v>
      </c>
      <c r="AI119" s="186" t="str">
        <f t="shared" ref="AI119:AI160" ca="1" si="161">IFERROR(IF(AJ119="","",IF(AJ119&lt;=0.2,"Leve",IF(AJ119&lt;=0.4,"Menor",IF(AJ119&lt;=0.6,"Moderado",IF(AJ119&lt;=0.8,"Mayor","Catastrófico"))))),"")</f>
        <v>Moderado</v>
      </c>
      <c r="AJ119" s="185">
        <f t="shared" ref="AJ119" ca="1" si="162">IFERROR(IF(Y119="Impacto",(U119-(+U119*AB119)),IF(Y119="Probabilidad",U119,"")),"")</f>
        <v>0.6</v>
      </c>
      <c r="AK119" s="187" t="str">
        <f t="shared" ref="AK119:AK160" ca="1" si="163">IFERROR(IF(OR(AND(AG119="Muy Baja",AI119="Leve"),AND(AG119="Muy Baja",AI119="Menor"),AND(AG119="Baja",AI119="Leve")),"Bajo",IF(OR(AND(AG119="Muy baja",AI119="Moderado"),AND(AG119="Baja",AI119="Menor"),AND(AG119="Baja",AI119="Moderado"),AND(AG119="Media",AI119="Leve"),AND(AG119="Media",AI119="Menor"),AND(AG119="Media",AI119="Moderado"),AND(AG119="Alta",AI119="Leve"),AND(AG119="Alta",AI119="Menor")),"Moderado",IF(OR(AND(AG119="Muy Baja",AI119="Mayor"),AND(AG119="Baja",AI119="Mayor"),AND(AG119="Media",AI119="Mayor"),AND(AG119="Alta",AI119="Moderado"),AND(AG119="Alta",AI119="Mayor"),AND(AG119="Muy Alta",AI119="Leve"),AND(AG119="Muy Alta",AI119="Menor"),AND(AG119="Muy Alta",AI119="Moderado"),AND(AG119="Muy Alta",AI119="Mayor")),"Alto",IF(OR(AND(AG119="Muy Baja",AI119="Catastrófico"),AND(AG119="Baja",AI119="Catastrófico"),AND(AG119="Media",AI119="Catastrófico"),AND(AG119="Alta",AI119="Catastrófico"),AND(AG119="Muy Alta",AI119="Catastrófico")),"Extremo","")))),"")</f>
        <v>Moderado</v>
      </c>
      <c r="AL119" s="603" t="s">
        <v>258</v>
      </c>
      <c r="AM119" s="189"/>
      <c r="AN119" s="194"/>
      <c r="AO119" s="190"/>
      <c r="AP119" s="190"/>
      <c r="AQ119" s="191"/>
      <c r="AR119" s="194"/>
    </row>
    <row r="120" spans="1:44" s="605" customFormat="1" ht="117" customHeight="1" x14ac:dyDescent="0.25">
      <c r="A120" s="252"/>
      <c r="B120" s="246"/>
      <c r="C120" s="251"/>
      <c r="D120" s="264"/>
      <c r="E120" s="253"/>
      <c r="F120" s="254"/>
      <c r="G120" s="254"/>
      <c r="H120" s="255"/>
      <c r="I120" s="249"/>
      <c r="J120" s="249"/>
      <c r="K120" s="249"/>
      <c r="L120" s="249"/>
      <c r="M120" s="253"/>
      <c r="N120" s="251"/>
      <c r="O120" s="256"/>
      <c r="P120" s="610"/>
      <c r="Q120" s="611"/>
      <c r="R120" s="611"/>
      <c r="S120" s="611">
        <f ca="1">IF(NOT(ISERROR(MATCH(R120,_xlfn.ANCHORARRAY(H131),0))),Q133&amp;"Por favor no seleccionar los criterios de impacto",R120)</f>
        <v>0</v>
      </c>
      <c r="T120" s="610"/>
      <c r="U120" s="611"/>
      <c r="V120" s="252"/>
      <c r="W120" s="194">
        <v>2</v>
      </c>
      <c r="X120" s="192" t="s">
        <v>639</v>
      </c>
      <c r="Y120" s="194" t="str">
        <f t="shared" si="157"/>
        <v>Probabilidad</v>
      </c>
      <c r="Z120" s="188" t="s">
        <v>211</v>
      </c>
      <c r="AA120" s="188" t="s">
        <v>219</v>
      </c>
      <c r="AB120" s="185" t="str">
        <f t="shared" si="143"/>
        <v>40%</v>
      </c>
      <c r="AC120" s="188" t="s">
        <v>222</v>
      </c>
      <c r="AD120" s="188" t="s">
        <v>227</v>
      </c>
      <c r="AE120" s="188" t="s">
        <v>231</v>
      </c>
      <c r="AF120" s="602">
        <f t="shared" ref="AF120:AF124" si="164">IFERROR(IF(AND(Y119="Probabilidad",Y120="Probabilidad"),(AH119-(+AH119*AB120)),IF(Y120="Probabilidad",(Q119-(+Q119*AB120)),IF(Y120="Impacto",AH119,""))),"")</f>
        <v>0.28799999999999998</v>
      </c>
      <c r="AG120" s="186" t="str">
        <f t="shared" si="159"/>
        <v>Baja</v>
      </c>
      <c r="AH120" s="185">
        <f t="shared" si="160"/>
        <v>0.28799999999999998</v>
      </c>
      <c r="AI120" s="186" t="str">
        <f t="shared" ca="1" si="161"/>
        <v>Moderado</v>
      </c>
      <c r="AJ120" s="185">
        <f t="shared" ref="AJ120" ca="1" si="165">IFERROR(IF(AND(Y119="Impacto",Y120="Impacto"),(AJ119-(+AJ119*AB120)),IF(Y120="Impacto",(U119-(+U119*AB120)),IF(Y120="Probabilidad",AJ119,""))),"")</f>
        <v>0.6</v>
      </c>
      <c r="AK120" s="187" t="str">
        <f t="shared" ca="1" si="163"/>
        <v>Moderado</v>
      </c>
      <c r="AL120" s="603" t="s">
        <v>258</v>
      </c>
      <c r="AM120" s="189"/>
      <c r="AN120" s="194"/>
      <c r="AO120" s="190"/>
      <c r="AP120" s="190"/>
      <c r="AQ120" s="191"/>
      <c r="AR120" s="194"/>
    </row>
    <row r="121" spans="1:44" s="605" customFormat="1" ht="69" hidden="1" customHeight="1" x14ac:dyDescent="0.25">
      <c r="A121" s="252"/>
      <c r="B121" s="246"/>
      <c r="C121" s="251"/>
      <c r="D121" s="264"/>
      <c r="E121" s="253"/>
      <c r="F121" s="254"/>
      <c r="G121" s="254"/>
      <c r="H121" s="255"/>
      <c r="I121" s="249"/>
      <c r="J121" s="249"/>
      <c r="K121" s="249"/>
      <c r="L121" s="249"/>
      <c r="M121" s="253"/>
      <c r="N121" s="251"/>
      <c r="O121" s="256"/>
      <c r="P121" s="610"/>
      <c r="Q121" s="611"/>
      <c r="R121" s="611"/>
      <c r="S121" s="611">
        <f ca="1">IF(NOT(ISERROR(MATCH(R121,_xlfn.ANCHORARRAY(H132),0))),Q134&amp;"Por favor no seleccionar los criterios de impacto",R121)</f>
        <v>0</v>
      </c>
      <c r="T121" s="610"/>
      <c r="U121" s="611"/>
      <c r="V121" s="252"/>
      <c r="W121" s="194">
        <v>3</v>
      </c>
      <c r="X121" s="192"/>
      <c r="Y121" s="194" t="str">
        <f t="shared" si="157"/>
        <v/>
      </c>
      <c r="Z121" s="188"/>
      <c r="AA121" s="188"/>
      <c r="AB121" s="185" t="str">
        <f t="shared" ref="AB121:AB163" si="166">IF(AND(Z121="Preventivo",AA121="Automático"),"50%",IF(AND(Z121="Preventivo",AA121="Manual"),"40%",IF(AND(Z121="Detectivo",AA121="Automático"),"40%",IF(AND(Z121="Detectivo",AA121="Manual"),"30%",IF(AND(Z121="Correctivo",AA121="Automático"),"35%",IF(AND(Z121="Correctivo",AA121="Manual"),"25%",""))))))</f>
        <v/>
      </c>
      <c r="AC121" s="188"/>
      <c r="AD121" s="188"/>
      <c r="AE121" s="188"/>
      <c r="AF121" s="602" t="str">
        <f t="shared" si="164"/>
        <v/>
      </c>
      <c r="AG121" s="186" t="str">
        <f t="shared" si="159"/>
        <v/>
      </c>
      <c r="AH121" s="185" t="str">
        <f t="shared" si="160"/>
        <v/>
      </c>
      <c r="AI121" s="186" t="str">
        <f t="shared" si="161"/>
        <v/>
      </c>
      <c r="AJ121" s="185" t="str">
        <f t="shared" ref="AJ121:AJ124" si="167">IFERROR(IF(AND(Y120="Impacto",Y121="Impacto"),(AJ120-(+AJ120*AB121)),IF(AND(Y120="Probabilidad",Y121="Impacto"),(AJ119-(+AJ119*AB121)),IF(Y121="Probabilidad",AJ120,""))),"")</f>
        <v/>
      </c>
      <c r="AK121" s="187" t="str">
        <f t="shared" si="163"/>
        <v/>
      </c>
      <c r="AL121" s="603"/>
      <c r="AM121" s="189"/>
      <c r="AN121" s="194"/>
      <c r="AO121" s="190"/>
      <c r="AP121" s="190"/>
      <c r="AQ121" s="191"/>
      <c r="AR121" s="194"/>
    </row>
    <row r="122" spans="1:44" s="605" customFormat="1" ht="69" hidden="1" customHeight="1" x14ac:dyDescent="0.25">
      <c r="A122" s="252"/>
      <c r="B122" s="246"/>
      <c r="C122" s="251"/>
      <c r="D122" s="264"/>
      <c r="E122" s="253"/>
      <c r="F122" s="254"/>
      <c r="G122" s="254"/>
      <c r="H122" s="255"/>
      <c r="I122" s="249"/>
      <c r="J122" s="249"/>
      <c r="K122" s="249"/>
      <c r="L122" s="249"/>
      <c r="M122" s="253"/>
      <c r="N122" s="251"/>
      <c r="O122" s="256"/>
      <c r="P122" s="610"/>
      <c r="Q122" s="611"/>
      <c r="R122" s="611"/>
      <c r="S122" s="611">
        <f ca="1">IF(NOT(ISERROR(MATCH(R122,_xlfn.ANCHORARRAY(H133),0))),Q135&amp;"Por favor no seleccionar los criterios de impacto",R122)</f>
        <v>0</v>
      </c>
      <c r="T122" s="610"/>
      <c r="U122" s="611"/>
      <c r="V122" s="252"/>
      <c r="W122" s="194">
        <v>4</v>
      </c>
      <c r="X122" s="192"/>
      <c r="Y122" s="194" t="str">
        <f t="shared" si="157"/>
        <v/>
      </c>
      <c r="Z122" s="188"/>
      <c r="AA122" s="188"/>
      <c r="AB122" s="185" t="str">
        <f t="shared" si="166"/>
        <v/>
      </c>
      <c r="AC122" s="188"/>
      <c r="AD122" s="188"/>
      <c r="AE122" s="188"/>
      <c r="AF122" s="602" t="str">
        <f t="shared" si="164"/>
        <v/>
      </c>
      <c r="AG122" s="186" t="str">
        <f t="shared" si="159"/>
        <v/>
      </c>
      <c r="AH122" s="185" t="str">
        <f t="shared" si="160"/>
        <v/>
      </c>
      <c r="AI122" s="186" t="str">
        <f t="shared" si="161"/>
        <v/>
      </c>
      <c r="AJ122" s="185" t="str">
        <f t="shared" si="167"/>
        <v/>
      </c>
      <c r="AK122" s="187" t="str">
        <f t="shared" si="163"/>
        <v/>
      </c>
      <c r="AL122" s="603"/>
      <c r="AM122" s="189"/>
      <c r="AN122" s="194"/>
      <c r="AO122" s="190"/>
      <c r="AP122" s="190"/>
      <c r="AQ122" s="191"/>
      <c r="AR122" s="194"/>
    </row>
    <row r="123" spans="1:44" s="605" customFormat="1" ht="69" hidden="1" customHeight="1" x14ac:dyDescent="0.25">
      <c r="A123" s="252"/>
      <c r="B123" s="246"/>
      <c r="C123" s="251"/>
      <c r="D123" s="264"/>
      <c r="E123" s="253"/>
      <c r="F123" s="254"/>
      <c r="G123" s="254"/>
      <c r="H123" s="255"/>
      <c r="I123" s="249"/>
      <c r="J123" s="249"/>
      <c r="K123" s="249"/>
      <c r="L123" s="249"/>
      <c r="M123" s="253"/>
      <c r="N123" s="251"/>
      <c r="O123" s="256"/>
      <c r="P123" s="610"/>
      <c r="Q123" s="611"/>
      <c r="R123" s="611"/>
      <c r="S123" s="611">
        <f ca="1">IF(NOT(ISERROR(MATCH(R123,_xlfn.ANCHORARRAY(H134),0))),Q136&amp;"Por favor no seleccionar los criterios de impacto",R123)</f>
        <v>0</v>
      </c>
      <c r="T123" s="610"/>
      <c r="U123" s="611"/>
      <c r="V123" s="252"/>
      <c r="W123" s="194">
        <v>5</v>
      </c>
      <c r="X123" s="192"/>
      <c r="Y123" s="194" t="str">
        <f t="shared" si="157"/>
        <v/>
      </c>
      <c r="Z123" s="188"/>
      <c r="AA123" s="188"/>
      <c r="AB123" s="185" t="str">
        <f t="shared" si="166"/>
        <v/>
      </c>
      <c r="AC123" s="188"/>
      <c r="AD123" s="188"/>
      <c r="AE123" s="188"/>
      <c r="AF123" s="602" t="str">
        <f t="shared" si="164"/>
        <v/>
      </c>
      <c r="AG123" s="186" t="str">
        <f t="shared" si="159"/>
        <v/>
      </c>
      <c r="AH123" s="185" t="str">
        <f t="shared" si="160"/>
        <v/>
      </c>
      <c r="AI123" s="186" t="str">
        <f t="shared" si="161"/>
        <v/>
      </c>
      <c r="AJ123" s="185" t="str">
        <f t="shared" si="167"/>
        <v/>
      </c>
      <c r="AK123" s="187" t="str">
        <f t="shared" si="163"/>
        <v/>
      </c>
      <c r="AL123" s="603"/>
      <c r="AM123" s="189"/>
      <c r="AN123" s="194"/>
      <c r="AO123" s="190"/>
      <c r="AP123" s="190"/>
      <c r="AQ123" s="191"/>
      <c r="AR123" s="194"/>
    </row>
    <row r="124" spans="1:44" s="605" customFormat="1" ht="69" hidden="1" customHeight="1" x14ac:dyDescent="0.25">
      <c r="A124" s="252"/>
      <c r="B124" s="247"/>
      <c r="C124" s="239"/>
      <c r="D124" s="265"/>
      <c r="E124" s="253"/>
      <c r="F124" s="254"/>
      <c r="G124" s="254"/>
      <c r="H124" s="255"/>
      <c r="I124" s="250"/>
      <c r="J124" s="250"/>
      <c r="K124" s="250"/>
      <c r="L124" s="250"/>
      <c r="M124" s="253"/>
      <c r="N124" s="239"/>
      <c r="O124" s="256"/>
      <c r="P124" s="610"/>
      <c r="Q124" s="611"/>
      <c r="R124" s="611"/>
      <c r="S124" s="611">
        <f ca="1">IF(NOT(ISERROR(MATCH(R124,_xlfn.ANCHORARRAY(H135),0))),Q137&amp;"Por favor no seleccionar los criterios de impacto",R124)</f>
        <v>0</v>
      </c>
      <c r="T124" s="610"/>
      <c r="U124" s="611"/>
      <c r="V124" s="252"/>
      <c r="W124" s="194">
        <v>6</v>
      </c>
      <c r="X124" s="192"/>
      <c r="Y124" s="194" t="str">
        <f t="shared" si="157"/>
        <v/>
      </c>
      <c r="Z124" s="188"/>
      <c r="AA124" s="188"/>
      <c r="AB124" s="185" t="str">
        <f t="shared" si="166"/>
        <v/>
      </c>
      <c r="AC124" s="188"/>
      <c r="AD124" s="188"/>
      <c r="AE124" s="188"/>
      <c r="AF124" s="602" t="str">
        <f t="shared" si="164"/>
        <v/>
      </c>
      <c r="AG124" s="186" t="str">
        <f t="shared" si="159"/>
        <v/>
      </c>
      <c r="AH124" s="185" t="str">
        <f t="shared" si="160"/>
        <v/>
      </c>
      <c r="AI124" s="186" t="str">
        <f t="shared" si="161"/>
        <v/>
      </c>
      <c r="AJ124" s="185" t="str">
        <f t="shared" si="167"/>
        <v/>
      </c>
      <c r="AK124" s="187" t="str">
        <f t="shared" si="163"/>
        <v/>
      </c>
      <c r="AL124" s="603"/>
      <c r="AM124" s="189"/>
      <c r="AN124" s="194"/>
      <c r="AO124" s="190"/>
      <c r="AP124" s="190"/>
      <c r="AQ124" s="191"/>
      <c r="AR124" s="194"/>
    </row>
    <row r="125" spans="1:44" s="605" customFormat="1" ht="101.25" x14ac:dyDescent="0.25">
      <c r="A125" s="252">
        <v>19</v>
      </c>
      <c r="B125" s="245" t="s">
        <v>640</v>
      </c>
      <c r="C125" s="238" t="s">
        <v>272</v>
      </c>
      <c r="D125" s="263" t="s">
        <v>641</v>
      </c>
      <c r="E125" s="253" t="s">
        <v>243</v>
      </c>
      <c r="F125" s="254" t="s">
        <v>642</v>
      </c>
      <c r="G125" s="254" t="s">
        <v>643</v>
      </c>
      <c r="H125" s="255" t="s">
        <v>644</v>
      </c>
      <c r="I125" s="248" t="s">
        <v>480</v>
      </c>
      <c r="J125" s="248" t="s">
        <v>480</v>
      </c>
      <c r="K125" s="248" t="s">
        <v>480</v>
      </c>
      <c r="L125" s="248" t="s">
        <v>480</v>
      </c>
      <c r="M125" s="253" t="s">
        <v>242</v>
      </c>
      <c r="N125" s="238"/>
      <c r="O125" s="256">
        <v>365</v>
      </c>
      <c r="P125" s="610" t="str">
        <f t="shared" si="153"/>
        <v>Media</v>
      </c>
      <c r="Q125" s="611">
        <f t="shared" si="154"/>
        <v>0.6</v>
      </c>
      <c r="R125" s="611" t="s">
        <v>193</v>
      </c>
      <c r="S125" s="611" t="str">
        <f ca="1">IF(NOT(ISERROR(MATCH(R125,'Tabla Impacto'!$B$221:$B$223,0))),'Tabla Impacto'!$F$223&amp;"Por favor no seleccionar los criterios de impacto(Afectación Económica o presupuestal y Pérdida Reputacional)",R125)</f>
        <v>El riesgo afecta la imagen de la entidad con algunos usuarios de relevancia frente al logro de los objetivos</v>
      </c>
      <c r="T125" s="610" t="str">
        <f ca="1">+IF(OR(S125='[1]Tabla Impacto'!$C$11,S125='[1]Tabla Impacto'!$D$11),"Leve",IF(OR(S125='[1]Tabla Impacto'!$C$12,S125='[1]Tabla Impacto'!$D$12),"Menor",IF(OR(S125='[1]Tabla Impacto'!$C$13,S125='[1]Tabla Impacto'!$D$13),"Moderado",IF(OR(S125='[1]Tabla Impacto'!$C$14,S125='[1]Tabla Impacto'!$D$14),"Mayor",IF(OR(S125='[1]Tabla Impacto'!$C$15,S125='[1]Tabla Impacto'!$D$15),"Catastrófico","")))))</f>
        <v>Moderado</v>
      </c>
      <c r="U125" s="611">
        <f t="shared" ref="U125" ca="1" si="168">IF(T125="","",IF(T125="Leve",0.2,IF(T125="Menor",0.4,IF(T125="Moderado",0.6,IF(T125="Mayor",0.8,IF(T125="Catastrófico",1,))))))</f>
        <v>0.6</v>
      </c>
      <c r="V125" s="252" t="str">
        <f t="shared" ref="V125" ca="1" si="169">IF(OR(AND(P125="Muy Baja",T125="Leve"),AND(P125="Muy Baja",T125="Menor"),AND(P125="Baja",T125="Leve")),"Bajo",IF(OR(AND(P125="Muy baja",T125="Moderado"),AND(P125="Baja",T125="Menor"),AND(P125="Baja",T125="Moderado"),AND(P125="Media",T125="Leve"),AND(P125="Media",T125="Menor"),AND(P125="Media",T125="Moderado"),AND(P125="Alta",T125="Leve"),AND(P125="Alta",T125="Menor")),"Moderado",IF(OR(AND(P125="Muy Baja",T125="Mayor"),AND(P125="Baja",T125="Mayor"),AND(P125="Media",T125="Mayor"),AND(P125="Alta",T125="Moderado"),AND(P125="Alta",T125="Mayor"),AND(P125="Muy Alta",T125="Leve"),AND(P125="Muy Alta",T125="Menor"),AND(P125="Muy Alta",T125="Moderado"),AND(P125="Muy Alta",T125="Mayor")),"Alto",IF(OR(AND(P125="Muy Baja",T125="Catastrófico"),AND(P125="Baja",T125="Catastrófico"),AND(P125="Media",T125="Catastrófico"),AND(P125="Alta",T125="Catastrófico"),AND(P125="Muy Alta",T125="Catastrófico")),"Extremo",""))))</f>
        <v>Moderado</v>
      </c>
      <c r="W125" s="194">
        <v>1</v>
      </c>
      <c r="X125" s="192" t="s">
        <v>645</v>
      </c>
      <c r="Y125" s="194" t="str">
        <f t="shared" si="157"/>
        <v>Probabilidad</v>
      </c>
      <c r="Z125" s="188" t="s">
        <v>213</v>
      </c>
      <c r="AA125" s="188" t="s">
        <v>219</v>
      </c>
      <c r="AB125" s="185" t="str">
        <f t="shared" si="166"/>
        <v>30%</v>
      </c>
      <c r="AC125" s="188" t="s">
        <v>222</v>
      </c>
      <c r="AD125" s="188" t="s">
        <v>227</v>
      </c>
      <c r="AE125" s="188" t="s">
        <v>231</v>
      </c>
      <c r="AF125" s="602">
        <f t="shared" ref="AF125" si="170">IFERROR(IF(Y125="Probabilidad",(Q125-(+Q125*AB125)),IF(Y125="Impacto",Q125,"")),"")</f>
        <v>0.42</v>
      </c>
      <c r="AG125" s="186" t="str">
        <f t="shared" si="159"/>
        <v>Media</v>
      </c>
      <c r="AH125" s="185">
        <f t="shared" si="160"/>
        <v>0.42</v>
      </c>
      <c r="AI125" s="186" t="str">
        <f t="shared" ca="1" si="161"/>
        <v>Moderado</v>
      </c>
      <c r="AJ125" s="185">
        <f t="shared" ref="AJ125" ca="1" si="171">IFERROR(IF(Y125="Impacto",(U125-(+U125*AB125)),IF(Y125="Probabilidad",U125,"")),"")</f>
        <v>0.6</v>
      </c>
      <c r="AK125" s="187" t="str">
        <f t="shared" ca="1" si="163"/>
        <v>Moderado</v>
      </c>
      <c r="AL125" s="603" t="s">
        <v>258</v>
      </c>
      <c r="AM125" s="189"/>
      <c r="AN125" s="194"/>
      <c r="AO125" s="190"/>
      <c r="AP125" s="190"/>
      <c r="AQ125" s="191"/>
      <c r="AR125" s="194"/>
    </row>
    <row r="126" spans="1:44" s="605" customFormat="1" ht="182.25" x14ac:dyDescent="0.25">
      <c r="A126" s="252"/>
      <c r="B126" s="246"/>
      <c r="C126" s="251"/>
      <c r="D126" s="266"/>
      <c r="E126" s="253"/>
      <c r="F126" s="254"/>
      <c r="G126" s="254"/>
      <c r="H126" s="255"/>
      <c r="I126" s="249"/>
      <c r="J126" s="249"/>
      <c r="K126" s="249"/>
      <c r="L126" s="249"/>
      <c r="M126" s="253"/>
      <c r="N126" s="251"/>
      <c r="O126" s="256"/>
      <c r="P126" s="610"/>
      <c r="Q126" s="611"/>
      <c r="R126" s="611"/>
      <c r="S126" s="611">
        <f ca="1">IF(NOT(ISERROR(MATCH(R126,_xlfn.ANCHORARRAY(H137),0))),Q139&amp;"Por favor no seleccionar los criterios de impacto",R126)</f>
        <v>0</v>
      </c>
      <c r="T126" s="610"/>
      <c r="U126" s="611"/>
      <c r="V126" s="252"/>
      <c r="W126" s="194">
        <v>2</v>
      </c>
      <c r="X126" s="192" t="s">
        <v>646</v>
      </c>
      <c r="Y126" s="194" t="str">
        <f t="shared" si="157"/>
        <v>Probabilidad</v>
      </c>
      <c r="Z126" s="188" t="s">
        <v>211</v>
      </c>
      <c r="AA126" s="188" t="s">
        <v>219</v>
      </c>
      <c r="AB126" s="185" t="str">
        <f t="shared" si="166"/>
        <v>40%</v>
      </c>
      <c r="AC126" s="188" t="s">
        <v>222</v>
      </c>
      <c r="AD126" s="188" t="s">
        <v>227</v>
      </c>
      <c r="AE126" s="188" t="s">
        <v>231</v>
      </c>
      <c r="AF126" s="602">
        <f t="shared" ref="AF126:AF130" si="172">IFERROR(IF(AND(Y125="Probabilidad",Y126="Probabilidad"),(AH125-(+AH125*AB126)),IF(Y126="Probabilidad",(Q125-(+Q125*AB126)),IF(Y126="Impacto",AH125,""))),"")</f>
        <v>0.252</v>
      </c>
      <c r="AG126" s="186" t="str">
        <f t="shared" si="159"/>
        <v>Baja</v>
      </c>
      <c r="AH126" s="185">
        <f t="shared" si="160"/>
        <v>0.252</v>
      </c>
      <c r="AI126" s="186" t="str">
        <f t="shared" ca="1" si="161"/>
        <v>Moderado</v>
      </c>
      <c r="AJ126" s="185">
        <f t="shared" ref="AJ126" ca="1" si="173">IFERROR(IF(AND(Y125="Impacto",Y126="Impacto"),(AJ125-(+AJ125*AB126)),IF(Y126="Impacto",(U125-(+U125*AB126)),IF(Y126="Probabilidad",AJ125,""))),"")</f>
        <v>0.6</v>
      </c>
      <c r="AK126" s="187" t="str">
        <f t="shared" ca="1" si="163"/>
        <v>Moderado</v>
      </c>
      <c r="AL126" s="603" t="s">
        <v>258</v>
      </c>
      <c r="AM126" s="189"/>
      <c r="AN126" s="194"/>
      <c r="AO126" s="190"/>
      <c r="AP126" s="190"/>
      <c r="AQ126" s="191"/>
      <c r="AR126" s="194"/>
    </row>
    <row r="127" spans="1:44" s="605" customFormat="1" ht="101.25" x14ac:dyDescent="0.25">
      <c r="A127" s="252"/>
      <c r="B127" s="246"/>
      <c r="C127" s="251"/>
      <c r="D127" s="266"/>
      <c r="E127" s="253"/>
      <c r="F127" s="254"/>
      <c r="G127" s="254"/>
      <c r="H127" s="255"/>
      <c r="I127" s="249"/>
      <c r="J127" s="249"/>
      <c r="K127" s="249"/>
      <c r="L127" s="249"/>
      <c r="M127" s="253"/>
      <c r="N127" s="251"/>
      <c r="O127" s="256"/>
      <c r="P127" s="610"/>
      <c r="Q127" s="611"/>
      <c r="R127" s="611"/>
      <c r="S127" s="611">
        <f ca="1">IF(NOT(ISERROR(MATCH(R127,_xlfn.ANCHORARRAY(H138),0))),Q140&amp;"Por favor no seleccionar los criterios de impacto",R127)</f>
        <v>0</v>
      </c>
      <c r="T127" s="610"/>
      <c r="U127" s="611"/>
      <c r="V127" s="252"/>
      <c r="W127" s="194">
        <v>3</v>
      </c>
      <c r="X127" s="192" t="s">
        <v>647</v>
      </c>
      <c r="Y127" s="194" t="str">
        <f t="shared" si="157"/>
        <v>Probabilidad</v>
      </c>
      <c r="Z127" s="188" t="s">
        <v>211</v>
      </c>
      <c r="AA127" s="188" t="s">
        <v>219</v>
      </c>
      <c r="AB127" s="185" t="str">
        <f t="shared" si="166"/>
        <v>40%</v>
      </c>
      <c r="AC127" s="188" t="s">
        <v>222</v>
      </c>
      <c r="AD127" s="188" t="s">
        <v>227</v>
      </c>
      <c r="AE127" s="188" t="s">
        <v>231</v>
      </c>
      <c r="AF127" s="602">
        <f t="shared" si="172"/>
        <v>0.1512</v>
      </c>
      <c r="AG127" s="186" t="str">
        <f t="shared" si="159"/>
        <v>Muy Baja</v>
      </c>
      <c r="AH127" s="185">
        <f t="shared" si="160"/>
        <v>0.1512</v>
      </c>
      <c r="AI127" s="186" t="str">
        <f t="shared" ca="1" si="161"/>
        <v>Moderado</v>
      </c>
      <c r="AJ127" s="185">
        <f t="shared" ref="AJ127:AJ130" ca="1" si="174">IFERROR(IF(AND(Y126="Impacto",Y127="Impacto"),(AJ126-(+AJ126*AB127)),IF(AND(Y126="Probabilidad",Y127="Impacto"),(AJ125-(+AJ125*AB127)),IF(Y127="Probabilidad",AJ126,""))),"")</f>
        <v>0.6</v>
      </c>
      <c r="AK127" s="187" t="str">
        <f t="shared" ca="1" si="163"/>
        <v>Moderado</v>
      </c>
      <c r="AL127" s="603" t="s">
        <v>258</v>
      </c>
      <c r="AM127" s="189"/>
      <c r="AN127" s="194"/>
      <c r="AO127" s="190"/>
      <c r="AP127" s="190"/>
      <c r="AQ127" s="191"/>
      <c r="AR127" s="194"/>
    </row>
    <row r="128" spans="1:44" s="605" customFormat="1" ht="101.25" x14ac:dyDescent="0.25">
      <c r="A128" s="252"/>
      <c r="B128" s="246"/>
      <c r="C128" s="251"/>
      <c r="D128" s="266"/>
      <c r="E128" s="253"/>
      <c r="F128" s="254"/>
      <c r="G128" s="254"/>
      <c r="H128" s="255"/>
      <c r="I128" s="249"/>
      <c r="J128" s="249"/>
      <c r="K128" s="249"/>
      <c r="L128" s="249"/>
      <c r="M128" s="253"/>
      <c r="N128" s="251"/>
      <c r="O128" s="256"/>
      <c r="P128" s="610"/>
      <c r="Q128" s="611"/>
      <c r="R128" s="611"/>
      <c r="S128" s="611">
        <f ca="1">IF(NOT(ISERROR(MATCH(R128,_xlfn.ANCHORARRAY(H139),0))),Q141&amp;"Por favor no seleccionar los criterios de impacto",R128)</f>
        <v>0</v>
      </c>
      <c r="T128" s="610"/>
      <c r="U128" s="611"/>
      <c r="V128" s="252"/>
      <c r="W128" s="194">
        <v>4</v>
      </c>
      <c r="X128" s="196" t="s">
        <v>648</v>
      </c>
      <c r="Y128" s="194" t="str">
        <f t="shared" si="157"/>
        <v>Probabilidad</v>
      </c>
      <c r="Z128" s="188" t="s">
        <v>211</v>
      </c>
      <c r="AA128" s="188" t="s">
        <v>219</v>
      </c>
      <c r="AB128" s="185" t="str">
        <f t="shared" si="166"/>
        <v>40%</v>
      </c>
      <c r="AC128" s="188" t="s">
        <v>222</v>
      </c>
      <c r="AD128" s="188" t="s">
        <v>227</v>
      </c>
      <c r="AE128" s="188" t="s">
        <v>231</v>
      </c>
      <c r="AF128" s="602">
        <f t="shared" si="172"/>
        <v>9.0719999999999995E-2</v>
      </c>
      <c r="AG128" s="186" t="str">
        <f t="shared" si="159"/>
        <v>Muy Baja</v>
      </c>
      <c r="AH128" s="185">
        <f t="shared" si="160"/>
        <v>9.0719999999999995E-2</v>
      </c>
      <c r="AI128" s="186" t="str">
        <f t="shared" ca="1" si="161"/>
        <v>Moderado</v>
      </c>
      <c r="AJ128" s="185">
        <f t="shared" ca="1" si="174"/>
        <v>0.6</v>
      </c>
      <c r="AK128" s="187" t="str">
        <f t="shared" ca="1" si="163"/>
        <v>Moderado</v>
      </c>
      <c r="AL128" s="603" t="s">
        <v>258</v>
      </c>
      <c r="AM128" s="189"/>
      <c r="AN128" s="194"/>
      <c r="AO128" s="190"/>
      <c r="AP128" s="190"/>
      <c r="AQ128" s="191"/>
      <c r="AR128" s="194"/>
    </row>
    <row r="129" spans="1:44" s="605" customFormat="1" ht="95.25" customHeight="1" x14ac:dyDescent="0.25">
      <c r="A129" s="252"/>
      <c r="B129" s="246"/>
      <c r="C129" s="251"/>
      <c r="D129" s="266"/>
      <c r="E129" s="253"/>
      <c r="F129" s="254"/>
      <c r="G129" s="254"/>
      <c r="H129" s="255"/>
      <c r="I129" s="249"/>
      <c r="J129" s="249"/>
      <c r="K129" s="249"/>
      <c r="L129" s="249"/>
      <c r="M129" s="253"/>
      <c r="N129" s="251"/>
      <c r="O129" s="256"/>
      <c r="P129" s="610"/>
      <c r="Q129" s="611"/>
      <c r="R129" s="611"/>
      <c r="S129" s="611">
        <f ca="1">IF(NOT(ISERROR(MATCH(R129,_xlfn.ANCHORARRAY(H140),0))),Q142&amp;"Por favor no seleccionar los criterios de impacto",R129)</f>
        <v>0</v>
      </c>
      <c r="T129" s="610"/>
      <c r="U129" s="611"/>
      <c r="V129" s="252"/>
      <c r="W129" s="194">
        <v>5</v>
      </c>
      <c r="X129" s="196" t="s">
        <v>649</v>
      </c>
      <c r="Y129" s="194" t="str">
        <f t="shared" si="157"/>
        <v>Probabilidad</v>
      </c>
      <c r="Z129" s="188" t="s">
        <v>211</v>
      </c>
      <c r="AA129" s="188" t="s">
        <v>219</v>
      </c>
      <c r="AB129" s="185" t="str">
        <f t="shared" si="166"/>
        <v>40%</v>
      </c>
      <c r="AC129" s="188" t="s">
        <v>222</v>
      </c>
      <c r="AD129" s="188" t="s">
        <v>227</v>
      </c>
      <c r="AE129" s="188" t="s">
        <v>231</v>
      </c>
      <c r="AF129" s="602">
        <f t="shared" si="172"/>
        <v>5.4431999999999994E-2</v>
      </c>
      <c r="AG129" s="186" t="str">
        <f t="shared" si="159"/>
        <v>Muy Baja</v>
      </c>
      <c r="AH129" s="185">
        <f t="shared" si="160"/>
        <v>5.4431999999999994E-2</v>
      </c>
      <c r="AI129" s="186" t="str">
        <f t="shared" ca="1" si="161"/>
        <v>Moderado</v>
      </c>
      <c r="AJ129" s="185">
        <f t="shared" ca="1" si="174"/>
        <v>0.6</v>
      </c>
      <c r="AK129" s="187" t="str">
        <f t="shared" ca="1" si="163"/>
        <v>Moderado</v>
      </c>
      <c r="AL129" s="603" t="s">
        <v>258</v>
      </c>
      <c r="AM129" s="189"/>
      <c r="AN129" s="194"/>
      <c r="AO129" s="190"/>
      <c r="AP129" s="190"/>
      <c r="AQ129" s="191"/>
      <c r="AR129" s="194"/>
    </row>
    <row r="130" spans="1:44" s="605" customFormat="1" ht="69" hidden="1" customHeight="1" x14ac:dyDescent="0.25">
      <c r="A130" s="252"/>
      <c r="B130" s="247"/>
      <c r="C130" s="239"/>
      <c r="D130" s="267"/>
      <c r="E130" s="253"/>
      <c r="F130" s="254"/>
      <c r="G130" s="254"/>
      <c r="H130" s="255"/>
      <c r="I130" s="250"/>
      <c r="J130" s="250"/>
      <c r="K130" s="250"/>
      <c r="L130" s="250"/>
      <c r="M130" s="253"/>
      <c r="N130" s="239"/>
      <c r="O130" s="256"/>
      <c r="P130" s="610"/>
      <c r="Q130" s="611"/>
      <c r="R130" s="611"/>
      <c r="S130" s="611">
        <f ca="1">IF(NOT(ISERROR(MATCH(R130,_xlfn.ANCHORARRAY(H141),0))),Q143&amp;"Por favor no seleccionar los criterios de impacto",R130)</f>
        <v>0</v>
      </c>
      <c r="T130" s="610"/>
      <c r="U130" s="611"/>
      <c r="V130" s="252"/>
      <c r="W130" s="194">
        <v>6</v>
      </c>
      <c r="X130" s="192"/>
      <c r="Y130" s="194" t="str">
        <f t="shared" si="157"/>
        <v/>
      </c>
      <c r="Z130" s="188"/>
      <c r="AA130" s="188"/>
      <c r="AB130" s="185" t="str">
        <f t="shared" si="166"/>
        <v/>
      </c>
      <c r="AC130" s="188"/>
      <c r="AD130" s="188"/>
      <c r="AE130" s="188"/>
      <c r="AF130" s="602" t="str">
        <f t="shared" si="172"/>
        <v/>
      </c>
      <c r="AG130" s="186" t="str">
        <f t="shared" si="159"/>
        <v/>
      </c>
      <c r="AH130" s="185" t="str">
        <f t="shared" si="160"/>
        <v/>
      </c>
      <c r="AI130" s="186" t="str">
        <f t="shared" si="161"/>
        <v/>
      </c>
      <c r="AJ130" s="185" t="str">
        <f t="shared" si="174"/>
        <v/>
      </c>
      <c r="AK130" s="187" t="str">
        <f t="shared" si="163"/>
        <v/>
      </c>
      <c r="AL130" s="603"/>
      <c r="AM130" s="189"/>
      <c r="AN130" s="194"/>
      <c r="AO130" s="190"/>
      <c r="AP130" s="190"/>
      <c r="AQ130" s="191"/>
      <c r="AR130" s="194"/>
    </row>
    <row r="131" spans="1:44" s="605" customFormat="1" ht="78.75" customHeight="1" x14ac:dyDescent="0.25">
      <c r="A131" s="252">
        <v>20</v>
      </c>
      <c r="B131" s="245" t="s">
        <v>650</v>
      </c>
      <c r="C131" s="238" t="s">
        <v>272</v>
      </c>
      <c r="D131" s="238" t="s">
        <v>651</v>
      </c>
      <c r="E131" s="253" t="s">
        <v>241</v>
      </c>
      <c r="F131" s="254" t="s">
        <v>652</v>
      </c>
      <c r="G131" s="254" t="s">
        <v>653</v>
      </c>
      <c r="H131" s="255" t="s">
        <v>654</v>
      </c>
      <c r="I131" s="248" t="s">
        <v>480</v>
      </c>
      <c r="J131" s="248" t="s">
        <v>480</v>
      </c>
      <c r="K131" s="248" t="s">
        <v>480</v>
      </c>
      <c r="L131" s="248" t="s">
        <v>480</v>
      </c>
      <c r="M131" s="253" t="s">
        <v>242</v>
      </c>
      <c r="N131" s="238"/>
      <c r="O131" s="256">
        <v>5001</v>
      </c>
      <c r="P131" s="610" t="str">
        <f t="shared" si="153"/>
        <v>Muy Alta</v>
      </c>
      <c r="Q131" s="611">
        <f t="shared" si="154"/>
        <v>1</v>
      </c>
      <c r="R131" s="611" t="s">
        <v>193</v>
      </c>
      <c r="S131" s="611" t="str">
        <f ca="1">IF(NOT(ISERROR(MATCH(R131,'Tabla Impacto'!$B$221:$B$223,0))),'Tabla Impacto'!$F$223&amp;"Por favor no seleccionar los criterios de impacto(Afectación Económica o presupuestal y Pérdida Reputacional)",R131)</f>
        <v>El riesgo afecta la imagen de la entidad con algunos usuarios de relevancia frente al logro de los objetivos</v>
      </c>
      <c r="T131" s="610" t="str">
        <f ca="1">+IF(OR(S131='[1]Tabla Impacto'!$C$11,S131='[1]Tabla Impacto'!$D$11),"Leve",IF(OR(S131='[1]Tabla Impacto'!$C$12,S131='[1]Tabla Impacto'!$D$12),"Menor",IF(OR(S131='[1]Tabla Impacto'!$C$13,S131='[1]Tabla Impacto'!$D$13),"Moderado",IF(OR(S131='[1]Tabla Impacto'!$C$14,S131='[1]Tabla Impacto'!$D$14),"Mayor",IF(OR(S131='[1]Tabla Impacto'!$C$15,S131='[1]Tabla Impacto'!$D$15),"Catastrófico","")))))</f>
        <v>Moderado</v>
      </c>
      <c r="U131" s="611">
        <f t="shared" ref="U131" ca="1" si="175">IF(T131="","",IF(T131="Leve",0.2,IF(T131="Menor",0.4,IF(T131="Moderado",0.6,IF(T131="Mayor",0.8,IF(T131="Catastrófico",1,))))))</f>
        <v>0.6</v>
      </c>
      <c r="V131" s="252" t="str">
        <f t="shared" ref="V131" ca="1" si="176">IF(OR(AND(P131="Muy Baja",T131="Leve"),AND(P131="Muy Baja",T131="Menor"),AND(P131="Baja",T131="Leve")),"Bajo",IF(OR(AND(P131="Muy baja",T131="Moderado"),AND(P131="Baja",T131="Menor"),AND(P131="Baja",T131="Moderado"),AND(P131="Media",T131="Leve"),AND(P131="Media",T131="Menor"),AND(P131="Media",T131="Moderado"),AND(P131="Alta",T131="Leve"),AND(P131="Alta",T131="Menor")),"Moderado",IF(OR(AND(P131="Muy Baja",T131="Mayor"),AND(P131="Baja",T131="Mayor"),AND(P131="Media",T131="Mayor"),AND(P131="Alta",T131="Moderado"),AND(P131="Alta",T131="Mayor"),AND(P131="Muy Alta",T131="Leve"),AND(P131="Muy Alta",T131="Menor"),AND(P131="Muy Alta",T131="Moderado"),AND(P131="Muy Alta",T131="Mayor")),"Alto",IF(OR(AND(P131="Muy Baja",T131="Catastrófico"),AND(P131="Baja",T131="Catastrófico"),AND(P131="Media",T131="Catastrófico"),AND(P131="Alta",T131="Catastrófico"),AND(P131="Muy Alta",T131="Catastrófico")),"Extremo",""))))</f>
        <v>Alto</v>
      </c>
      <c r="W131" s="194">
        <v>1</v>
      </c>
      <c r="X131" s="192" t="s">
        <v>655</v>
      </c>
      <c r="Y131" s="194" t="str">
        <f t="shared" si="157"/>
        <v>Probabilidad</v>
      </c>
      <c r="Z131" s="188" t="s">
        <v>211</v>
      </c>
      <c r="AA131" s="188" t="s">
        <v>219</v>
      </c>
      <c r="AB131" s="185" t="str">
        <f t="shared" si="166"/>
        <v>40%</v>
      </c>
      <c r="AC131" s="188" t="s">
        <v>222</v>
      </c>
      <c r="AD131" s="188" t="s">
        <v>227</v>
      </c>
      <c r="AE131" s="188" t="s">
        <v>231</v>
      </c>
      <c r="AF131" s="602">
        <f t="shared" ref="AF131" si="177">IFERROR(IF(Y131="Probabilidad",(Q131-(+Q131*AB131)),IF(Y131="Impacto",Q131,"")),"")</f>
        <v>0.6</v>
      </c>
      <c r="AG131" s="186" t="str">
        <f t="shared" si="159"/>
        <v>Media</v>
      </c>
      <c r="AH131" s="185">
        <f t="shared" si="160"/>
        <v>0.6</v>
      </c>
      <c r="AI131" s="186" t="str">
        <f t="shared" ca="1" si="161"/>
        <v>Moderado</v>
      </c>
      <c r="AJ131" s="185">
        <f t="shared" ref="AJ131" ca="1" si="178">IFERROR(IF(Y131="Impacto",(U131-(+U131*AB131)),IF(Y131="Probabilidad",U131,"")),"")</f>
        <v>0.6</v>
      </c>
      <c r="AK131" s="187" t="str">
        <f t="shared" ca="1" si="163"/>
        <v>Moderado</v>
      </c>
      <c r="AL131" s="603" t="s">
        <v>258</v>
      </c>
      <c r="AM131" s="189"/>
      <c r="AN131" s="194"/>
      <c r="AO131" s="190"/>
      <c r="AP131" s="190"/>
      <c r="AQ131" s="191"/>
      <c r="AR131" s="194"/>
    </row>
    <row r="132" spans="1:44" s="605" customFormat="1" ht="195" customHeight="1" x14ac:dyDescent="0.25">
      <c r="A132" s="252"/>
      <c r="B132" s="246"/>
      <c r="C132" s="251"/>
      <c r="D132" s="246"/>
      <c r="E132" s="253"/>
      <c r="F132" s="254"/>
      <c r="G132" s="254"/>
      <c r="H132" s="255"/>
      <c r="I132" s="249"/>
      <c r="J132" s="249"/>
      <c r="K132" s="249"/>
      <c r="L132" s="249"/>
      <c r="M132" s="253"/>
      <c r="N132" s="251"/>
      <c r="O132" s="256"/>
      <c r="P132" s="610"/>
      <c r="Q132" s="611"/>
      <c r="R132" s="611"/>
      <c r="S132" s="611">
        <f ca="1">IF(NOT(ISERROR(MATCH(R132,_xlfn.ANCHORARRAY(H143),0))),Q145&amp;"Por favor no seleccionar los criterios de impacto",R132)</f>
        <v>0</v>
      </c>
      <c r="T132" s="610"/>
      <c r="U132" s="611"/>
      <c r="V132" s="252"/>
      <c r="W132" s="194">
        <v>2</v>
      </c>
      <c r="X132" s="196" t="s">
        <v>656</v>
      </c>
      <c r="Y132" s="194" t="str">
        <f t="shared" si="157"/>
        <v>Probabilidad</v>
      </c>
      <c r="Z132" s="188" t="s">
        <v>211</v>
      </c>
      <c r="AA132" s="188" t="s">
        <v>219</v>
      </c>
      <c r="AB132" s="185" t="str">
        <f t="shared" si="166"/>
        <v>40%</v>
      </c>
      <c r="AC132" s="188" t="s">
        <v>222</v>
      </c>
      <c r="AD132" s="188" t="s">
        <v>227</v>
      </c>
      <c r="AE132" s="188" t="s">
        <v>231</v>
      </c>
      <c r="AF132" s="602">
        <f t="shared" ref="AF132:AF136" si="179">IFERROR(IF(AND(Y131="Probabilidad",Y132="Probabilidad"),(AH131-(+AH131*AB132)),IF(Y132="Probabilidad",(Q131-(+Q131*AB132)),IF(Y132="Impacto",AH131,""))),"")</f>
        <v>0.36</v>
      </c>
      <c r="AG132" s="186" t="str">
        <f t="shared" si="159"/>
        <v>Baja</v>
      </c>
      <c r="AH132" s="185">
        <f t="shared" si="160"/>
        <v>0.36</v>
      </c>
      <c r="AI132" s="186" t="str">
        <f t="shared" ca="1" si="161"/>
        <v>Moderado</v>
      </c>
      <c r="AJ132" s="185">
        <f t="shared" ref="AJ132" ca="1" si="180">IFERROR(IF(AND(Y131="Impacto",Y132="Impacto"),(AJ131-(+AJ131*AB132)),IF(Y132="Impacto",(U131-(+U131*AB132)),IF(Y132="Probabilidad",AJ131,""))),"")</f>
        <v>0.6</v>
      </c>
      <c r="AK132" s="187" t="str">
        <f t="shared" ca="1" si="163"/>
        <v>Moderado</v>
      </c>
      <c r="AL132" s="603" t="s">
        <v>258</v>
      </c>
      <c r="AM132" s="189"/>
      <c r="AN132" s="194"/>
      <c r="AO132" s="190"/>
      <c r="AP132" s="190"/>
      <c r="AQ132" s="191"/>
      <c r="AR132" s="194"/>
    </row>
    <row r="133" spans="1:44" s="605" customFormat="1" ht="69" hidden="1" customHeight="1" x14ac:dyDescent="0.25">
      <c r="A133" s="252"/>
      <c r="B133" s="246"/>
      <c r="C133" s="251"/>
      <c r="D133" s="246"/>
      <c r="E133" s="253"/>
      <c r="F133" s="254"/>
      <c r="G133" s="254"/>
      <c r="H133" s="255"/>
      <c r="I133" s="249"/>
      <c r="J133" s="249"/>
      <c r="K133" s="249"/>
      <c r="L133" s="249"/>
      <c r="M133" s="253"/>
      <c r="N133" s="251"/>
      <c r="O133" s="256"/>
      <c r="P133" s="610"/>
      <c r="Q133" s="611"/>
      <c r="R133" s="611"/>
      <c r="S133" s="611">
        <f ca="1">IF(NOT(ISERROR(MATCH(R133,_xlfn.ANCHORARRAY(H144),0))),Q146&amp;"Por favor no seleccionar los criterios de impacto",R133)</f>
        <v>0</v>
      </c>
      <c r="T133" s="610"/>
      <c r="U133" s="611"/>
      <c r="V133" s="252"/>
      <c r="W133" s="194">
        <v>3</v>
      </c>
      <c r="X133" s="192"/>
      <c r="Y133" s="194" t="str">
        <f t="shared" si="157"/>
        <v/>
      </c>
      <c r="Z133" s="188"/>
      <c r="AA133" s="188"/>
      <c r="AB133" s="185" t="str">
        <f t="shared" si="166"/>
        <v/>
      </c>
      <c r="AC133" s="188"/>
      <c r="AD133" s="188"/>
      <c r="AE133" s="188"/>
      <c r="AF133" s="602" t="str">
        <f t="shared" si="179"/>
        <v/>
      </c>
      <c r="AG133" s="186" t="str">
        <f t="shared" si="159"/>
        <v/>
      </c>
      <c r="AH133" s="185" t="str">
        <f t="shared" si="160"/>
        <v/>
      </c>
      <c r="AI133" s="186" t="str">
        <f t="shared" si="161"/>
        <v/>
      </c>
      <c r="AJ133" s="185" t="str">
        <f t="shared" ref="AJ133:AJ136" si="181">IFERROR(IF(AND(Y132="Impacto",Y133="Impacto"),(AJ132-(+AJ132*AB133)),IF(AND(Y132="Probabilidad",Y133="Impacto"),(AJ131-(+AJ131*AB133)),IF(Y133="Probabilidad",AJ132,""))),"")</f>
        <v/>
      </c>
      <c r="AK133" s="187" t="str">
        <f t="shared" si="163"/>
        <v/>
      </c>
      <c r="AL133" s="603"/>
      <c r="AM133" s="189"/>
      <c r="AN133" s="194"/>
      <c r="AO133" s="190"/>
      <c r="AP133" s="190"/>
      <c r="AQ133" s="191"/>
      <c r="AR133" s="194"/>
    </row>
    <row r="134" spans="1:44" s="605" customFormat="1" ht="69" hidden="1" customHeight="1" x14ac:dyDescent="0.25">
      <c r="A134" s="252"/>
      <c r="B134" s="246"/>
      <c r="C134" s="251"/>
      <c r="D134" s="246"/>
      <c r="E134" s="253"/>
      <c r="F134" s="254"/>
      <c r="G134" s="254"/>
      <c r="H134" s="255"/>
      <c r="I134" s="249"/>
      <c r="J134" s="249"/>
      <c r="K134" s="249"/>
      <c r="L134" s="249"/>
      <c r="M134" s="253"/>
      <c r="N134" s="251"/>
      <c r="O134" s="256"/>
      <c r="P134" s="610"/>
      <c r="Q134" s="611"/>
      <c r="R134" s="611"/>
      <c r="S134" s="611">
        <f ca="1">IF(NOT(ISERROR(MATCH(R134,_xlfn.ANCHORARRAY(H145),0))),Q147&amp;"Por favor no seleccionar los criterios de impacto",R134)</f>
        <v>0</v>
      </c>
      <c r="T134" s="610"/>
      <c r="U134" s="611"/>
      <c r="V134" s="252"/>
      <c r="W134" s="194">
        <v>4</v>
      </c>
      <c r="X134" s="192"/>
      <c r="Y134" s="194" t="str">
        <f t="shared" si="157"/>
        <v/>
      </c>
      <c r="Z134" s="188"/>
      <c r="AA134" s="188"/>
      <c r="AB134" s="185" t="str">
        <f t="shared" si="166"/>
        <v/>
      </c>
      <c r="AC134" s="188"/>
      <c r="AD134" s="188"/>
      <c r="AE134" s="188"/>
      <c r="AF134" s="602" t="str">
        <f t="shared" si="179"/>
        <v/>
      </c>
      <c r="AG134" s="186" t="str">
        <f t="shared" si="159"/>
        <v/>
      </c>
      <c r="AH134" s="185" t="str">
        <f t="shared" si="160"/>
        <v/>
      </c>
      <c r="AI134" s="186" t="str">
        <f t="shared" si="161"/>
        <v/>
      </c>
      <c r="AJ134" s="185" t="str">
        <f t="shared" si="181"/>
        <v/>
      </c>
      <c r="AK134" s="187" t="str">
        <f t="shared" si="163"/>
        <v/>
      </c>
      <c r="AL134" s="603"/>
      <c r="AM134" s="189"/>
      <c r="AN134" s="194"/>
      <c r="AO134" s="190"/>
      <c r="AP134" s="190"/>
      <c r="AQ134" s="191"/>
      <c r="AR134" s="194"/>
    </row>
    <row r="135" spans="1:44" s="605" customFormat="1" ht="69" hidden="1" customHeight="1" x14ac:dyDescent="0.25">
      <c r="A135" s="252"/>
      <c r="B135" s="246"/>
      <c r="C135" s="251"/>
      <c r="D135" s="246"/>
      <c r="E135" s="253"/>
      <c r="F135" s="254"/>
      <c r="G135" s="254"/>
      <c r="H135" s="255"/>
      <c r="I135" s="249"/>
      <c r="J135" s="249"/>
      <c r="K135" s="249"/>
      <c r="L135" s="249"/>
      <c r="M135" s="253"/>
      <c r="N135" s="251"/>
      <c r="O135" s="256"/>
      <c r="P135" s="610"/>
      <c r="Q135" s="611"/>
      <c r="R135" s="611"/>
      <c r="S135" s="611">
        <f ca="1">IF(NOT(ISERROR(MATCH(R135,_xlfn.ANCHORARRAY(H146),0))),Q148&amp;"Por favor no seleccionar los criterios de impacto",R135)</f>
        <v>0</v>
      </c>
      <c r="T135" s="610"/>
      <c r="U135" s="611"/>
      <c r="V135" s="252"/>
      <c r="W135" s="194">
        <v>5</v>
      </c>
      <c r="X135" s="192"/>
      <c r="Y135" s="194" t="str">
        <f t="shared" si="157"/>
        <v/>
      </c>
      <c r="Z135" s="188"/>
      <c r="AA135" s="188"/>
      <c r="AB135" s="185" t="str">
        <f t="shared" si="166"/>
        <v/>
      </c>
      <c r="AC135" s="188"/>
      <c r="AD135" s="188"/>
      <c r="AE135" s="188"/>
      <c r="AF135" s="602" t="str">
        <f t="shared" si="179"/>
        <v/>
      </c>
      <c r="AG135" s="186" t="str">
        <f t="shared" si="159"/>
        <v/>
      </c>
      <c r="AH135" s="185" t="str">
        <f t="shared" si="160"/>
        <v/>
      </c>
      <c r="AI135" s="186" t="str">
        <f t="shared" si="161"/>
        <v/>
      </c>
      <c r="AJ135" s="185" t="str">
        <f t="shared" si="181"/>
        <v/>
      </c>
      <c r="AK135" s="187" t="str">
        <f t="shared" si="163"/>
        <v/>
      </c>
      <c r="AL135" s="603"/>
      <c r="AM135" s="189"/>
      <c r="AN135" s="194"/>
      <c r="AO135" s="190"/>
      <c r="AP135" s="190"/>
      <c r="AQ135" s="191"/>
      <c r="AR135" s="194"/>
    </row>
    <row r="136" spans="1:44" s="605" customFormat="1" ht="69" hidden="1" customHeight="1" x14ac:dyDescent="0.25">
      <c r="A136" s="252"/>
      <c r="B136" s="247"/>
      <c r="C136" s="239"/>
      <c r="D136" s="247"/>
      <c r="E136" s="253"/>
      <c r="F136" s="254"/>
      <c r="G136" s="254"/>
      <c r="H136" s="255"/>
      <c r="I136" s="250"/>
      <c r="J136" s="250"/>
      <c r="K136" s="250"/>
      <c r="L136" s="250"/>
      <c r="M136" s="253"/>
      <c r="N136" s="239"/>
      <c r="O136" s="256"/>
      <c r="P136" s="610"/>
      <c r="Q136" s="611"/>
      <c r="R136" s="611"/>
      <c r="S136" s="611">
        <f ca="1">IF(NOT(ISERROR(MATCH(R136,_xlfn.ANCHORARRAY(H147),0))),Q149&amp;"Por favor no seleccionar los criterios de impacto",R136)</f>
        <v>0</v>
      </c>
      <c r="T136" s="610"/>
      <c r="U136" s="611"/>
      <c r="V136" s="252"/>
      <c r="W136" s="194">
        <v>6</v>
      </c>
      <c r="X136" s="192"/>
      <c r="Y136" s="194" t="str">
        <f t="shared" si="157"/>
        <v/>
      </c>
      <c r="Z136" s="188"/>
      <c r="AA136" s="188"/>
      <c r="AB136" s="185" t="str">
        <f t="shared" si="166"/>
        <v/>
      </c>
      <c r="AC136" s="188"/>
      <c r="AD136" s="188"/>
      <c r="AE136" s="188"/>
      <c r="AF136" s="602" t="str">
        <f t="shared" si="179"/>
        <v/>
      </c>
      <c r="AG136" s="186" t="str">
        <f t="shared" si="159"/>
        <v/>
      </c>
      <c r="AH136" s="185" t="str">
        <f t="shared" si="160"/>
        <v/>
      </c>
      <c r="AI136" s="186" t="str">
        <f t="shared" si="161"/>
        <v/>
      </c>
      <c r="AJ136" s="185" t="str">
        <f t="shared" si="181"/>
        <v/>
      </c>
      <c r="AK136" s="187" t="str">
        <f t="shared" si="163"/>
        <v/>
      </c>
      <c r="AL136" s="603"/>
      <c r="AM136" s="189"/>
      <c r="AN136" s="194"/>
      <c r="AO136" s="190"/>
      <c r="AP136" s="190"/>
      <c r="AQ136" s="191"/>
      <c r="AR136" s="194"/>
    </row>
    <row r="137" spans="1:44" s="605" customFormat="1" ht="113.25" customHeight="1" x14ac:dyDescent="0.25">
      <c r="A137" s="252">
        <v>21</v>
      </c>
      <c r="B137" s="268" t="s">
        <v>657</v>
      </c>
      <c r="C137" s="238" t="s">
        <v>272</v>
      </c>
      <c r="D137" s="238" t="s">
        <v>658</v>
      </c>
      <c r="E137" s="253" t="s">
        <v>241</v>
      </c>
      <c r="F137" s="254" t="s">
        <v>659</v>
      </c>
      <c r="G137" s="254" t="s">
        <v>660</v>
      </c>
      <c r="H137" s="255" t="s">
        <v>661</v>
      </c>
      <c r="I137" s="248" t="s">
        <v>480</v>
      </c>
      <c r="J137" s="248" t="s">
        <v>480</v>
      </c>
      <c r="K137" s="248" t="s">
        <v>480</v>
      </c>
      <c r="L137" s="248" t="s">
        <v>480</v>
      </c>
      <c r="M137" s="253" t="s">
        <v>242</v>
      </c>
      <c r="N137" s="238"/>
      <c r="O137" s="256">
        <v>5001</v>
      </c>
      <c r="P137" s="610" t="str">
        <f t="shared" si="153"/>
        <v>Muy Alta</v>
      </c>
      <c r="Q137" s="611">
        <f t="shared" si="154"/>
        <v>1</v>
      </c>
      <c r="R137" s="611" t="s">
        <v>193</v>
      </c>
      <c r="S137" s="611" t="str">
        <f ca="1">IF(NOT(ISERROR(MATCH(R137,'Tabla Impacto'!$B$221:$B$223,0))),'Tabla Impacto'!$F$223&amp;"Por favor no seleccionar los criterios de impacto(Afectación Económica o presupuestal y Pérdida Reputacional)",R137)</f>
        <v>El riesgo afecta la imagen de la entidad con algunos usuarios de relevancia frente al logro de los objetivos</v>
      </c>
      <c r="T137" s="610" t="str">
        <f ca="1">+IF(OR(S137='[1]Tabla Impacto'!$C$11,S137='[1]Tabla Impacto'!$D$11),"Leve",IF(OR(S137='[1]Tabla Impacto'!$C$12,S137='[1]Tabla Impacto'!$D$12),"Menor",IF(OR(S137='[1]Tabla Impacto'!$C$13,S137='[1]Tabla Impacto'!$D$13),"Moderado",IF(OR(S137='[1]Tabla Impacto'!$C$14,S137='[1]Tabla Impacto'!$D$14),"Mayor",IF(OR(S137='[1]Tabla Impacto'!$C$15,S137='[1]Tabla Impacto'!$D$15),"Catastrófico","")))))</f>
        <v>Moderado</v>
      </c>
      <c r="U137" s="611">
        <f t="shared" ref="U137" ca="1" si="182">IF(T137="","",IF(T137="Leve",0.2,IF(T137="Menor",0.4,IF(T137="Moderado",0.6,IF(T137="Mayor",0.8,IF(T137="Catastrófico",1,))))))</f>
        <v>0.6</v>
      </c>
      <c r="V137" s="252" t="str">
        <f t="shared" ref="V137" ca="1" si="183">IF(OR(AND(P137="Muy Baja",T137="Leve"),AND(P137="Muy Baja",T137="Menor"),AND(P137="Baja",T137="Leve")),"Bajo",IF(OR(AND(P137="Muy baja",T137="Moderado"),AND(P137="Baja",T137="Menor"),AND(P137="Baja",T137="Moderado"),AND(P137="Media",T137="Leve"),AND(P137="Media",T137="Menor"),AND(P137="Media",T137="Moderado"),AND(P137="Alta",T137="Leve"),AND(P137="Alta",T137="Menor")),"Moderado",IF(OR(AND(P137="Muy Baja",T137="Mayor"),AND(P137="Baja",T137="Mayor"),AND(P137="Media",T137="Mayor"),AND(P137="Alta",T137="Moderado"),AND(P137="Alta",T137="Mayor"),AND(P137="Muy Alta",T137="Leve"),AND(P137="Muy Alta",T137="Menor"),AND(P137="Muy Alta",T137="Moderado"),AND(P137="Muy Alta",T137="Mayor")),"Alto",IF(OR(AND(P137="Muy Baja",T137="Catastrófico"),AND(P137="Baja",T137="Catastrófico"),AND(P137="Media",T137="Catastrófico"),AND(P137="Alta",T137="Catastrófico"),AND(P137="Muy Alta",T137="Catastrófico")),"Extremo",""))))</f>
        <v>Alto</v>
      </c>
      <c r="W137" s="194">
        <v>1</v>
      </c>
      <c r="X137" s="192" t="s">
        <v>662</v>
      </c>
      <c r="Y137" s="194" t="str">
        <f t="shared" si="157"/>
        <v>Probabilidad</v>
      </c>
      <c r="Z137" s="188" t="s">
        <v>211</v>
      </c>
      <c r="AA137" s="188" t="s">
        <v>219</v>
      </c>
      <c r="AB137" s="185" t="str">
        <f t="shared" si="166"/>
        <v>40%</v>
      </c>
      <c r="AC137" s="188" t="s">
        <v>222</v>
      </c>
      <c r="AD137" s="188" t="s">
        <v>227</v>
      </c>
      <c r="AE137" s="188" t="s">
        <v>231</v>
      </c>
      <c r="AF137" s="602">
        <f t="shared" ref="AF137" si="184">IFERROR(IF(Y137="Probabilidad",(Q137-(+Q137*AB137)),IF(Y137="Impacto",Q137,"")),"")</f>
        <v>0.6</v>
      </c>
      <c r="AG137" s="186" t="str">
        <f t="shared" si="159"/>
        <v>Media</v>
      </c>
      <c r="AH137" s="185">
        <f t="shared" si="160"/>
        <v>0.6</v>
      </c>
      <c r="AI137" s="186" t="str">
        <f t="shared" ca="1" si="161"/>
        <v>Moderado</v>
      </c>
      <c r="AJ137" s="185">
        <f t="shared" ref="AJ137" ca="1" si="185">IFERROR(IF(Y137="Impacto",(U137-(+U137*AB137)),IF(Y137="Probabilidad",U137,"")),"")</f>
        <v>0.6</v>
      </c>
      <c r="AK137" s="187" t="str">
        <f t="shared" ca="1" si="163"/>
        <v>Moderado</v>
      </c>
      <c r="AL137" s="603" t="s">
        <v>258</v>
      </c>
      <c r="AM137" s="189"/>
      <c r="AN137" s="194"/>
      <c r="AO137" s="190"/>
      <c r="AP137" s="190"/>
      <c r="AQ137" s="191"/>
      <c r="AR137" s="194"/>
    </row>
    <row r="138" spans="1:44" s="605" customFormat="1" ht="108" customHeight="1" x14ac:dyDescent="0.25">
      <c r="A138" s="252"/>
      <c r="B138" s="264"/>
      <c r="C138" s="251"/>
      <c r="D138" s="246"/>
      <c r="E138" s="253"/>
      <c r="F138" s="254"/>
      <c r="G138" s="254"/>
      <c r="H138" s="255"/>
      <c r="I138" s="249"/>
      <c r="J138" s="249"/>
      <c r="K138" s="249"/>
      <c r="L138" s="249"/>
      <c r="M138" s="253"/>
      <c r="N138" s="251"/>
      <c r="O138" s="256"/>
      <c r="P138" s="610"/>
      <c r="Q138" s="611"/>
      <c r="R138" s="611"/>
      <c r="S138" s="611">
        <f ca="1">IF(NOT(ISERROR(MATCH(R138,_xlfn.ANCHORARRAY(H149),0))),Q151&amp;"Por favor no seleccionar los criterios de impacto",R138)</f>
        <v>0</v>
      </c>
      <c r="T138" s="610"/>
      <c r="U138" s="611"/>
      <c r="V138" s="252"/>
      <c r="W138" s="194">
        <v>2</v>
      </c>
      <c r="X138" s="192" t="s">
        <v>663</v>
      </c>
      <c r="Y138" s="194" t="str">
        <f t="shared" si="157"/>
        <v>Probabilidad</v>
      </c>
      <c r="Z138" s="188" t="s">
        <v>211</v>
      </c>
      <c r="AA138" s="188" t="s">
        <v>219</v>
      </c>
      <c r="AB138" s="185" t="str">
        <f t="shared" si="166"/>
        <v>40%</v>
      </c>
      <c r="AC138" s="188" t="s">
        <v>222</v>
      </c>
      <c r="AD138" s="188" t="s">
        <v>227</v>
      </c>
      <c r="AE138" s="188" t="s">
        <v>231</v>
      </c>
      <c r="AF138" s="602">
        <f t="shared" ref="AF138:AF142" si="186">IFERROR(IF(AND(Y137="Probabilidad",Y138="Probabilidad"),(AH137-(+AH137*AB138)),IF(Y138="Probabilidad",(Q137-(+Q137*AB138)),IF(Y138="Impacto",AH137,""))),"")</f>
        <v>0.36</v>
      </c>
      <c r="AG138" s="186" t="str">
        <f t="shared" si="159"/>
        <v>Baja</v>
      </c>
      <c r="AH138" s="185">
        <f t="shared" si="160"/>
        <v>0.36</v>
      </c>
      <c r="AI138" s="186" t="str">
        <f t="shared" ca="1" si="161"/>
        <v>Moderado</v>
      </c>
      <c r="AJ138" s="185">
        <f t="shared" ref="AJ138" ca="1" si="187">IFERROR(IF(AND(Y137="Impacto",Y138="Impacto"),(AJ137-(+AJ137*AB138)),IF(Y138="Impacto",(U137-(+U137*AB138)),IF(Y138="Probabilidad",AJ137,""))),"")</f>
        <v>0.6</v>
      </c>
      <c r="AK138" s="187" t="str">
        <f t="shared" ca="1" si="163"/>
        <v>Moderado</v>
      </c>
      <c r="AL138" s="603" t="s">
        <v>258</v>
      </c>
      <c r="AM138" s="189"/>
      <c r="AN138" s="194"/>
      <c r="AO138" s="190"/>
      <c r="AP138" s="190"/>
      <c r="AQ138" s="191"/>
      <c r="AR138" s="194"/>
    </row>
    <row r="139" spans="1:44" s="605" customFormat="1" ht="69" hidden="1" customHeight="1" x14ac:dyDescent="0.25">
      <c r="A139" s="252"/>
      <c r="B139" s="264"/>
      <c r="C139" s="251"/>
      <c r="D139" s="246"/>
      <c r="E139" s="253"/>
      <c r="F139" s="254"/>
      <c r="G139" s="254"/>
      <c r="H139" s="255"/>
      <c r="I139" s="249"/>
      <c r="J139" s="249"/>
      <c r="K139" s="249"/>
      <c r="L139" s="249"/>
      <c r="M139" s="253"/>
      <c r="N139" s="251"/>
      <c r="O139" s="256"/>
      <c r="P139" s="610"/>
      <c r="Q139" s="611"/>
      <c r="R139" s="611"/>
      <c r="S139" s="611">
        <f ca="1">IF(NOT(ISERROR(MATCH(R139,_xlfn.ANCHORARRAY(H150),0))),Q152&amp;"Por favor no seleccionar los criterios de impacto",R139)</f>
        <v>0</v>
      </c>
      <c r="T139" s="610"/>
      <c r="U139" s="611"/>
      <c r="V139" s="252"/>
      <c r="W139" s="194">
        <v>3</v>
      </c>
      <c r="X139" s="192"/>
      <c r="Y139" s="194" t="str">
        <f t="shared" si="157"/>
        <v/>
      </c>
      <c r="Z139" s="188"/>
      <c r="AA139" s="188"/>
      <c r="AB139" s="185" t="str">
        <f t="shared" si="166"/>
        <v/>
      </c>
      <c r="AC139" s="188"/>
      <c r="AD139" s="188"/>
      <c r="AE139" s="188"/>
      <c r="AF139" s="602" t="str">
        <f t="shared" si="186"/>
        <v/>
      </c>
      <c r="AG139" s="186" t="str">
        <f t="shared" si="159"/>
        <v/>
      </c>
      <c r="AH139" s="185" t="str">
        <f t="shared" si="160"/>
        <v/>
      </c>
      <c r="AI139" s="186" t="str">
        <f t="shared" si="161"/>
        <v/>
      </c>
      <c r="AJ139" s="185" t="str">
        <f t="shared" ref="AJ139:AJ142" si="188">IFERROR(IF(AND(Y138="Impacto",Y139="Impacto"),(AJ138-(+AJ138*AB139)),IF(AND(Y138="Probabilidad",Y139="Impacto"),(AJ137-(+AJ137*AB139)),IF(Y139="Probabilidad",AJ138,""))),"")</f>
        <v/>
      </c>
      <c r="AK139" s="187" t="str">
        <f t="shared" si="163"/>
        <v/>
      </c>
      <c r="AL139" s="603"/>
      <c r="AM139" s="189"/>
      <c r="AN139" s="194"/>
      <c r="AO139" s="190"/>
      <c r="AP139" s="190"/>
      <c r="AQ139" s="191"/>
      <c r="AR139" s="194"/>
    </row>
    <row r="140" spans="1:44" s="605" customFormat="1" ht="69" hidden="1" customHeight="1" x14ac:dyDescent="0.25">
      <c r="A140" s="252"/>
      <c r="B140" s="264"/>
      <c r="C140" s="251"/>
      <c r="D140" s="246"/>
      <c r="E140" s="253"/>
      <c r="F140" s="254"/>
      <c r="G140" s="254"/>
      <c r="H140" s="255"/>
      <c r="I140" s="249"/>
      <c r="J140" s="249"/>
      <c r="K140" s="249"/>
      <c r="L140" s="249"/>
      <c r="M140" s="253"/>
      <c r="N140" s="251"/>
      <c r="O140" s="256"/>
      <c r="P140" s="610"/>
      <c r="Q140" s="611"/>
      <c r="R140" s="611"/>
      <c r="S140" s="611">
        <f ca="1">IF(NOT(ISERROR(MATCH(R140,_xlfn.ANCHORARRAY(H151),0))),Q153&amp;"Por favor no seleccionar los criterios de impacto",R140)</f>
        <v>0</v>
      </c>
      <c r="T140" s="610"/>
      <c r="U140" s="611"/>
      <c r="V140" s="252"/>
      <c r="W140" s="194">
        <v>4</v>
      </c>
      <c r="X140" s="192"/>
      <c r="Y140" s="194" t="str">
        <f t="shared" si="157"/>
        <v/>
      </c>
      <c r="Z140" s="188"/>
      <c r="AA140" s="188"/>
      <c r="AB140" s="185" t="str">
        <f t="shared" si="166"/>
        <v/>
      </c>
      <c r="AC140" s="188"/>
      <c r="AD140" s="188"/>
      <c r="AE140" s="188"/>
      <c r="AF140" s="602" t="str">
        <f t="shared" si="186"/>
        <v/>
      </c>
      <c r="AG140" s="186" t="str">
        <f t="shared" si="159"/>
        <v/>
      </c>
      <c r="AH140" s="185" t="str">
        <f t="shared" si="160"/>
        <v/>
      </c>
      <c r="AI140" s="186" t="str">
        <f t="shared" si="161"/>
        <v/>
      </c>
      <c r="AJ140" s="185" t="str">
        <f t="shared" si="188"/>
        <v/>
      </c>
      <c r="AK140" s="187" t="str">
        <f t="shared" si="163"/>
        <v/>
      </c>
      <c r="AL140" s="603"/>
      <c r="AM140" s="189"/>
      <c r="AN140" s="194"/>
      <c r="AO140" s="190"/>
      <c r="AP140" s="190"/>
      <c r="AQ140" s="191"/>
      <c r="AR140" s="194"/>
    </row>
    <row r="141" spans="1:44" s="605" customFormat="1" ht="69" hidden="1" customHeight="1" x14ac:dyDescent="0.25">
      <c r="A141" s="252"/>
      <c r="B141" s="264"/>
      <c r="C141" s="251"/>
      <c r="D141" s="246"/>
      <c r="E141" s="253"/>
      <c r="F141" s="254"/>
      <c r="G141" s="254"/>
      <c r="H141" s="255"/>
      <c r="I141" s="249"/>
      <c r="J141" s="249"/>
      <c r="K141" s="249"/>
      <c r="L141" s="249"/>
      <c r="M141" s="253"/>
      <c r="N141" s="251"/>
      <c r="O141" s="256"/>
      <c r="P141" s="610"/>
      <c r="Q141" s="611"/>
      <c r="R141" s="611"/>
      <c r="S141" s="611">
        <f ca="1">IF(NOT(ISERROR(MATCH(R141,_xlfn.ANCHORARRAY(H152),0))),Q154&amp;"Por favor no seleccionar los criterios de impacto",R141)</f>
        <v>0</v>
      </c>
      <c r="T141" s="610"/>
      <c r="U141" s="611"/>
      <c r="V141" s="252"/>
      <c r="W141" s="194">
        <v>5</v>
      </c>
      <c r="X141" s="192"/>
      <c r="Y141" s="194" t="str">
        <f t="shared" si="157"/>
        <v/>
      </c>
      <c r="Z141" s="188"/>
      <c r="AA141" s="188"/>
      <c r="AB141" s="185" t="str">
        <f t="shared" si="166"/>
        <v/>
      </c>
      <c r="AC141" s="188"/>
      <c r="AD141" s="188"/>
      <c r="AE141" s="188"/>
      <c r="AF141" s="602" t="str">
        <f t="shared" si="186"/>
        <v/>
      </c>
      <c r="AG141" s="186" t="str">
        <f t="shared" si="159"/>
        <v/>
      </c>
      <c r="AH141" s="185" t="str">
        <f t="shared" si="160"/>
        <v/>
      </c>
      <c r="AI141" s="186" t="str">
        <f t="shared" si="161"/>
        <v/>
      </c>
      <c r="AJ141" s="185" t="str">
        <f t="shared" si="188"/>
        <v/>
      </c>
      <c r="AK141" s="187" t="str">
        <f t="shared" si="163"/>
        <v/>
      </c>
      <c r="AL141" s="603"/>
      <c r="AM141" s="189"/>
      <c r="AN141" s="194"/>
      <c r="AO141" s="190"/>
      <c r="AP141" s="190"/>
      <c r="AQ141" s="191"/>
      <c r="AR141" s="194"/>
    </row>
    <row r="142" spans="1:44" s="605" customFormat="1" ht="69" hidden="1" customHeight="1" x14ac:dyDescent="0.25">
      <c r="A142" s="252"/>
      <c r="B142" s="265"/>
      <c r="C142" s="239"/>
      <c r="D142" s="247"/>
      <c r="E142" s="253"/>
      <c r="F142" s="254"/>
      <c r="G142" s="254"/>
      <c r="H142" s="255"/>
      <c r="I142" s="250"/>
      <c r="J142" s="250"/>
      <c r="K142" s="250"/>
      <c r="L142" s="250"/>
      <c r="M142" s="253"/>
      <c r="N142" s="239"/>
      <c r="O142" s="256"/>
      <c r="P142" s="610"/>
      <c r="Q142" s="611"/>
      <c r="R142" s="611"/>
      <c r="S142" s="611">
        <f ca="1">IF(NOT(ISERROR(MATCH(R142,_xlfn.ANCHORARRAY(H153),0))),Q155&amp;"Por favor no seleccionar los criterios de impacto",R142)</f>
        <v>0</v>
      </c>
      <c r="T142" s="610"/>
      <c r="U142" s="611"/>
      <c r="V142" s="252"/>
      <c r="W142" s="194">
        <v>6</v>
      </c>
      <c r="X142" s="192"/>
      <c r="Y142" s="194" t="str">
        <f t="shared" si="157"/>
        <v/>
      </c>
      <c r="Z142" s="188"/>
      <c r="AA142" s="188"/>
      <c r="AB142" s="185" t="str">
        <f t="shared" si="166"/>
        <v/>
      </c>
      <c r="AC142" s="188"/>
      <c r="AD142" s="188"/>
      <c r="AE142" s="188"/>
      <c r="AF142" s="602" t="str">
        <f t="shared" si="186"/>
        <v/>
      </c>
      <c r="AG142" s="186" t="str">
        <f t="shared" si="159"/>
        <v/>
      </c>
      <c r="AH142" s="185" t="str">
        <f t="shared" si="160"/>
        <v/>
      </c>
      <c r="AI142" s="186" t="str">
        <f t="shared" si="161"/>
        <v/>
      </c>
      <c r="AJ142" s="185" t="str">
        <f t="shared" si="188"/>
        <v/>
      </c>
      <c r="AK142" s="187" t="str">
        <f t="shared" si="163"/>
        <v/>
      </c>
      <c r="AL142" s="603"/>
      <c r="AM142" s="189"/>
      <c r="AN142" s="194"/>
      <c r="AO142" s="190"/>
      <c r="AP142" s="190"/>
      <c r="AQ142" s="191"/>
      <c r="AR142" s="194"/>
    </row>
    <row r="143" spans="1:44" s="605" customFormat="1" ht="90" x14ac:dyDescent="0.25">
      <c r="A143" s="252">
        <v>22</v>
      </c>
      <c r="B143" s="245" t="s">
        <v>664</v>
      </c>
      <c r="C143" s="238" t="s">
        <v>272</v>
      </c>
      <c r="D143" s="238" t="s">
        <v>651</v>
      </c>
      <c r="E143" s="253" t="s">
        <v>241</v>
      </c>
      <c r="F143" s="269" t="s">
        <v>665</v>
      </c>
      <c r="G143" s="269" t="s">
        <v>666</v>
      </c>
      <c r="H143" s="257" t="s">
        <v>667</v>
      </c>
      <c r="I143" s="248" t="s">
        <v>480</v>
      </c>
      <c r="J143" s="248" t="s">
        <v>480</v>
      </c>
      <c r="K143" s="248" t="s">
        <v>480</v>
      </c>
      <c r="L143" s="248" t="s">
        <v>480</v>
      </c>
      <c r="M143" s="253" t="s">
        <v>242</v>
      </c>
      <c r="N143" s="238"/>
      <c r="O143" s="256">
        <v>24</v>
      </c>
      <c r="P143" s="610" t="str">
        <f t="shared" si="153"/>
        <v>Baja</v>
      </c>
      <c r="Q143" s="611">
        <f t="shared" si="154"/>
        <v>0.4</v>
      </c>
      <c r="R143" s="611" t="s">
        <v>193</v>
      </c>
      <c r="S143" s="611" t="str">
        <f ca="1">IF(NOT(ISERROR(MATCH(R143,'Tabla Impacto'!$B$221:$B$223,0))),'Tabla Impacto'!$F$223&amp;"Por favor no seleccionar los criterios de impacto(Afectación Económica o presupuestal y Pérdida Reputacional)",R143)</f>
        <v>El riesgo afecta la imagen de la entidad con algunos usuarios de relevancia frente al logro de los objetivos</v>
      </c>
      <c r="T143" s="610" t="str">
        <f ca="1">+IF(OR(S143='[1]Tabla Impacto'!$C$11,S143='[1]Tabla Impacto'!$D$11),"Leve",IF(OR(S143='[1]Tabla Impacto'!$C$12,S143='[1]Tabla Impacto'!$D$12),"Menor",IF(OR(S143='[1]Tabla Impacto'!$C$13,S143='[1]Tabla Impacto'!$D$13),"Moderado",IF(OR(S143='[1]Tabla Impacto'!$C$14,S143='[1]Tabla Impacto'!$D$14),"Mayor",IF(OR(S143='[1]Tabla Impacto'!$C$15,S143='[1]Tabla Impacto'!$D$15),"Catastrófico","")))))</f>
        <v>Moderado</v>
      </c>
      <c r="U143" s="611">
        <f t="shared" ref="U143" ca="1" si="189">IF(T143="","",IF(T143="Leve",0.2,IF(T143="Menor",0.4,IF(T143="Moderado",0.6,IF(T143="Mayor",0.8,IF(T143="Catastrófico",1,))))))</f>
        <v>0.6</v>
      </c>
      <c r="V143" s="252" t="str">
        <f t="shared" ref="V143" ca="1" si="190">IF(OR(AND(P143="Muy Baja",T143="Leve"),AND(P143="Muy Baja",T143="Menor"),AND(P143="Baja",T143="Leve")),"Bajo",IF(OR(AND(P143="Muy baja",T143="Moderado"),AND(P143="Baja",T143="Menor"),AND(P143="Baja",T143="Moderado"),AND(P143="Media",T143="Leve"),AND(P143="Media",T143="Menor"),AND(P143="Media",T143="Moderado"),AND(P143="Alta",T143="Leve"),AND(P143="Alta",T143="Menor")),"Moderado",IF(OR(AND(P143="Muy Baja",T143="Mayor"),AND(P143="Baja",T143="Mayor"),AND(P143="Media",T143="Mayor"),AND(P143="Alta",T143="Moderado"),AND(P143="Alta",T143="Mayor"),AND(P143="Muy Alta",T143="Leve"),AND(P143="Muy Alta",T143="Menor"),AND(P143="Muy Alta",T143="Moderado"),AND(P143="Muy Alta",T143="Mayor")),"Alto",IF(OR(AND(P143="Muy Baja",T143="Catastrófico"),AND(P143="Baja",T143="Catastrófico"),AND(P143="Media",T143="Catastrófico"),AND(P143="Alta",T143="Catastrófico"),AND(P143="Muy Alta",T143="Catastrófico")),"Extremo",""))))</f>
        <v>Moderado</v>
      </c>
      <c r="W143" s="194">
        <v>1</v>
      </c>
      <c r="X143" s="193" t="s">
        <v>668</v>
      </c>
      <c r="Y143" s="194" t="str">
        <f t="shared" si="157"/>
        <v>Probabilidad</v>
      </c>
      <c r="Z143" s="188" t="s">
        <v>211</v>
      </c>
      <c r="AA143" s="188" t="s">
        <v>219</v>
      </c>
      <c r="AB143" s="185" t="str">
        <f t="shared" si="166"/>
        <v>40%</v>
      </c>
      <c r="AC143" s="188" t="s">
        <v>222</v>
      </c>
      <c r="AD143" s="188" t="s">
        <v>227</v>
      </c>
      <c r="AE143" s="188" t="s">
        <v>231</v>
      </c>
      <c r="AF143" s="602">
        <f t="shared" ref="AF143" si="191">IFERROR(IF(Y143="Probabilidad",(Q143-(+Q143*AB143)),IF(Y143="Impacto",Q143,"")),"")</f>
        <v>0.24</v>
      </c>
      <c r="AG143" s="186" t="str">
        <f t="shared" si="159"/>
        <v>Baja</v>
      </c>
      <c r="AH143" s="185">
        <f t="shared" si="160"/>
        <v>0.24</v>
      </c>
      <c r="AI143" s="186" t="str">
        <f t="shared" ca="1" si="161"/>
        <v>Moderado</v>
      </c>
      <c r="AJ143" s="185">
        <f t="shared" ref="AJ143" ca="1" si="192">IFERROR(IF(Y143="Impacto",(U143-(+U143*AB143)),IF(Y143="Probabilidad",U143,"")),"")</f>
        <v>0.6</v>
      </c>
      <c r="AK143" s="187" t="str">
        <f t="shared" ca="1" si="163"/>
        <v>Moderado</v>
      </c>
      <c r="AL143" s="603" t="s">
        <v>258</v>
      </c>
      <c r="AM143" s="189"/>
      <c r="AN143" s="194"/>
      <c r="AO143" s="190"/>
      <c r="AP143" s="190"/>
      <c r="AQ143" s="191"/>
      <c r="AR143" s="194"/>
    </row>
    <row r="144" spans="1:44" s="605" customFormat="1" ht="101.25" x14ac:dyDescent="0.25">
      <c r="A144" s="252"/>
      <c r="B144" s="246"/>
      <c r="C144" s="251"/>
      <c r="D144" s="251"/>
      <c r="E144" s="253"/>
      <c r="F144" s="270"/>
      <c r="G144" s="270"/>
      <c r="H144" s="258"/>
      <c r="I144" s="249"/>
      <c r="J144" s="249"/>
      <c r="K144" s="249"/>
      <c r="L144" s="249"/>
      <c r="M144" s="253"/>
      <c r="N144" s="251"/>
      <c r="O144" s="256"/>
      <c r="P144" s="610"/>
      <c r="Q144" s="611"/>
      <c r="R144" s="611"/>
      <c r="S144" s="611">
        <f ca="1">IF(NOT(ISERROR(MATCH(R144,_xlfn.ANCHORARRAY(H155),0))),Q157&amp;"Por favor no seleccionar los criterios de impacto",R144)</f>
        <v>0</v>
      </c>
      <c r="T144" s="610"/>
      <c r="U144" s="611"/>
      <c r="V144" s="252"/>
      <c r="W144" s="194">
        <v>2</v>
      </c>
      <c r="X144" s="193" t="s">
        <v>669</v>
      </c>
      <c r="Y144" s="194" t="str">
        <f t="shared" si="157"/>
        <v>Probabilidad</v>
      </c>
      <c r="Z144" s="188" t="s">
        <v>211</v>
      </c>
      <c r="AA144" s="188" t="s">
        <v>219</v>
      </c>
      <c r="AB144" s="185" t="str">
        <f t="shared" si="166"/>
        <v>40%</v>
      </c>
      <c r="AC144" s="188" t="s">
        <v>222</v>
      </c>
      <c r="AD144" s="188" t="s">
        <v>227</v>
      </c>
      <c r="AE144" s="188" t="s">
        <v>231</v>
      </c>
      <c r="AF144" s="602">
        <f t="shared" ref="AF144:AF148" si="193">IFERROR(IF(AND(Y143="Probabilidad",Y144="Probabilidad"),(AH143-(+AH143*AB144)),IF(Y144="Probabilidad",(Q143-(+Q143*AB144)),IF(Y144="Impacto",AH143,""))),"")</f>
        <v>0.14399999999999999</v>
      </c>
      <c r="AG144" s="186" t="str">
        <f t="shared" si="159"/>
        <v>Muy Baja</v>
      </c>
      <c r="AH144" s="185">
        <f t="shared" si="160"/>
        <v>0.14399999999999999</v>
      </c>
      <c r="AI144" s="186" t="str">
        <f t="shared" ca="1" si="161"/>
        <v>Moderado</v>
      </c>
      <c r="AJ144" s="185">
        <f t="shared" ref="AJ144" ca="1" si="194">IFERROR(IF(AND(Y143="Impacto",Y144="Impacto"),(AJ143-(+AJ143*AB144)),IF(Y144="Impacto",(U143-(+U143*AB144)),IF(Y144="Probabilidad",AJ143,""))),"")</f>
        <v>0.6</v>
      </c>
      <c r="AK144" s="187" t="str">
        <f t="shared" ca="1" si="163"/>
        <v>Moderado</v>
      </c>
      <c r="AL144" s="603" t="s">
        <v>258</v>
      </c>
      <c r="AM144" s="189"/>
      <c r="AN144" s="194"/>
      <c r="AO144" s="190"/>
      <c r="AP144" s="190"/>
      <c r="AQ144" s="191"/>
      <c r="AR144" s="194"/>
    </row>
    <row r="145" spans="1:44" s="605" customFormat="1" ht="121.5" x14ac:dyDescent="0.25">
      <c r="A145" s="252"/>
      <c r="B145" s="246"/>
      <c r="C145" s="251"/>
      <c r="D145" s="251"/>
      <c r="E145" s="253"/>
      <c r="F145" s="270"/>
      <c r="G145" s="270"/>
      <c r="H145" s="258"/>
      <c r="I145" s="249"/>
      <c r="J145" s="249"/>
      <c r="K145" s="249"/>
      <c r="L145" s="249"/>
      <c r="M145" s="253"/>
      <c r="N145" s="251"/>
      <c r="O145" s="256"/>
      <c r="P145" s="610"/>
      <c r="Q145" s="611"/>
      <c r="R145" s="611"/>
      <c r="S145" s="611">
        <f ca="1">IF(NOT(ISERROR(MATCH(R145,_xlfn.ANCHORARRAY(H156),0))),Q158&amp;"Por favor no seleccionar los criterios de impacto",R145)</f>
        <v>0</v>
      </c>
      <c r="T145" s="610"/>
      <c r="U145" s="611"/>
      <c r="V145" s="252"/>
      <c r="W145" s="194">
        <v>3</v>
      </c>
      <c r="X145" s="192" t="s">
        <v>670</v>
      </c>
      <c r="Y145" s="194" t="str">
        <f t="shared" si="157"/>
        <v>Probabilidad</v>
      </c>
      <c r="Z145" s="188" t="s">
        <v>211</v>
      </c>
      <c r="AA145" s="188" t="s">
        <v>219</v>
      </c>
      <c r="AB145" s="185" t="str">
        <f t="shared" si="166"/>
        <v>40%</v>
      </c>
      <c r="AC145" s="188" t="s">
        <v>222</v>
      </c>
      <c r="AD145" s="188" t="s">
        <v>227</v>
      </c>
      <c r="AE145" s="188" t="s">
        <v>231</v>
      </c>
      <c r="AF145" s="602">
        <f t="shared" si="193"/>
        <v>8.6399999999999991E-2</v>
      </c>
      <c r="AG145" s="186" t="str">
        <f t="shared" si="159"/>
        <v>Muy Baja</v>
      </c>
      <c r="AH145" s="185">
        <f t="shared" si="160"/>
        <v>8.6399999999999991E-2</v>
      </c>
      <c r="AI145" s="186" t="str">
        <f t="shared" ca="1" si="161"/>
        <v>Moderado</v>
      </c>
      <c r="AJ145" s="185">
        <f t="shared" ref="AJ145:AJ148" ca="1" si="195">IFERROR(IF(AND(Y144="Impacto",Y145="Impacto"),(AJ144-(+AJ144*AB145)),IF(AND(Y144="Probabilidad",Y145="Impacto"),(AJ143-(+AJ143*AB145)),IF(Y145="Probabilidad",AJ144,""))),"")</f>
        <v>0.6</v>
      </c>
      <c r="AK145" s="187" t="str">
        <f t="shared" ca="1" si="163"/>
        <v>Moderado</v>
      </c>
      <c r="AL145" s="603" t="s">
        <v>258</v>
      </c>
      <c r="AM145" s="189"/>
      <c r="AN145" s="194"/>
      <c r="AO145" s="190"/>
      <c r="AP145" s="190"/>
      <c r="AQ145" s="191"/>
      <c r="AR145" s="194"/>
    </row>
    <row r="146" spans="1:44" s="605" customFormat="1" ht="69" hidden="1" customHeight="1" x14ac:dyDescent="0.25">
      <c r="A146" s="252"/>
      <c r="B146" s="246"/>
      <c r="C146" s="251"/>
      <c r="D146" s="251"/>
      <c r="E146" s="253"/>
      <c r="F146" s="270"/>
      <c r="G146" s="270"/>
      <c r="H146" s="258"/>
      <c r="I146" s="249"/>
      <c r="J146" s="249"/>
      <c r="K146" s="249"/>
      <c r="L146" s="249"/>
      <c r="M146" s="253"/>
      <c r="N146" s="251"/>
      <c r="O146" s="256"/>
      <c r="P146" s="610"/>
      <c r="Q146" s="611"/>
      <c r="R146" s="611"/>
      <c r="S146" s="611">
        <f ca="1">IF(NOT(ISERROR(MATCH(R146,_xlfn.ANCHORARRAY(H157),0))),Q159&amp;"Por favor no seleccionar los criterios de impacto",R146)</f>
        <v>0</v>
      </c>
      <c r="T146" s="610"/>
      <c r="U146" s="611"/>
      <c r="V146" s="252"/>
      <c r="W146" s="194">
        <v>4</v>
      </c>
      <c r="X146" s="192"/>
      <c r="Y146" s="194" t="str">
        <f t="shared" si="157"/>
        <v/>
      </c>
      <c r="Z146" s="188"/>
      <c r="AA146" s="188"/>
      <c r="AB146" s="185" t="str">
        <f t="shared" si="166"/>
        <v/>
      </c>
      <c r="AC146" s="188"/>
      <c r="AD146" s="188"/>
      <c r="AE146" s="188"/>
      <c r="AF146" s="602" t="str">
        <f t="shared" si="193"/>
        <v/>
      </c>
      <c r="AG146" s="186" t="str">
        <f t="shared" si="159"/>
        <v/>
      </c>
      <c r="AH146" s="185" t="str">
        <f t="shared" si="160"/>
        <v/>
      </c>
      <c r="AI146" s="186" t="str">
        <f t="shared" si="161"/>
        <v/>
      </c>
      <c r="AJ146" s="185" t="str">
        <f t="shared" si="195"/>
        <v/>
      </c>
      <c r="AK146" s="187" t="str">
        <f t="shared" si="163"/>
        <v/>
      </c>
      <c r="AL146" s="603"/>
      <c r="AM146" s="189"/>
      <c r="AN146" s="194"/>
      <c r="AO146" s="190"/>
      <c r="AP146" s="190"/>
      <c r="AQ146" s="191"/>
      <c r="AR146" s="194"/>
    </row>
    <row r="147" spans="1:44" s="605" customFormat="1" ht="69" hidden="1" customHeight="1" x14ac:dyDescent="0.25">
      <c r="A147" s="252"/>
      <c r="B147" s="246"/>
      <c r="C147" s="251"/>
      <c r="D147" s="251"/>
      <c r="E147" s="253"/>
      <c r="F147" s="270"/>
      <c r="G147" s="270"/>
      <c r="H147" s="258"/>
      <c r="I147" s="249"/>
      <c r="J147" s="249"/>
      <c r="K147" s="249"/>
      <c r="L147" s="249"/>
      <c r="M147" s="253"/>
      <c r="N147" s="251"/>
      <c r="O147" s="256"/>
      <c r="P147" s="610"/>
      <c r="Q147" s="611"/>
      <c r="R147" s="611"/>
      <c r="S147" s="611">
        <f ca="1">IF(NOT(ISERROR(MATCH(R147,_xlfn.ANCHORARRAY(H158),0))),Q160&amp;"Por favor no seleccionar los criterios de impacto",R147)</f>
        <v>0</v>
      </c>
      <c r="T147" s="610"/>
      <c r="U147" s="611"/>
      <c r="V147" s="252"/>
      <c r="W147" s="194">
        <v>5</v>
      </c>
      <c r="X147" s="192"/>
      <c r="Y147" s="194" t="str">
        <f t="shared" si="157"/>
        <v/>
      </c>
      <c r="Z147" s="188"/>
      <c r="AA147" s="188"/>
      <c r="AB147" s="185" t="str">
        <f t="shared" si="166"/>
        <v/>
      </c>
      <c r="AC147" s="188"/>
      <c r="AD147" s="188"/>
      <c r="AE147" s="188"/>
      <c r="AF147" s="602" t="str">
        <f t="shared" si="193"/>
        <v/>
      </c>
      <c r="AG147" s="186" t="str">
        <f t="shared" si="159"/>
        <v/>
      </c>
      <c r="AH147" s="185" t="str">
        <f t="shared" si="160"/>
        <v/>
      </c>
      <c r="AI147" s="186" t="str">
        <f t="shared" si="161"/>
        <v/>
      </c>
      <c r="AJ147" s="185" t="str">
        <f t="shared" si="195"/>
        <v/>
      </c>
      <c r="AK147" s="187" t="str">
        <f t="shared" si="163"/>
        <v/>
      </c>
      <c r="AL147" s="603"/>
      <c r="AM147" s="189"/>
      <c r="AN147" s="194"/>
      <c r="AO147" s="190"/>
      <c r="AP147" s="190"/>
      <c r="AQ147" s="191"/>
      <c r="AR147" s="194"/>
    </row>
    <row r="148" spans="1:44" s="605" customFormat="1" ht="69" hidden="1" customHeight="1" x14ac:dyDescent="0.25">
      <c r="A148" s="252"/>
      <c r="B148" s="247"/>
      <c r="C148" s="239"/>
      <c r="D148" s="239"/>
      <c r="E148" s="253"/>
      <c r="F148" s="271"/>
      <c r="G148" s="271"/>
      <c r="H148" s="259"/>
      <c r="I148" s="250"/>
      <c r="J148" s="250"/>
      <c r="K148" s="250"/>
      <c r="L148" s="250"/>
      <c r="M148" s="253"/>
      <c r="N148" s="239"/>
      <c r="O148" s="256"/>
      <c r="P148" s="610"/>
      <c r="Q148" s="611"/>
      <c r="R148" s="611"/>
      <c r="S148" s="611">
        <f ca="1">IF(NOT(ISERROR(MATCH(R148,_xlfn.ANCHORARRAY(H159),0))),Q161&amp;"Por favor no seleccionar los criterios de impacto",R148)</f>
        <v>0</v>
      </c>
      <c r="T148" s="610"/>
      <c r="U148" s="611"/>
      <c r="V148" s="252"/>
      <c r="W148" s="194">
        <v>6</v>
      </c>
      <c r="X148" s="192"/>
      <c r="Y148" s="194" t="str">
        <f t="shared" si="157"/>
        <v/>
      </c>
      <c r="Z148" s="188"/>
      <c r="AA148" s="188"/>
      <c r="AB148" s="185" t="str">
        <f t="shared" si="166"/>
        <v/>
      </c>
      <c r="AC148" s="188"/>
      <c r="AD148" s="188"/>
      <c r="AE148" s="188"/>
      <c r="AF148" s="602" t="str">
        <f t="shared" si="193"/>
        <v/>
      </c>
      <c r="AG148" s="186" t="str">
        <f t="shared" si="159"/>
        <v/>
      </c>
      <c r="AH148" s="185" t="str">
        <f t="shared" si="160"/>
        <v/>
      </c>
      <c r="AI148" s="186" t="str">
        <f t="shared" si="161"/>
        <v/>
      </c>
      <c r="AJ148" s="185" t="str">
        <f t="shared" si="195"/>
        <v/>
      </c>
      <c r="AK148" s="187" t="str">
        <f t="shared" si="163"/>
        <v/>
      </c>
      <c r="AL148" s="603"/>
      <c r="AM148" s="189"/>
      <c r="AN148" s="194"/>
      <c r="AO148" s="190"/>
      <c r="AP148" s="190"/>
      <c r="AQ148" s="191"/>
      <c r="AR148" s="194"/>
    </row>
    <row r="149" spans="1:44" s="605" customFormat="1" ht="174" customHeight="1" x14ac:dyDescent="0.25">
      <c r="A149" s="252">
        <v>23</v>
      </c>
      <c r="B149" s="245" t="s">
        <v>671</v>
      </c>
      <c r="C149" s="238" t="s">
        <v>272</v>
      </c>
      <c r="D149" s="260" t="s">
        <v>672</v>
      </c>
      <c r="E149" s="253" t="s">
        <v>241</v>
      </c>
      <c r="F149" s="269" t="s">
        <v>673</v>
      </c>
      <c r="G149" s="269" t="s">
        <v>674</v>
      </c>
      <c r="H149" s="257" t="s">
        <v>675</v>
      </c>
      <c r="I149" s="248" t="s">
        <v>480</v>
      </c>
      <c r="J149" s="248" t="s">
        <v>480</v>
      </c>
      <c r="K149" s="248" t="s">
        <v>480</v>
      </c>
      <c r="L149" s="248" t="s">
        <v>480</v>
      </c>
      <c r="M149" s="253" t="s">
        <v>242</v>
      </c>
      <c r="N149" s="238"/>
      <c r="O149" s="256">
        <v>365</v>
      </c>
      <c r="P149" s="610" t="str">
        <f t="shared" si="153"/>
        <v>Media</v>
      </c>
      <c r="Q149" s="611">
        <f t="shared" si="154"/>
        <v>0.6</v>
      </c>
      <c r="R149" s="611" t="s">
        <v>193</v>
      </c>
      <c r="S149" s="611" t="str">
        <f ca="1">IF(NOT(ISERROR(MATCH(R149,'Tabla Impacto'!$B$221:$B$223,0))),'Tabla Impacto'!$F$223&amp;"Por favor no seleccionar los criterios de impacto(Afectación Económica o presupuestal y Pérdida Reputacional)",R149)</f>
        <v>El riesgo afecta la imagen de la entidad con algunos usuarios de relevancia frente al logro de los objetivos</v>
      </c>
      <c r="T149" s="610" t="str">
        <f ca="1">+IF(OR(S149='[1]Tabla Impacto'!$C$11,S149='[1]Tabla Impacto'!$D$11),"Leve",IF(OR(S149='[1]Tabla Impacto'!$C$12,S149='[1]Tabla Impacto'!$D$12),"Menor",IF(OR(S149='[1]Tabla Impacto'!$C$13,S149='[1]Tabla Impacto'!$D$13),"Moderado",IF(OR(S149='[1]Tabla Impacto'!$C$14,S149='[1]Tabla Impacto'!$D$14),"Mayor",IF(OR(S149='[1]Tabla Impacto'!$C$15,S149='[1]Tabla Impacto'!$D$15),"Catastrófico","")))))</f>
        <v>Moderado</v>
      </c>
      <c r="U149" s="611">
        <f t="shared" ref="U149" ca="1" si="196">IF(T149="","",IF(T149="Leve",0.2,IF(T149="Menor",0.4,IF(T149="Moderado",0.6,IF(T149="Mayor",0.8,IF(T149="Catastrófico",1,))))))</f>
        <v>0.6</v>
      </c>
      <c r="V149" s="252" t="str">
        <f t="shared" ref="V149" ca="1" si="197">IF(OR(AND(P149="Muy Baja",T149="Leve"),AND(P149="Muy Baja",T149="Menor"),AND(P149="Baja",T149="Leve")),"Bajo",IF(OR(AND(P149="Muy baja",T149="Moderado"),AND(P149="Baja",T149="Menor"),AND(P149="Baja",T149="Moderado"),AND(P149="Media",T149="Leve"),AND(P149="Media",T149="Menor"),AND(P149="Media",T149="Moderado"),AND(P149="Alta",T149="Leve"),AND(P149="Alta",T149="Menor")),"Moderado",IF(OR(AND(P149="Muy Baja",T149="Mayor"),AND(P149="Baja",T149="Mayor"),AND(P149="Media",T149="Mayor"),AND(P149="Alta",T149="Moderado"),AND(P149="Alta",T149="Mayor"),AND(P149="Muy Alta",T149="Leve"),AND(P149="Muy Alta",T149="Menor"),AND(P149="Muy Alta",T149="Moderado"),AND(P149="Muy Alta",T149="Mayor")),"Alto",IF(OR(AND(P149="Muy Baja",T149="Catastrófico"),AND(P149="Baja",T149="Catastrófico"),AND(P149="Media",T149="Catastrófico"),AND(P149="Alta",T149="Catastrófico"),AND(P149="Muy Alta",T149="Catastrófico")),"Extremo",""))))</f>
        <v>Moderado</v>
      </c>
      <c r="W149" s="194">
        <v>1</v>
      </c>
      <c r="X149" s="192" t="s">
        <v>1189</v>
      </c>
      <c r="Y149" s="194" t="str">
        <f t="shared" si="157"/>
        <v>Probabilidad</v>
      </c>
      <c r="Z149" s="188" t="s">
        <v>211</v>
      </c>
      <c r="AA149" s="188" t="s">
        <v>219</v>
      </c>
      <c r="AB149" s="185" t="str">
        <f t="shared" si="166"/>
        <v>40%</v>
      </c>
      <c r="AC149" s="188" t="s">
        <v>222</v>
      </c>
      <c r="AD149" s="188" t="s">
        <v>227</v>
      </c>
      <c r="AE149" s="188" t="s">
        <v>231</v>
      </c>
      <c r="AF149" s="602">
        <f t="shared" ref="AF149" si="198">IFERROR(IF(Y149="Probabilidad",(Q149-(+Q149*AB149)),IF(Y149="Impacto",Q149,"")),"")</f>
        <v>0.36</v>
      </c>
      <c r="AG149" s="186" t="str">
        <f t="shared" si="159"/>
        <v>Baja</v>
      </c>
      <c r="AH149" s="185">
        <f t="shared" si="160"/>
        <v>0.36</v>
      </c>
      <c r="AI149" s="186" t="str">
        <f t="shared" ca="1" si="161"/>
        <v>Moderado</v>
      </c>
      <c r="AJ149" s="185">
        <f t="shared" ref="AJ149" ca="1" si="199">IFERROR(IF(Y149="Impacto",(U149-(+U149*AB149)),IF(Y149="Probabilidad",U149,"")),"")</f>
        <v>0.6</v>
      </c>
      <c r="AK149" s="187" t="str">
        <f t="shared" ca="1" si="163"/>
        <v>Moderado</v>
      </c>
      <c r="AL149" s="603" t="s">
        <v>258</v>
      </c>
      <c r="AM149" s="189"/>
      <c r="AN149" s="194"/>
      <c r="AO149" s="190"/>
      <c r="AP149" s="190"/>
      <c r="AQ149" s="191"/>
      <c r="AR149" s="194"/>
    </row>
    <row r="150" spans="1:44" s="605" customFormat="1" ht="69" hidden="1" customHeight="1" x14ac:dyDescent="0.25">
      <c r="A150" s="252"/>
      <c r="B150" s="246"/>
      <c r="C150" s="251"/>
      <c r="D150" s="261"/>
      <c r="E150" s="253"/>
      <c r="F150" s="270"/>
      <c r="G150" s="270"/>
      <c r="H150" s="258"/>
      <c r="I150" s="249"/>
      <c r="J150" s="249"/>
      <c r="K150" s="249"/>
      <c r="L150" s="249"/>
      <c r="M150" s="253"/>
      <c r="N150" s="251"/>
      <c r="O150" s="256"/>
      <c r="P150" s="610"/>
      <c r="Q150" s="611"/>
      <c r="R150" s="611"/>
      <c r="S150" s="611">
        <f ca="1">IF(NOT(ISERROR(MATCH(R150,_xlfn.ANCHORARRAY(H161),0))),Q163&amp;"Por favor no seleccionar los criterios de impacto",R150)</f>
        <v>0</v>
      </c>
      <c r="T150" s="610"/>
      <c r="U150" s="611"/>
      <c r="V150" s="252"/>
      <c r="W150" s="194">
        <v>2</v>
      </c>
      <c r="X150" s="192"/>
      <c r="Y150" s="194" t="str">
        <f t="shared" si="157"/>
        <v/>
      </c>
      <c r="Z150" s="188"/>
      <c r="AA150" s="188"/>
      <c r="AB150" s="185" t="str">
        <f t="shared" si="166"/>
        <v/>
      </c>
      <c r="AC150" s="188"/>
      <c r="AD150" s="188"/>
      <c r="AE150" s="188"/>
      <c r="AF150" s="602" t="str">
        <f t="shared" ref="AF150:AF154" si="200">IFERROR(IF(AND(Y149="Probabilidad",Y150="Probabilidad"),(AH149-(+AH149*AB150)),IF(Y150="Probabilidad",(Q149-(+Q149*AB150)),IF(Y150="Impacto",AH149,""))),"")</f>
        <v/>
      </c>
      <c r="AG150" s="186" t="str">
        <f t="shared" si="159"/>
        <v/>
      </c>
      <c r="AH150" s="185" t="str">
        <f t="shared" si="160"/>
        <v/>
      </c>
      <c r="AI150" s="186" t="str">
        <f t="shared" si="161"/>
        <v/>
      </c>
      <c r="AJ150" s="185" t="str">
        <f t="shared" ref="AJ150" si="201">IFERROR(IF(AND(Y149="Impacto",Y150="Impacto"),(AJ149-(+AJ149*AB150)),IF(Y150="Impacto",(U149-(+U149*AB150)),IF(Y150="Probabilidad",AJ149,""))),"")</f>
        <v/>
      </c>
      <c r="AK150" s="187" t="str">
        <f t="shared" si="163"/>
        <v/>
      </c>
      <c r="AL150" s="603"/>
      <c r="AM150" s="189"/>
      <c r="AN150" s="194"/>
      <c r="AO150" s="190"/>
      <c r="AP150" s="190"/>
      <c r="AQ150" s="191"/>
      <c r="AR150" s="194"/>
    </row>
    <row r="151" spans="1:44" s="605" customFormat="1" ht="69" hidden="1" customHeight="1" x14ac:dyDescent="0.25">
      <c r="A151" s="252"/>
      <c r="B151" s="246"/>
      <c r="C151" s="251"/>
      <c r="D151" s="261"/>
      <c r="E151" s="253"/>
      <c r="F151" s="270"/>
      <c r="G151" s="270"/>
      <c r="H151" s="258"/>
      <c r="I151" s="249"/>
      <c r="J151" s="249"/>
      <c r="K151" s="249"/>
      <c r="L151" s="249"/>
      <c r="M151" s="253"/>
      <c r="N151" s="251"/>
      <c r="O151" s="256"/>
      <c r="P151" s="610"/>
      <c r="Q151" s="611"/>
      <c r="R151" s="611"/>
      <c r="S151" s="611">
        <f ca="1">IF(NOT(ISERROR(MATCH(R151,_xlfn.ANCHORARRAY(H162),0))),Q164&amp;"Por favor no seleccionar los criterios de impacto",R151)</f>
        <v>0</v>
      </c>
      <c r="T151" s="610"/>
      <c r="U151" s="611"/>
      <c r="V151" s="252"/>
      <c r="W151" s="194">
        <v>3</v>
      </c>
      <c r="X151" s="192"/>
      <c r="Y151" s="194" t="str">
        <f t="shared" si="157"/>
        <v/>
      </c>
      <c r="Z151" s="188"/>
      <c r="AA151" s="188"/>
      <c r="AB151" s="185" t="str">
        <f t="shared" si="166"/>
        <v/>
      </c>
      <c r="AC151" s="188"/>
      <c r="AD151" s="188"/>
      <c r="AE151" s="188"/>
      <c r="AF151" s="602" t="str">
        <f t="shared" si="200"/>
        <v/>
      </c>
      <c r="AG151" s="186" t="str">
        <f t="shared" si="159"/>
        <v/>
      </c>
      <c r="AH151" s="185" t="str">
        <f t="shared" si="160"/>
        <v/>
      </c>
      <c r="AI151" s="186" t="str">
        <f t="shared" si="161"/>
        <v/>
      </c>
      <c r="AJ151" s="185" t="str">
        <f t="shared" ref="AJ151:AJ154" si="202">IFERROR(IF(AND(Y150="Impacto",Y151="Impacto"),(AJ150-(+AJ150*AB151)),IF(AND(Y150="Probabilidad",Y151="Impacto"),(AJ149-(+AJ149*AB151)),IF(Y151="Probabilidad",AJ150,""))),"")</f>
        <v/>
      </c>
      <c r="AK151" s="187" t="str">
        <f t="shared" si="163"/>
        <v/>
      </c>
      <c r="AL151" s="603"/>
      <c r="AM151" s="189"/>
      <c r="AN151" s="194"/>
      <c r="AO151" s="190"/>
      <c r="AP151" s="190"/>
      <c r="AQ151" s="191"/>
      <c r="AR151" s="194"/>
    </row>
    <row r="152" spans="1:44" s="605" customFormat="1" ht="69" hidden="1" customHeight="1" x14ac:dyDescent="0.25">
      <c r="A152" s="252"/>
      <c r="B152" s="246"/>
      <c r="C152" s="251"/>
      <c r="D152" s="261"/>
      <c r="E152" s="253"/>
      <c r="F152" s="270"/>
      <c r="G152" s="270"/>
      <c r="H152" s="258"/>
      <c r="I152" s="249"/>
      <c r="J152" s="249"/>
      <c r="K152" s="249"/>
      <c r="L152" s="249"/>
      <c r="M152" s="253"/>
      <c r="N152" s="251"/>
      <c r="O152" s="256"/>
      <c r="P152" s="610"/>
      <c r="Q152" s="611"/>
      <c r="R152" s="611"/>
      <c r="S152" s="611">
        <f ca="1">IF(NOT(ISERROR(MATCH(R152,_xlfn.ANCHORARRAY(H163),0))),Q165&amp;"Por favor no seleccionar los criterios de impacto",R152)</f>
        <v>0</v>
      </c>
      <c r="T152" s="610"/>
      <c r="U152" s="611"/>
      <c r="V152" s="252"/>
      <c r="W152" s="194">
        <v>4</v>
      </c>
      <c r="X152" s="192"/>
      <c r="Y152" s="194" t="str">
        <f t="shared" si="157"/>
        <v/>
      </c>
      <c r="Z152" s="188"/>
      <c r="AA152" s="188"/>
      <c r="AB152" s="185" t="str">
        <f t="shared" si="166"/>
        <v/>
      </c>
      <c r="AC152" s="188"/>
      <c r="AD152" s="188"/>
      <c r="AE152" s="188"/>
      <c r="AF152" s="602" t="str">
        <f t="shared" si="200"/>
        <v/>
      </c>
      <c r="AG152" s="186" t="str">
        <f t="shared" si="159"/>
        <v/>
      </c>
      <c r="AH152" s="185" t="str">
        <f t="shared" si="160"/>
        <v/>
      </c>
      <c r="AI152" s="186" t="str">
        <f t="shared" si="161"/>
        <v/>
      </c>
      <c r="AJ152" s="185" t="str">
        <f t="shared" si="202"/>
        <v/>
      </c>
      <c r="AK152" s="187" t="str">
        <f t="shared" si="163"/>
        <v/>
      </c>
      <c r="AL152" s="603"/>
      <c r="AM152" s="189"/>
      <c r="AN152" s="194"/>
      <c r="AO152" s="190"/>
      <c r="AP152" s="190"/>
      <c r="AQ152" s="191"/>
      <c r="AR152" s="194"/>
    </row>
    <row r="153" spans="1:44" s="605" customFormat="1" ht="69" hidden="1" customHeight="1" x14ac:dyDescent="0.25">
      <c r="A153" s="252"/>
      <c r="B153" s="246"/>
      <c r="C153" s="251"/>
      <c r="D153" s="261"/>
      <c r="E153" s="253"/>
      <c r="F153" s="270"/>
      <c r="G153" s="270"/>
      <c r="H153" s="258"/>
      <c r="I153" s="249"/>
      <c r="J153" s="249"/>
      <c r="K153" s="249"/>
      <c r="L153" s="249"/>
      <c r="M153" s="253"/>
      <c r="N153" s="251"/>
      <c r="O153" s="256"/>
      <c r="P153" s="610"/>
      <c r="Q153" s="611"/>
      <c r="R153" s="611"/>
      <c r="S153" s="611">
        <f ca="1">IF(NOT(ISERROR(MATCH(R153,_xlfn.ANCHORARRAY(H164),0))),Q166&amp;"Por favor no seleccionar los criterios de impacto",R153)</f>
        <v>0</v>
      </c>
      <c r="T153" s="610"/>
      <c r="U153" s="611"/>
      <c r="V153" s="252"/>
      <c r="W153" s="194">
        <v>5</v>
      </c>
      <c r="X153" s="192"/>
      <c r="Y153" s="194" t="str">
        <f t="shared" si="157"/>
        <v/>
      </c>
      <c r="Z153" s="188"/>
      <c r="AA153" s="188"/>
      <c r="AB153" s="185" t="str">
        <f t="shared" si="166"/>
        <v/>
      </c>
      <c r="AC153" s="188"/>
      <c r="AD153" s="188"/>
      <c r="AE153" s="188"/>
      <c r="AF153" s="602" t="str">
        <f t="shared" si="200"/>
        <v/>
      </c>
      <c r="AG153" s="186" t="str">
        <f t="shared" si="159"/>
        <v/>
      </c>
      <c r="AH153" s="185" t="str">
        <f t="shared" si="160"/>
        <v/>
      </c>
      <c r="AI153" s="186" t="str">
        <f t="shared" si="161"/>
        <v/>
      </c>
      <c r="AJ153" s="185" t="str">
        <f t="shared" si="202"/>
        <v/>
      </c>
      <c r="AK153" s="187" t="str">
        <f t="shared" si="163"/>
        <v/>
      </c>
      <c r="AL153" s="603"/>
      <c r="AM153" s="189"/>
      <c r="AN153" s="194"/>
      <c r="AO153" s="190"/>
      <c r="AP153" s="190"/>
      <c r="AQ153" s="191"/>
      <c r="AR153" s="194"/>
    </row>
    <row r="154" spans="1:44" s="605" customFormat="1" ht="69" hidden="1" customHeight="1" x14ac:dyDescent="0.25">
      <c r="A154" s="252"/>
      <c r="B154" s="247"/>
      <c r="C154" s="239"/>
      <c r="D154" s="262"/>
      <c r="E154" s="253"/>
      <c r="F154" s="271"/>
      <c r="G154" s="271"/>
      <c r="H154" s="259"/>
      <c r="I154" s="250"/>
      <c r="J154" s="250"/>
      <c r="K154" s="250"/>
      <c r="L154" s="250"/>
      <c r="M154" s="253"/>
      <c r="N154" s="239"/>
      <c r="O154" s="256"/>
      <c r="P154" s="610"/>
      <c r="Q154" s="611"/>
      <c r="R154" s="611"/>
      <c r="S154" s="611">
        <f ca="1">IF(NOT(ISERROR(MATCH(R154,_xlfn.ANCHORARRAY(H165),0))),Q167&amp;"Por favor no seleccionar los criterios de impacto",R154)</f>
        <v>0</v>
      </c>
      <c r="T154" s="610"/>
      <c r="U154" s="611"/>
      <c r="V154" s="252"/>
      <c r="W154" s="194">
        <v>6</v>
      </c>
      <c r="X154" s="192"/>
      <c r="Y154" s="194" t="str">
        <f t="shared" si="157"/>
        <v/>
      </c>
      <c r="Z154" s="188"/>
      <c r="AA154" s="188"/>
      <c r="AB154" s="185" t="str">
        <f t="shared" si="166"/>
        <v/>
      </c>
      <c r="AC154" s="188"/>
      <c r="AD154" s="188"/>
      <c r="AE154" s="188"/>
      <c r="AF154" s="602" t="str">
        <f t="shared" si="200"/>
        <v/>
      </c>
      <c r="AG154" s="186" t="str">
        <f t="shared" si="159"/>
        <v/>
      </c>
      <c r="AH154" s="185" t="str">
        <f t="shared" si="160"/>
        <v/>
      </c>
      <c r="AI154" s="186" t="str">
        <f t="shared" si="161"/>
        <v/>
      </c>
      <c r="AJ154" s="185" t="str">
        <f t="shared" si="202"/>
        <v/>
      </c>
      <c r="AK154" s="187" t="str">
        <f t="shared" si="163"/>
        <v/>
      </c>
      <c r="AL154" s="603"/>
      <c r="AM154" s="189"/>
      <c r="AN154" s="194"/>
      <c r="AO154" s="190"/>
      <c r="AP154" s="190"/>
      <c r="AQ154" s="191"/>
      <c r="AR154" s="194"/>
    </row>
    <row r="155" spans="1:44" s="605" customFormat="1" ht="121.5" customHeight="1" x14ac:dyDescent="0.25">
      <c r="A155" s="252">
        <v>24</v>
      </c>
      <c r="B155" s="245" t="s">
        <v>676</v>
      </c>
      <c r="C155" s="238" t="s">
        <v>272</v>
      </c>
      <c r="D155" s="263" t="s">
        <v>677</v>
      </c>
      <c r="E155" s="253" t="s">
        <v>239</v>
      </c>
      <c r="F155" s="272" t="s">
        <v>678</v>
      </c>
      <c r="G155" s="272" t="s">
        <v>679</v>
      </c>
      <c r="H155" s="275" t="s">
        <v>680</v>
      </c>
      <c r="I155" s="248" t="s">
        <v>480</v>
      </c>
      <c r="J155" s="248" t="s">
        <v>480</v>
      </c>
      <c r="K155" s="248" t="s">
        <v>480</v>
      </c>
      <c r="L155" s="248" t="s">
        <v>480</v>
      </c>
      <c r="M155" s="253" t="s">
        <v>249</v>
      </c>
      <c r="N155" s="238"/>
      <c r="O155" s="256">
        <v>3650</v>
      </c>
      <c r="P155" s="610" t="str">
        <f t="shared" si="153"/>
        <v>Alta</v>
      </c>
      <c r="Q155" s="611">
        <f t="shared" si="154"/>
        <v>0.8</v>
      </c>
      <c r="R155" s="611" t="s">
        <v>189</v>
      </c>
      <c r="S155" s="611" t="str">
        <f ca="1">IF(NOT(ISERROR(MATCH(R155,'Tabla Impacto'!$B$221:$B$223,0))),'Tabla Impacto'!$F$223&amp;"Por favor no seleccionar los criterios de impacto(Afectación Económica o presupuestal y Pérdida Reputacional)",R155)</f>
        <v xml:space="preserve">Entre 10 y 50 SMLMV </v>
      </c>
      <c r="T155" s="610" t="str">
        <f ca="1">+IF(OR(S155='[1]Tabla Impacto'!$C$11,S155='[1]Tabla Impacto'!$D$11),"Leve",IF(OR(S155='[1]Tabla Impacto'!$C$12,S155='[1]Tabla Impacto'!$D$12),"Menor",IF(OR(S155='[1]Tabla Impacto'!$C$13,S155='[1]Tabla Impacto'!$D$13),"Moderado",IF(OR(S155='[1]Tabla Impacto'!$C$14,S155='[1]Tabla Impacto'!$D$14),"Mayor",IF(OR(S155='[1]Tabla Impacto'!$C$15,S155='[1]Tabla Impacto'!$D$15),"Catastrófico","")))))</f>
        <v>Menor</v>
      </c>
      <c r="U155" s="611">
        <f t="shared" ref="U155" ca="1" si="203">IF(T155="","",IF(T155="Leve",0.2,IF(T155="Menor",0.4,IF(T155="Moderado",0.6,IF(T155="Mayor",0.8,IF(T155="Catastrófico",1,))))))</f>
        <v>0.4</v>
      </c>
      <c r="V155" s="252" t="str">
        <f t="shared" ref="V155" ca="1" si="204">IF(OR(AND(P155="Muy Baja",T155="Leve"),AND(P155="Muy Baja",T155="Menor"),AND(P155="Baja",T155="Leve")),"Bajo",IF(OR(AND(P155="Muy baja",T155="Moderado"),AND(P155="Baja",T155="Menor"),AND(P155="Baja",T155="Moderado"),AND(P155="Media",T155="Leve"),AND(P155="Media",T155="Menor"),AND(P155="Media",T155="Moderado"),AND(P155="Alta",T155="Leve"),AND(P155="Alta",T155="Menor")),"Moderado",IF(OR(AND(P155="Muy Baja",T155="Mayor"),AND(P155="Baja",T155="Mayor"),AND(P155="Media",T155="Mayor"),AND(P155="Alta",T155="Moderado"),AND(P155="Alta",T155="Mayor"),AND(P155="Muy Alta",T155="Leve"),AND(P155="Muy Alta",T155="Menor"),AND(P155="Muy Alta",T155="Moderado"),AND(P155="Muy Alta",T155="Mayor")),"Alto",IF(OR(AND(P155="Muy Baja",T155="Catastrófico"),AND(P155="Baja",T155="Catastrófico"),AND(P155="Media",T155="Catastrófico"),AND(P155="Alta",T155="Catastrófico"),AND(P155="Muy Alta",T155="Catastrófico")),"Extremo",""))))</f>
        <v>Moderado</v>
      </c>
      <c r="W155" s="194">
        <v>1</v>
      </c>
      <c r="X155" s="196" t="s">
        <v>681</v>
      </c>
      <c r="Y155" s="194" t="str">
        <f t="shared" si="157"/>
        <v>Probabilidad</v>
      </c>
      <c r="Z155" s="188" t="s">
        <v>213</v>
      </c>
      <c r="AA155" s="188" t="s">
        <v>219</v>
      </c>
      <c r="AB155" s="185" t="str">
        <f t="shared" si="166"/>
        <v>30%</v>
      </c>
      <c r="AC155" s="188" t="s">
        <v>222</v>
      </c>
      <c r="AD155" s="188" t="s">
        <v>229</v>
      </c>
      <c r="AE155" s="188" t="s">
        <v>231</v>
      </c>
      <c r="AF155" s="602">
        <f t="shared" ref="AF155" si="205">IFERROR(IF(Y155="Probabilidad",(Q155-(+Q155*AB155)),IF(Y155="Impacto",Q155,"")),"")</f>
        <v>0.56000000000000005</v>
      </c>
      <c r="AG155" s="186" t="str">
        <f t="shared" si="159"/>
        <v>Media</v>
      </c>
      <c r="AH155" s="185">
        <f t="shared" si="160"/>
        <v>0.56000000000000005</v>
      </c>
      <c r="AI155" s="186" t="str">
        <f t="shared" ca="1" si="161"/>
        <v>Menor</v>
      </c>
      <c r="AJ155" s="185">
        <f t="shared" ref="AJ155" ca="1" si="206">IFERROR(IF(Y155="Impacto",(U155-(+U155*AB155)),IF(Y155="Probabilidad",U155,"")),"")</f>
        <v>0.4</v>
      </c>
      <c r="AK155" s="187" t="str">
        <f t="shared" ca="1" si="163"/>
        <v>Moderado</v>
      </c>
      <c r="AL155" s="603" t="s">
        <v>258</v>
      </c>
      <c r="AM155" s="189"/>
      <c r="AN155" s="194"/>
      <c r="AO155" s="190"/>
      <c r="AP155" s="190"/>
      <c r="AQ155" s="191"/>
      <c r="AR155" s="194"/>
    </row>
    <row r="156" spans="1:44" s="605" customFormat="1" ht="162" x14ac:dyDescent="0.25">
      <c r="A156" s="252"/>
      <c r="B156" s="246"/>
      <c r="C156" s="251"/>
      <c r="D156" s="264"/>
      <c r="E156" s="253"/>
      <c r="F156" s="273"/>
      <c r="G156" s="273"/>
      <c r="H156" s="276"/>
      <c r="I156" s="249"/>
      <c r="J156" s="249"/>
      <c r="K156" s="249"/>
      <c r="L156" s="249"/>
      <c r="M156" s="253"/>
      <c r="N156" s="251"/>
      <c r="O156" s="256"/>
      <c r="P156" s="610"/>
      <c r="Q156" s="611"/>
      <c r="R156" s="611"/>
      <c r="S156" s="611">
        <f ca="1">IF(NOT(ISERROR(MATCH(R156,_xlfn.ANCHORARRAY(H167),0))),Q169&amp;"Por favor no seleccionar los criterios de impacto",R156)</f>
        <v>0</v>
      </c>
      <c r="T156" s="610"/>
      <c r="U156" s="611"/>
      <c r="V156" s="252"/>
      <c r="W156" s="194">
        <v>2</v>
      </c>
      <c r="X156" s="196" t="s">
        <v>682</v>
      </c>
      <c r="Y156" s="194" t="str">
        <f t="shared" si="157"/>
        <v>Probabilidad</v>
      </c>
      <c r="Z156" s="188" t="s">
        <v>211</v>
      </c>
      <c r="AA156" s="188" t="s">
        <v>219</v>
      </c>
      <c r="AB156" s="185" t="str">
        <f t="shared" si="166"/>
        <v>40%</v>
      </c>
      <c r="AC156" s="188" t="s">
        <v>222</v>
      </c>
      <c r="AD156" s="188" t="s">
        <v>229</v>
      </c>
      <c r="AE156" s="188" t="s">
        <v>231</v>
      </c>
      <c r="AF156" s="602">
        <f t="shared" ref="AF156:AF160" si="207">IFERROR(IF(AND(Y155="Probabilidad",Y156="Probabilidad"),(AH155-(+AH155*AB156)),IF(Y156="Probabilidad",(Q155-(+Q155*AB156)),IF(Y156="Impacto",AH155,""))),"")</f>
        <v>0.33600000000000002</v>
      </c>
      <c r="AG156" s="186" t="str">
        <f t="shared" si="159"/>
        <v>Baja</v>
      </c>
      <c r="AH156" s="185">
        <f t="shared" si="160"/>
        <v>0.33600000000000002</v>
      </c>
      <c r="AI156" s="186" t="str">
        <f t="shared" ca="1" si="161"/>
        <v>Menor</v>
      </c>
      <c r="AJ156" s="185">
        <f t="shared" ref="AJ156" ca="1" si="208">IFERROR(IF(AND(Y155="Impacto",Y156="Impacto"),(AJ155-(+AJ155*AB156)),IF(Y156="Impacto",(U155-(+U155*AB156)),IF(Y156="Probabilidad",AJ155,""))),"")</f>
        <v>0.4</v>
      </c>
      <c r="AK156" s="187" t="str">
        <f t="shared" ca="1" si="163"/>
        <v>Moderado</v>
      </c>
      <c r="AL156" s="603" t="s">
        <v>258</v>
      </c>
      <c r="AM156" s="189"/>
      <c r="AN156" s="194"/>
      <c r="AO156" s="190"/>
      <c r="AP156" s="190"/>
      <c r="AQ156" s="191"/>
      <c r="AR156" s="194"/>
    </row>
    <row r="157" spans="1:44" s="605" customFormat="1" ht="69" hidden="1" customHeight="1" x14ac:dyDescent="0.25">
      <c r="A157" s="252"/>
      <c r="B157" s="246"/>
      <c r="C157" s="251"/>
      <c r="D157" s="264"/>
      <c r="E157" s="253"/>
      <c r="F157" s="273"/>
      <c r="G157" s="273"/>
      <c r="H157" s="276"/>
      <c r="I157" s="249"/>
      <c r="J157" s="249"/>
      <c r="K157" s="249"/>
      <c r="L157" s="249"/>
      <c r="M157" s="253"/>
      <c r="N157" s="251"/>
      <c r="O157" s="256"/>
      <c r="P157" s="610"/>
      <c r="Q157" s="611"/>
      <c r="R157" s="611"/>
      <c r="S157" s="611">
        <f ca="1">IF(NOT(ISERROR(MATCH(R157,_xlfn.ANCHORARRAY(H168),0))),Q170&amp;"Por favor no seleccionar los criterios de impacto",R157)</f>
        <v>0</v>
      </c>
      <c r="T157" s="610"/>
      <c r="U157" s="611"/>
      <c r="V157" s="252"/>
      <c r="W157" s="194">
        <v>3</v>
      </c>
      <c r="X157" s="192"/>
      <c r="Y157" s="194" t="str">
        <f t="shared" si="157"/>
        <v/>
      </c>
      <c r="Z157" s="188"/>
      <c r="AA157" s="188"/>
      <c r="AB157" s="185" t="str">
        <f t="shared" si="166"/>
        <v/>
      </c>
      <c r="AC157" s="188"/>
      <c r="AD157" s="188"/>
      <c r="AE157" s="188"/>
      <c r="AF157" s="602" t="str">
        <f t="shared" si="207"/>
        <v/>
      </c>
      <c r="AG157" s="186" t="str">
        <f t="shared" si="159"/>
        <v/>
      </c>
      <c r="AH157" s="185" t="str">
        <f t="shared" si="160"/>
        <v/>
      </c>
      <c r="AI157" s="186" t="str">
        <f t="shared" si="161"/>
        <v/>
      </c>
      <c r="AJ157" s="185" t="str">
        <f t="shared" ref="AJ157:AJ160" si="209">IFERROR(IF(AND(Y156="Impacto",Y157="Impacto"),(AJ156-(+AJ156*AB157)),IF(AND(Y156="Probabilidad",Y157="Impacto"),(AJ155-(+AJ155*AB157)),IF(Y157="Probabilidad",AJ156,""))),"")</f>
        <v/>
      </c>
      <c r="AK157" s="187" t="str">
        <f t="shared" si="163"/>
        <v/>
      </c>
      <c r="AL157" s="603"/>
      <c r="AM157" s="189"/>
      <c r="AN157" s="194"/>
      <c r="AO157" s="190"/>
      <c r="AP157" s="190"/>
      <c r="AQ157" s="191"/>
      <c r="AR157" s="194"/>
    </row>
    <row r="158" spans="1:44" s="605" customFormat="1" ht="69" hidden="1" customHeight="1" x14ac:dyDescent="0.25">
      <c r="A158" s="252"/>
      <c r="B158" s="246"/>
      <c r="C158" s="251"/>
      <c r="D158" s="264"/>
      <c r="E158" s="253"/>
      <c r="F158" s="273"/>
      <c r="G158" s="273"/>
      <c r="H158" s="276"/>
      <c r="I158" s="249"/>
      <c r="J158" s="249"/>
      <c r="K158" s="249"/>
      <c r="L158" s="249"/>
      <c r="M158" s="253"/>
      <c r="N158" s="251"/>
      <c r="O158" s="256"/>
      <c r="P158" s="610"/>
      <c r="Q158" s="611"/>
      <c r="R158" s="611"/>
      <c r="S158" s="611">
        <f ca="1">IF(NOT(ISERROR(MATCH(R158,_xlfn.ANCHORARRAY(H169),0))),Q171&amp;"Por favor no seleccionar los criterios de impacto",R158)</f>
        <v>0</v>
      </c>
      <c r="T158" s="610"/>
      <c r="U158" s="611"/>
      <c r="V158" s="252"/>
      <c r="W158" s="194">
        <v>4</v>
      </c>
      <c r="X158" s="192"/>
      <c r="Y158" s="194" t="str">
        <f t="shared" si="157"/>
        <v/>
      </c>
      <c r="Z158" s="188"/>
      <c r="AA158" s="188"/>
      <c r="AB158" s="185" t="str">
        <f t="shared" si="166"/>
        <v/>
      </c>
      <c r="AC158" s="188"/>
      <c r="AD158" s="188"/>
      <c r="AE158" s="188"/>
      <c r="AF158" s="602" t="str">
        <f t="shared" si="207"/>
        <v/>
      </c>
      <c r="AG158" s="186" t="str">
        <f t="shared" si="159"/>
        <v/>
      </c>
      <c r="AH158" s="185" t="str">
        <f t="shared" si="160"/>
        <v/>
      </c>
      <c r="AI158" s="186" t="str">
        <f t="shared" si="161"/>
        <v/>
      </c>
      <c r="AJ158" s="185" t="str">
        <f t="shared" si="209"/>
        <v/>
      </c>
      <c r="AK158" s="187" t="str">
        <f t="shared" si="163"/>
        <v/>
      </c>
      <c r="AL158" s="603"/>
      <c r="AM158" s="189"/>
      <c r="AN158" s="194"/>
      <c r="AO158" s="190"/>
      <c r="AP158" s="190"/>
      <c r="AQ158" s="191"/>
      <c r="AR158" s="194"/>
    </row>
    <row r="159" spans="1:44" s="605" customFormat="1" ht="69" hidden="1" customHeight="1" x14ac:dyDescent="0.25">
      <c r="A159" s="252"/>
      <c r="B159" s="246"/>
      <c r="C159" s="251"/>
      <c r="D159" s="264"/>
      <c r="E159" s="253"/>
      <c r="F159" s="273"/>
      <c r="G159" s="273"/>
      <c r="H159" s="276"/>
      <c r="I159" s="249"/>
      <c r="J159" s="249"/>
      <c r="K159" s="249"/>
      <c r="L159" s="249"/>
      <c r="M159" s="253"/>
      <c r="N159" s="251"/>
      <c r="O159" s="256"/>
      <c r="P159" s="610"/>
      <c r="Q159" s="611"/>
      <c r="R159" s="611"/>
      <c r="S159" s="611">
        <f ca="1">IF(NOT(ISERROR(MATCH(R159,_xlfn.ANCHORARRAY(H170),0))),Q172&amp;"Por favor no seleccionar los criterios de impacto",R159)</f>
        <v>0</v>
      </c>
      <c r="T159" s="610"/>
      <c r="U159" s="611"/>
      <c r="V159" s="252"/>
      <c r="W159" s="194">
        <v>5</v>
      </c>
      <c r="X159" s="192"/>
      <c r="Y159" s="194" t="str">
        <f t="shared" si="157"/>
        <v/>
      </c>
      <c r="Z159" s="188"/>
      <c r="AA159" s="188"/>
      <c r="AB159" s="185" t="str">
        <f t="shared" si="166"/>
        <v/>
      </c>
      <c r="AC159" s="188"/>
      <c r="AD159" s="188"/>
      <c r="AE159" s="188"/>
      <c r="AF159" s="602" t="str">
        <f t="shared" si="207"/>
        <v/>
      </c>
      <c r="AG159" s="186" t="str">
        <f t="shared" si="159"/>
        <v/>
      </c>
      <c r="AH159" s="185" t="str">
        <f t="shared" si="160"/>
        <v/>
      </c>
      <c r="AI159" s="186" t="str">
        <f t="shared" si="161"/>
        <v/>
      </c>
      <c r="AJ159" s="185" t="str">
        <f t="shared" si="209"/>
        <v/>
      </c>
      <c r="AK159" s="187" t="str">
        <f t="shared" si="163"/>
        <v/>
      </c>
      <c r="AL159" s="603"/>
      <c r="AM159" s="189"/>
      <c r="AN159" s="194"/>
      <c r="AO159" s="190"/>
      <c r="AP159" s="190"/>
      <c r="AQ159" s="191"/>
      <c r="AR159" s="194"/>
    </row>
    <row r="160" spans="1:44" s="605" customFormat="1" ht="69" hidden="1" customHeight="1" x14ac:dyDescent="0.25">
      <c r="A160" s="252"/>
      <c r="B160" s="247"/>
      <c r="C160" s="239"/>
      <c r="D160" s="265"/>
      <c r="E160" s="253"/>
      <c r="F160" s="274"/>
      <c r="G160" s="274"/>
      <c r="H160" s="277"/>
      <c r="I160" s="250"/>
      <c r="J160" s="250"/>
      <c r="K160" s="250"/>
      <c r="L160" s="250"/>
      <c r="M160" s="253"/>
      <c r="N160" s="239"/>
      <c r="O160" s="256"/>
      <c r="P160" s="610"/>
      <c r="Q160" s="611"/>
      <c r="R160" s="611"/>
      <c r="S160" s="611">
        <f ca="1">IF(NOT(ISERROR(MATCH(R160,_xlfn.ANCHORARRAY(H171),0))),Q173&amp;"Por favor no seleccionar los criterios de impacto",R160)</f>
        <v>0</v>
      </c>
      <c r="T160" s="610"/>
      <c r="U160" s="611"/>
      <c r="V160" s="252"/>
      <c r="W160" s="194">
        <v>6</v>
      </c>
      <c r="X160" s="192"/>
      <c r="Y160" s="194" t="str">
        <f t="shared" si="157"/>
        <v/>
      </c>
      <c r="Z160" s="188"/>
      <c r="AA160" s="188"/>
      <c r="AB160" s="185" t="str">
        <f t="shared" si="166"/>
        <v/>
      </c>
      <c r="AC160" s="188"/>
      <c r="AD160" s="188"/>
      <c r="AE160" s="188"/>
      <c r="AF160" s="602" t="str">
        <f t="shared" si="207"/>
        <v/>
      </c>
      <c r="AG160" s="186" t="str">
        <f t="shared" si="159"/>
        <v/>
      </c>
      <c r="AH160" s="185" t="str">
        <f t="shared" si="160"/>
        <v/>
      </c>
      <c r="AI160" s="186" t="str">
        <f t="shared" si="161"/>
        <v/>
      </c>
      <c r="AJ160" s="185" t="str">
        <f t="shared" si="209"/>
        <v/>
      </c>
      <c r="AK160" s="187" t="str">
        <f t="shared" si="163"/>
        <v/>
      </c>
      <c r="AL160" s="603"/>
      <c r="AM160" s="189"/>
      <c r="AN160" s="194"/>
      <c r="AO160" s="190"/>
      <c r="AP160" s="190"/>
      <c r="AQ160" s="191"/>
      <c r="AR160" s="194"/>
    </row>
    <row r="161" spans="1:44" s="605" customFormat="1" ht="170.25" customHeight="1" x14ac:dyDescent="0.25">
      <c r="A161" s="252">
        <v>25</v>
      </c>
      <c r="B161" s="245" t="s">
        <v>683</v>
      </c>
      <c r="C161" s="238" t="s">
        <v>272</v>
      </c>
      <c r="D161" s="263" t="s">
        <v>684</v>
      </c>
      <c r="E161" s="253" t="s">
        <v>239</v>
      </c>
      <c r="F161" s="272" t="s">
        <v>685</v>
      </c>
      <c r="G161" s="272" t="s">
        <v>686</v>
      </c>
      <c r="H161" s="275" t="s">
        <v>687</v>
      </c>
      <c r="I161" s="248" t="s">
        <v>688</v>
      </c>
      <c r="J161" s="248" t="s">
        <v>688</v>
      </c>
      <c r="K161" s="248" t="s">
        <v>688</v>
      </c>
      <c r="L161" s="248" t="s">
        <v>688</v>
      </c>
      <c r="M161" s="616" t="s">
        <v>247</v>
      </c>
      <c r="N161" s="238"/>
      <c r="O161" s="256">
        <v>500</v>
      </c>
      <c r="P161" s="610" t="str">
        <f t="shared" ref="P161:P179" si="210">IF(O161&lt;=0,"",IF(O161&lt;=2,"Muy Baja",IF(O161&lt;=24,"Baja",IF(O161&lt;=500,"Media",IF(O161&lt;=5000,"Alta","Muy Alta")))))</f>
        <v>Media</v>
      </c>
      <c r="Q161" s="611">
        <f t="shared" ref="Q161:Q179" si="211">IF(P161="","",IF(P161="Muy Baja",0.2,IF(P161="Baja",0.4,IF(P161="Media",0.6,IF(P161="Alta",0.8,IF(P161="Muy Alta",1,))))))</f>
        <v>0.6</v>
      </c>
      <c r="R161" s="611" t="s">
        <v>198</v>
      </c>
      <c r="S161" s="611" t="str">
        <f ca="1">IF(NOT(ISERROR(MATCH(R161,'Tabla Impacto'!$B$221:$B$223,0))),'Tabla Impacto'!$F$223&amp;"Por favor no seleccionar los criterios de impacto(Afectación Económica o presupuestal y Pérdida Reputacional)",R161)</f>
        <v xml:space="preserve">Mayor a 500 SMLMV </v>
      </c>
      <c r="T161" s="610" t="str">
        <f ca="1">+IF(OR(S161='[1]Tabla Impacto'!$C$11,S161='[1]Tabla Impacto'!$D$11),"Leve",IF(OR(S161='[1]Tabla Impacto'!$C$12,S161='[1]Tabla Impacto'!$D$12),"Menor",IF(OR(S161='[1]Tabla Impacto'!$C$13,S161='[1]Tabla Impacto'!$D$13),"Moderado",IF(OR(S161='[1]Tabla Impacto'!$C$14,S161='[1]Tabla Impacto'!$D$14),"Mayor",IF(OR(S161='[1]Tabla Impacto'!$C$15,S161='[1]Tabla Impacto'!$D$15),"Catastrófico","")))))</f>
        <v>Catastrófico</v>
      </c>
      <c r="U161" s="611">
        <f t="shared" ref="U161" ca="1" si="212">IF(T161="","",IF(T161="Leve",0.2,IF(T161="Menor",0.4,IF(T161="Moderado",0.6,IF(T161="Mayor",0.8,IF(T161="Catastrófico",1,))))))</f>
        <v>1</v>
      </c>
      <c r="V161" s="252" t="str">
        <f t="shared" ref="V161" ca="1" si="213">IF(OR(AND(P161="Muy Baja",T161="Leve"),AND(P161="Muy Baja",T161="Menor"),AND(P161="Baja",T161="Leve")),"Bajo",IF(OR(AND(P161="Muy baja",T161="Moderado"),AND(P161="Baja",T161="Menor"),AND(P161="Baja",T161="Moderado"),AND(P161="Media",T161="Leve"),AND(P161="Media",T161="Menor"),AND(P161="Media",T161="Moderado"),AND(P161="Alta",T161="Leve"),AND(P161="Alta",T161="Menor")),"Moderado",IF(OR(AND(P161="Muy Baja",T161="Mayor"),AND(P161="Baja",T161="Mayor"),AND(P161="Media",T161="Mayor"),AND(P161="Alta",T161="Moderado"),AND(P161="Alta",T161="Mayor"),AND(P161="Muy Alta",T161="Leve"),AND(P161="Muy Alta",T161="Menor"),AND(P161="Muy Alta",T161="Moderado"),AND(P161="Muy Alta",T161="Mayor")),"Alto",IF(OR(AND(P161="Muy Baja",T161="Catastrófico"),AND(P161="Baja",T161="Catastrófico"),AND(P161="Media",T161="Catastrófico"),AND(P161="Alta",T161="Catastrófico"),AND(P161="Muy Alta",T161="Catastrófico")),"Extremo",""))))</f>
        <v>Extremo</v>
      </c>
      <c r="W161" s="194">
        <v>1</v>
      </c>
      <c r="X161" s="192" t="s">
        <v>689</v>
      </c>
      <c r="Y161" s="194" t="str">
        <f t="shared" ref="Y161:Y184" si="214">IF(OR(Z161="Preventivo",Z161="Detectivo"),"Probabilidad",IF(Z161="Correctivo","Impacto",""))</f>
        <v>Probabilidad</v>
      </c>
      <c r="Z161" s="188" t="s">
        <v>211</v>
      </c>
      <c r="AA161" s="188" t="s">
        <v>691</v>
      </c>
      <c r="AB161" s="185" t="str">
        <f t="shared" si="166"/>
        <v>40%</v>
      </c>
      <c r="AC161" s="188" t="s">
        <v>222</v>
      </c>
      <c r="AD161" s="188" t="s">
        <v>227</v>
      </c>
      <c r="AE161" s="188" t="s">
        <v>231</v>
      </c>
      <c r="AF161" s="602">
        <f t="shared" ref="AF161" si="215">IFERROR(IF(Y161="Probabilidad",(Q161-(+Q161*AB161)),IF(Y161="Impacto",Q161,"")),"")</f>
        <v>0.36</v>
      </c>
      <c r="AG161" s="186" t="str">
        <f t="shared" ref="AG161:AG184" si="216">IFERROR(IF(AF161="","",IF(AF161&lt;=0.2,"Muy Baja",IF(AF161&lt;=0.4,"Baja",IF(AF161&lt;=0.6,"Media",IF(AF161&lt;=0.8,"Alta","Muy Alta"))))),"")</f>
        <v>Baja</v>
      </c>
      <c r="AH161" s="185">
        <f t="shared" ref="AH161:AH184" si="217">+AF161</f>
        <v>0.36</v>
      </c>
      <c r="AI161" s="186" t="str">
        <f t="shared" ref="AI161:AI184" ca="1" si="218">IFERROR(IF(AJ161="","",IF(AJ161&lt;=0.2,"Leve",IF(AJ161&lt;=0.4,"Menor",IF(AJ161&lt;=0.6,"Moderado",IF(AJ161&lt;=0.8,"Mayor","Catastrófico"))))),"")</f>
        <v>Catastrófico</v>
      </c>
      <c r="AJ161" s="185">
        <f t="shared" ref="AJ161" ca="1" si="219">IFERROR(IF(Y161="Impacto",(U161-(+U161*AB161)),IF(Y161="Probabilidad",U161,"")),"")</f>
        <v>1</v>
      </c>
      <c r="AK161" s="187" t="str">
        <f t="shared" ref="AK161:AK184" ca="1" si="220">IFERROR(IF(OR(AND(AG161="Muy Baja",AI161="Leve"),AND(AG161="Muy Baja",AI161="Menor"),AND(AG161="Baja",AI161="Leve")),"Bajo",IF(OR(AND(AG161="Muy baja",AI161="Moderado"),AND(AG161="Baja",AI161="Menor"),AND(AG161="Baja",AI161="Moderado"),AND(AG161="Media",AI161="Leve"),AND(AG161="Media",AI161="Menor"),AND(AG161="Media",AI161="Moderado"),AND(AG161="Alta",AI161="Leve"),AND(AG161="Alta",AI161="Menor")),"Moderado",IF(OR(AND(AG161="Muy Baja",AI161="Mayor"),AND(AG161="Baja",AI161="Mayor"),AND(AG161="Media",AI161="Mayor"),AND(AG161="Alta",AI161="Moderado"),AND(AG161="Alta",AI161="Mayor"),AND(AG161="Muy Alta",AI161="Leve"),AND(AG161="Muy Alta",AI161="Menor"),AND(AG161="Muy Alta",AI161="Moderado"),AND(AG161="Muy Alta",AI161="Mayor")),"Alto",IF(OR(AND(AG161="Muy Baja",AI161="Catastrófico"),AND(AG161="Baja",AI161="Catastrófico"),AND(AG161="Media",AI161="Catastrófico"),AND(AG161="Alta",AI161="Catastrófico"),AND(AG161="Muy Alta",AI161="Catastrófico")),"Extremo","")))),"")</f>
        <v>Extremo</v>
      </c>
      <c r="AL161" s="603" t="s">
        <v>265</v>
      </c>
      <c r="AM161" s="189"/>
      <c r="AN161" s="194"/>
      <c r="AO161" s="190"/>
      <c r="AP161" s="190"/>
      <c r="AQ161" s="191"/>
      <c r="AR161" s="194"/>
    </row>
    <row r="162" spans="1:44" s="605" customFormat="1" ht="153.75" customHeight="1" x14ac:dyDescent="0.25">
      <c r="A162" s="252"/>
      <c r="B162" s="246"/>
      <c r="C162" s="251"/>
      <c r="D162" s="264"/>
      <c r="E162" s="253"/>
      <c r="F162" s="273"/>
      <c r="G162" s="273"/>
      <c r="H162" s="276"/>
      <c r="I162" s="249"/>
      <c r="J162" s="249"/>
      <c r="K162" s="249"/>
      <c r="L162" s="249"/>
      <c r="M162" s="616"/>
      <c r="N162" s="251"/>
      <c r="O162" s="256"/>
      <c r="P162" s="610"/>
      <c r="Q162" s="611"/>
      <c r="R162" s="611"/>
      <c r="S162" s="611">
        <f ca="1">IF(NOT(ISERROR(MATCH(R162,_xlfn.ANCHORARRAY(H173),0))),Q175&amp;"Por favor no seleccionar los criterios de impacto",R162)</f>
        <v>0</v>
      </c>
      <c r="T162" s="610"/>
      <c r="U162" s="611"/>
      <c r="V162" s="252"/>
      <c r="W162" s="194">
        <v>2</v>
      </c>
      <c r="X162" s="192" t="s">
        <v>690</v>
      </c>
      <c r="Y162" s="194" t="str">
        <f t="shared" si="214"/>
        <v>Probabilidad</v>
      </c>
      <c r="Z162" s="188" t="s">
        <v>211</v>
      </c>
      <c r="AA162" s="188" t="s">
        <v>691</v>
      </c>
      <c r="AB162" s="185" t="str">
        <f t="shared" si="166"/>
        <v>40%</v>
      </c>
      <c r="AC162" s="188" t="s">
        <v>222</v>
      </c>
      <c r="AD162" s="188" t="s">
        <v>227</v>
      </c>
      <c r="AE162" s="188" t="s">
        <v>231</v>
      </c>
      <c r="AF162" s="602">
        <f t="shared" ref="AF162:AF166" si="221">IFERROR(IF(AND(Y161="Probabilidad",Y162="Probabilidad"),(AH161-(+AH161*AB162)),IF(Y162="Probabilidad",(Q161-(+Q161*AB162)),IF(Y162="Impacto",AH161,""))),"")</f>
        <v>0.216</v>
      </c>
      <c r="AG162" s="186" t="str">
        <f t="shared" si="216"/>
        <v>Baja</v>
      </c>
      <c r="AH162" s="185">
        <f t="shared" si="217"/>
        <v>0.216</v>
      </c>
      <c r="AI162" s="186" t="str">
        <f t="shared" ca="1" si="218"/>
        <v>Catastrófico</v>
      </c>
      <c r="AJ162" s="185">
        <f t="shared" ref="AJ162" ca="1" si="222">IFERROR(IF(AND(Y161="Impacto",Y162="Impacto"),(AJ161-(+AJ161*AB162)),IF(Y162="Impacto",(U161-(+U161*AB162)),IF(Y162="Probabilidad",AJ161,""))),"")</f>
        <v>1</v>
      </c>
      <c r="AK162" s="187" t="str">
        <f t="shared" ca="1" si="220"/>
        <v>Extremo</v>
      </c>
      <c r="AL162" s="603" t="s">
        <v>265</v>
      </c>
      <c r="AM162" s="189"/>
      <c r="AN162" s="194"/>
      <c r="AO162" s="190"/>
      <c r="AP162" s="190"/>
      <c r="AQ162" s="191"/>
      <c r="AR162" s="194"/>
    </row>
    <row r="163" spans="1:44" s="605" customFormat="1" ht="132" customHeight="1" x14ac:dyDescent="0.25">
      <c r="A163" s="252"/>
      <c r="B163" s="246"/>
      <c r="C163" s="251"/>
      <c r="D163" s="264"/>
      <c r="E163" s="253"/>
      <c r="F163" s="273"/>
      <c r="G163" s="273"/>
      <c r="H163" s="276"/>
      <c r="I163" s="249"/>
      <c r="J163" s="249"/>
      <c r="K163" s="249"/>
      <c r="L163" s="249"/>
      <c r="M163" s="616"/>
      <c r="N163" s="251"/>
      <c r="O163" s="256"/>
      <c r="P163" s="610"/>
      <c r="Q163" s="611"/>
      <c r="R163" s="611"/>
      <c r="S163" s="611">
        <f ca="1">IF(NOT(ISERROR(MATCH(R163,_xlfn.ANCHORARRAY(H174),0))),Q176&amp;"Por favor no seleccionar los criterios de impacto",R163)</f>
        <v>0</v>
      </c>
      <c r="T163" s="610"/>
      <c r="U163" s="611"/>
      <c r="V163" s="252"/>
      <c r="W163" s="194">
        <v>3</v>
      </c>
      <c r="X163" s="195" t="s">
        <v>604</v>
      </c>
      <c r="Y163" s="194" t="str">
        <f t="shared" si="214"/>
        <v>Probabilidad</v>
      </c>
      <c r="Z163" s="188" t="s">
        <v>211</v>
      </c>
      <c r="AA163" s="188" t="s">
        <v>219</v>
      </c>
      <c r="AB163" s="185" t="str">
        <f t="shared" si="166"/>
        <v>40%</v>
      </c>
      <c r="AC163" s="188" t="s">
        <v>222</v>
      </c>
      <c r="AD163" s="188" t="s">
        <v>227</v>
      </c>
      <c r="AE163" s="188" t="s">
        <v>231</v>
      </c>
      <c r="AF163" s="602">
        <f t="shared" si="221"/>
        <v>0.12959999999999999</v>
      </c>
      <c r="AG163" s="186" t="str">
        <f t="shared" si="216"/>
        <v>Muy Baja</v>
      </c>
      <c r="AH163" s="185">
        <f t="shared" si="217"/>
        <v>0.12959999999999999</v>
      </c>
      <c r="AI163" s="186" t="str">
        <f t="shared" ca="1" si="218"/>
        <v>Catastrófico</v>
      </c>
      <c r="AJ163" s="185">
        <f t="shared" ref="AJ163:AJ166" ca="1" si="223">IFERROR(IF(AND(Y162="Impacto",Y163="Impacto"),(AJ162-(+AJ162*AB163)),IF(AND(Y162="Probabilidad",Y163="Impacto"),(AJ161-(+AJ161*AB163)),IF(Y163="Probabilidad",AJ162,""))),"")</f>
        <v>1</v>
      </c>
      <c r="AK163" s="187" t="str">
        <f t="shared" ca="1" si="220"/>
        <v>Extremo</v>
      </c>
      <c r="AL163" s="603" t="s">
        <v>265</v>
      </c>
      <c r="AM163" s="189"/>
      <c r="AN163" s="194"/>
      <c r="AO163" s="190"/>
      <c r="AP163" s="190"/>
      <c r="AQ163" s="191"/>
      <c r="AR163" s="194"/>
    </row>
    <row r="164" spans="1:44" s="605" customFormat="1" ht="69" hidden="1" customHeight="1" x14ac:dyDescent="0.25">
      <c r="A164" s="252"/>
      <c r="B164" s="246"/>
      <c r="C164" s="251"/>
      <c r="D164" s="264"/>
      <c r="E164" s="253"/>
      <c r="F164" s="273"/>
      <c r="G164" s="273"/>
      <c r="H164" s="276"/>
      <c r="I164" s="249"/>
      <c r="J164" s="249"/>
      <c r="K164" s="249"/>
      <c r="L164" s="249"/>
      <c r="M164" s="616"/>
      <c r="N164" s="251"/>
      <c r="O164" s="256"/>
      <c r="P164" s="610"/>
      <c r="Q164" s="611"/>
      <c r="R164" s="611"/>
      <c r="S164" s="611">
        <f ca="1">IF(NOT(ISERROR(MATCH(R164,_xlfn.ANCHORARRAY(H175),0))),Q177&amp;"Por favor no seleccionar los criterios de impacto",R164)</f>
        <v>0</v>
      </c>
      <c r="T164" s="610"/>
      <c r="U164" s="611"/>
      <c r="V164" s="252"/>
      <c r="W164" s="194">
        <v>4</v>
      </c>
      <c r="X164" s="192"/>
      <c r="Y164" s="194" t="str">
        <f t="shared" si="214"/>
        <v/>
      </c>
      <c r="Z164" s="188"/>
      <c r="AA164" s="188"/>
      <c r="AB164" s="185" t="str">
        <f t="shared" ref="AB164:AB185" si="224">IF(AND(Z164="Preventivo",AA164="Automático"),"50%",IF(AND(Z164="Preventivo",AA164="Manual"),"40%",IF(AND(Z164="Detectivo",AA164="Automático"),"40%",IF(AND(Z164="Detectivo",AA164="Manual"),"30%",IF(AND(Z164="Correctivo",AA164="Automático"),"35%",IF(AND(Z164="Correctivo",AA164="Manual"),"25%",""))))))</f>
        <v/>
      </c>
      <c r="AC164" s="188"/>
      <c r="AD164" s="188"/>
      <c r="AE164" s="188"/>
      <c r="AF164" s="602" t="str">
        <f t="shared" si="221"/>
        <v/>
      </c>
      <c r="AG164" s="186" t="str">
        <f t="shared" si="216"/>
        <v/>
      </c>
      <c r="AH164" s="185" t="str">
        <f t="shared" si="217"/>
        <v/>
      </c>
      <c r="AI164" s="186" t="str">
        <f t="shared" si="218"/>
        <v/>
      </c>
      <c r="AJ164" s="185" t="str">
        <f t="shared" si="223"/>
        <v/>
      </c>
      <c r="AK164" s="187" t="str">
        <f t="shared" si="220"/>
        <v/>
      </c>
      <c r="AL164" s="603"/>
      <c r="AM164" s="189"/>
      <c r="AN164" s="194"/>
      <c r="AO164" s="190"/>
      <c r="AP164" s="190"/>
      <c r="AQ164" s="191"/>
      <c r="AR164" s="194"/>
    </row>
    <row r="165" spans="1:44" s="605" customFormat="1" ht="69" hidden="1" customHeight="1" x14ac:dyDescent="0.25">
      <c r="A165" s="252"/>
      <c r="B165" s="246"/>
      <c r="C165" s="251"/>
      <c r="D165" s="264"/>
      <c r="E165" s="253"/>
      <c r="F165" s="273"/>
      <c r="G165" s="273"/>
      <c r="H165" s="276"/>
      <c r="I165" s="249"/>
      <c r="J165" s="249"/>
      <c r="K165" s="249"/>
      <c r="L165" s="249"/>
      <c r="M165" s="616"/>
      <c r="N165" s="251"/>
      <c r="O165" s="256"/>
      <c r="P165" s="610"/>
      <c r="Q165" s="611"/>
      <c r="R165" s="611"/>
      <c r="S165" s="611">
        <f ca="1">IF(NOT(ISERROR(MATCH(R165,_xlfn.ANCHORARRAY(H176),0))),Q178&amp;"Por favor no seleccionar los criterios de impacto",R165)</f>
        <v>0</v>
      </c>
      <c r="T165" s="610"/>
      <c r="U165" s="611"/>
      <c r="V165" s="252"/>
      <c r="W165" s="194">
        <v>5</v>
      </c>
      <c r="X165" s="192"/>
      <c r="Y165" s="194" t="str">
        <f t="shared" si="214"/>
        <v/>
      </c>
      <c r="Z165" s="188"/>
      <c r="AA165" s="188"/>
      <c r="AB165" s="185" t="str">
        <f t="shared" si="224"/>
        <v/>
      </c>
      <c r="AC165" s="188"/>
      <c r="AD165" s="188"/>
      <c r="AE165" s="188"/>
      <c r="AF165" s="602" t="str">
        <f t="shared" si="221"/>
        <v/>
      </c>
      <c r="AG165" s="186" t="str">
        <f t="shared" si="216"/>
        <v/>
      </c>
      <c r="AH165" s="185" t="str">
        <f t="shared" si="217"/>
        <v/>
      </c>
      <c r="AI165" s="186" t="str">
        <f t="shared" si="218"/>
        <v/>
      </c>
      <c r="AJ165" s="185" t="str">
        <f t="shared" si="223"/>
        <v/>
      </c>
      <c r="AK165" s="187" t="str">
        <f t="shared" si="220"/>
        <v/>
      </c>
      <c r="AL165" s="603"/>
      <c r="AM165" s="189"/>
      <c r="AN165" s="194"/>
      <c r="AO165" s="190"/>
      <c r="AP165" s="190"/>
      <c r="AQ165" s="191"/>
      <c r="AR165" s="194"/>
    </row>
    <row r="166" spans="1:44" s="605" customFormat="1" ht="69" hidden="1" customHeight="1" x14ac:dyDescent="0.25">
      <c r="A166" s="252"/>
      <c r="B166" s="247"/>
      <c r="C166" s="239"/>
      <c r="D166" s="265"/>
      <c r="E166" s="253"/>
      <c r="F166" s="274"/>
      <c r="G166" s="274"/>
      <c r="H166" s="277"/>
      <c r="I166" s="250"/>
      <c r="J166" s="250"/>
      <c r="K166" s="250"/>
      <c r="L166" s="250"/>
      <c r="M166" s="616"/>
      <c r="N166" s="239"/>
      <c r="O166" s="256"/>
      <c r="P166" s="610"/>
      <c r="Q166" s="611"/>
      <c r="R166" s="611"/>
      <c r="S166" s="611">
        <f ca="1">IF(NOT(ISERROR(MATCH(R166,_xlfn.ANCHORARRAY(H177),0))),Q179&amp;"Por favor no seleccionar los criterios de impacto",R166)</f>
        <v>0</v>
      </c>
      <c r="T166" s="610"/>
      <c r="U166" s="611"/>
      <c r="V166" s="252"/>
      <c r="W166" s="194">
        <v>6</v>
      </c>
      <c r="X166" s="192"/>
      <c r="Y166" s="194" t="str">
        <f t="shared" si="214"/>
        <v/>
      </c>
      <c r="Z166" s="188"/>
      <c r="AA166" s="188"/>
      <c r="AB166" s="185" t="str">
        <f t="shared" si="224"/>
        <v/>
      </c>
      <c r="AC166" s="188"/>
      <c r="AD166" s="188"/>
      <c r="AE166" s="188"/>
      <c r="AF166" s="602" t="str">
        <f t="shared" si="221"/>
        <v/>
      </c>
      <c r="AG166" s="186" t="str">
        <f t="shared" si="216"/>
        <v/>
      </c>
      <c r="AH166" s="185" t="str">
        <f t="shared" si="217"/>
        <v/>
      </c>
      <c r="AI166" s="186" t="str">
        <f t="shared" si="218"/>
        <v/>
      </c>
      <c r="AJ166" s="185" t="str">
        <f t="shared" si="223"/>
        <v/>
      </c>
      <c r="AK166" s="187" t="str">
        <f t="shared" si="220"/>
        <v/>
      </c>
      <c r="AL166" s="603"/>
      <c r="AM166" s="189"/>
      <c r="AN166" s="194"/>
      <c r="AO166" s="190"/>
      <c r="AP166" s="190"/>
      <c r="AQ166" s="191"/>
      <c r="AR166" s="194"/>
    </row>
    <row r="167" spans="1:44" s="605" customFormat="1" ht="162" x14ac:dyDescent="0.25">
      <c r="A167" s="252">
        <v>26</v>
      </c>
      <c r="B167" s="245" t="s">
        <v>692</v>
      </c>
      <c r="C167" s="238" t="s">
        <v>274</v>
      </c>
      <c r="D167" s="238" t="s">
        <v>693</v>
      </c>
      <c r="E167" s="253" t="s">
        <v>243</v>
      </c>
      <c r="F167" s="254" t="s">
        <v>694</v>
      </c>
      <c r="G167" s="254" t="s">
        <v>695</v>
      </c>
      <c r="H167" s="255" t="s">
        <v>696</v>
      </c>
      <c r="I167" s="248" t="s">
        <v>480</v>
      </c>
      <c r="J167" s="248" t="s">
        <v>480</v>
      </c>
      <c r="K167" s="248" t="s">
        <v>480</v>
      </c>
      <c r="L167" s="248" t="s">
        <v>480</v>
      </c>
      <c r="M167" s="253" t="s">
        <v>242</v>
      </c>
      <c r="N167" s="238"/>
      <c r="O167" s="256">
        <v>5001</v>
      </c>
      <c r="P167" s="610" t="str">
        <f t="shared" si="210"/>
        <v>Muy Alta</v>
      </c>
      <c r="Q167" s="611">
        <f t="shared" si="211"/>
        <v>1</v>
      </c>
      <c r="R167" s="611" t="s">
        <v>193</v>
      </c>
      <c r="S167" s="611" t="str">
        <f ca="1">IF(NOT(ISERROR(MATCH(R167,'Tabla Impacto'!$B$221:$B$223,0))),'Tabla Impacto'!$F$223&amp;"Por favor no seleccionar los criterios de impacto(Afectación Económica o presupuestal y Pérdida Reputacional)",R167)</f>
        <v>El riesgo afecta la imagen de la entidad con algunos usuarios de relevancia frente al logro de los objetivos</v>
      </c>
      <c r="T167" s="610" t="str">
        <f ca="1">+IF(OR(S167='[1]Tabla Impacto'!$C$11,S167='[1]Tabla Impacto'!$D$11),"Leve",IF(OR(S167='[1]Tabla Impacto'!$C$12,S167='[1]Tabla Impacto'!$D$12),"Menor",IF(OR(S167='[1]Tabla Impacto'!$C$13,S167='[1]Tabla Impacto'!$D$13),"Moderado",IF(OR(S167='[1]Tabla Impacto'!$C$14,S167='[1]Tabla Impacto'!$D$14),"Mayor",IF(OR(S167='[1]Tabla Impacto'!$C$15,S167='[1]Tabla Impacto'!$D$15),"Catastrófico","")))))</f>
        <v>Moderado</v>
      </c>
      <c r="U167" s="611">
        <f t="shared" ref="U167" ca="1" si="225">IF(T167="","",IF(T167="Leve",0.2,IF(T167="Menor",0.4,IF(T167="Moderado",0.6,IF(T167="Mayor",0.8,IF(T167="Catastrófico",1,))))))</f>
        <v>0.6</v>
      </c>
      <c r="V167" s="252" t="str">
        <f t="shared" ref="V167" ca="1" si="226">IF(OR(AND(P167="Muy Baja",T167="Leve"),AND(P167="Muy Baja",T167="Menor"),AND(P167="Baja",T167="Leve")),"Bajo",IF(OR(AND(P167="Muy baja",T167="Moderado"),AND(P167="Baja",T167="Menor"),AND(P167="Baja",T167="Moderado"),AND(P167="Media",T167="Leve"),AND(P167="Media",T167="Menor"),AND(P167="Media",T167="Moderado"),AND(P167="Alta",T167="Leve"),AND(P167="Alta",T167="Menor")),"Moderado",IF(OR(AND(P167="Muy Baja",T167="Mayor"),AND(P167="Baja",T167="Mayor"),AND(P167="Media",T167="Mayor"),AND(P167="Alta",T167="Moderado"),AND(P167="Alta",T167="Mayor"),AND(P167="Muy Alta",T167="Leve"),AND(P167="Muy Alta",T167="Menor"),AND(P167="Muy Alta",T167="Moderado"),AND(P167="Muy Alta",T167="Mayor")),"Alto",IF(OR(AND(P167="Muy Baja",T167="Catastrófico"),AND(P167="Baja",T167="Catastrófico"),AND(P167="Media",T167="Catastrófico"),AND(P167="Alta",T167="Catastrófico"),AND(P167="Muy Alta",T167="Catastrófico")),"Extremo",""))))</f>
        <v>Alto</v>
      </c>
      <c r="W167" s="194">
        <v>1</v>
      </c>
      <c r="X167" s="192" t="s">
        <v>697</v>
      </c>
      <c r="Y167" s="194" t="str">
        <f t="shared" si="214"/>
        <v>Probabilidad</v>
      </c>
      <c r="Z167" s="188" t="s">
        <v>211</v>
      </c>
      <c r="AA167" s="188" t="s">
        <v>219</v>
      </c>
      <c r="AB167" s="185" t="str">
        <f t="shared" si="224"/>
        <v>40%</v>
      </c>
      <c r="AC167" s="188" t="s">
        <v>222</v>
      </c>
      <c r="AD167" s="188" t="s">
        <v>227</v>
      </c>
      <c r="AE167" s="188" t="s">
        <v>231</v>
      </c>
      <c r="AF167" s="602">
        <f t="shared" ref="AF167" si="227">IFERROR(IF(Y167="Probabilidad",(Q167-(+Q167*AB167)),IF(Y167="Impacto",Q167,"")),"")</f>
        <v>0.6</v>
      </c>
      <c r="AG167" s="186" t="str">
        <f t="shared" si="216"/>
        <v>Media</v>
      </c>
      <c r="AH167" s="185">
        <f t="shared" si="217"/>
        <v>0.6</v>
      </c>
      <c r="AI167" s="186" t="str">
        <f t="shared" ca="1" si="218"/>
        <v>Moderado</v>
      </c>
      <c r="AJ167" s="185">
        <f t="shared" ref="AJ167" ca="1" si="228">IFERROR(IF(Y167="Impacto",(U167-(+U167*AB167)),IF(Y167="Probabilidad",U167,"")),"")</f>
        <v>0.6</v>
      </c>
      <c r="AK167" s="187" t="str">
        <f t="shared" ca="1" si="220"/>
        <v>Moderado</v>
      </c>
      <c r="AL167" s="603" t="s">
        <v>258</v>
      </c>
      <c r="AM167" s="189"/>
      <c r="AN167" s="194"/>
      <c r="AO167" s="190"/>
      <c r="AP167" s="190"/>
      <c r="AQ167" s="191"/>
      <c r="AR167" s="194"/>
    </row>
    <row r="168" spans="1:44" s="605" customFormat="1" ht="182.25" x14ac:dyDescent="0.25">
      <c r="A168" s="252"/>
      <c r="B168" s="246"/>
      <c r="C168" s="251"/>
      <c r="D168" s="251"/>
      <c r="E168" s="253"/>
      <c r="F168" s="254"/>
      <c r="G168" s="254"/>
      <c r="H168" s="255"/>
      <c r="I168" s="249"/>
      <c r="J168" s="249"/>
      <c r="K168" s="249"/>
      <c r="L168" s="249"/>
      <c r="M168" s="253"/>
      <c r="N168" s="251"/>
      <c r="O168" s="256"/>
      <c r="P168" s="610"/>
      <c r="Q168" s="611"/>
      <c r="R168" s="611"/>
      <c r="S168" s="611">
        <f ca="1">IF(NOT(ISERROR(MATCH(R168,_xlfn.ANCHORARRAY(H179),0))),Q181&amp;"Por favor no seleccionar los criterios de impacto",R168)</f>
        <v>0</v>
      </c>
      <c r="T168" s="610"/>
      <c r="U168" s="611"/>
      <c r="V168" s="252"/>
      <c r="W168" s="194">
        <v>2</v>
      </c>
      <c r="X168" s="192" t="s">
        <v>698</v>
      </c>
      <c r="Y168" s="194" t="str">
        <f t="shared" si="214"/>
        <v>Probabilidad</v>
      </c>
      <c r="Z168" s="188" t="s">
        <v>211</v>
      </c>
      <c r="AA168" s="188" t="s">
        <v>219</v>
      </c>
      <c r="AB168" s="185" t="str">
        <f t="shared" si="224"/>
        <v>40%</v>
      </c>
      <c r="AC168" s="188" t="s">
        <v>222</v>
      </c>
      <c r="AD168" s="188" t="s">
        <v>227</v>
      </c>
      <c r="AE168" s="188" t="s">
        <v>231</v>
      </c>
      <c r="AF168" s="602">
        <f t="shared" ref="AF168:AF172" si="229">IFERROR(IF(AND(Y167="Probabilidad",Y168="Probabilidad"),(AH167-(+AH167*AB168)),IF(Y168="Probabilidad",(Q167-(+Q167*AB168)),IF(Y168="Impacto",AH167,""))),"")</f>
        <v>0.36</v>
      </c>
      <c r="AG168" s="186" t="str">
        <f t="shared" si="216"/>
        <v>Baja</v>
      </c>
      <c r="AH168" s="185">
        <f t="shared" si="217"/>
        <v>0.36</v>
      </c>
      <c r="AI168" s="186" t="str">
        <f t="shared" ca="1" si="218"/>
        <v>Moderado</v>
      </c>
      <c r="AJ168" s="185">
        <f t="shared" ref="AJ168" ca="1" si="230">IFERROR(IF(AND(Y167="Impacto",Y168="Impacto"),(AJ167-(+AJ167*AB168)),IF(Y168="Impacto",(U167-(+U167*AB168)),IF(Y168="Probabilidad",AJ167,""))),"")</f>
        <v>0.6</v>
      </c>
      <c r="AK168" s="187" t="str">
        <f t="shared" ca="1" si="220"/>
        <v>Moderado</v>
      </c>
      <c r="AL168" s="603" t="s">
        <v>258</v>
      </c>
      <c r="AM168" s="189"/>
      <c r="AN168" s="194"/>
      <c r="AO168" s="190"/>
      <c r="AP168" s="190"/>
      <c r="AQ168" s="191"/>
      <c r="AR168" s="194"/>
    </row>
    <row r="169" spans="1:44" s="605" customFormat="1" ht="69" hidden="1" customHeight="1" x14ac:dyDescent="0.25">
      <c r="A169" s="252"/>
      <c r="B169" s="246"/>
      <c r="C169" s="251"/>
      <c r="D169" s="251"/>
      <c r="E169" s="253"/>
      <c r="F169" s="254"/>
      <c r="G169" s="254"/>
      <c r="H169" s="255"/>
      <c r="I169" s="249"/>
      <c r="J169" s="249"/>
      <c r="K169" s="249"/>
      <c r="L169" s="249"/>
      <c r="M169" s="253"/>
      <c r="N169" s="251"/>
      <c r="O169" s="256"/>
      <c r="P169" s="610"/>
      <c r="Q169" s="611"/>
      <c r="R169" s="611"/>
      <c r="S169" s="611">
        <f ca="1">IF(NOT(ISERROR(MATCH(R169,_xlfn.ANCHORARRAY(H180),0))),Q182&amp;"Por favor no seleccionar los criterios de impacto",R169)</f>
        <v>0</v>
      </c>
      <c r="T169" s="610"/>
      <c r="U169" s="611"/>
      <c r="V169" s="252"/>
      <c r="W169" s="194">
        <v>3</v>
      </c>
      <c r="X169" s="192"/>
      <c r="Y169" s="194" t="str">
        <f t="shared" si="214"/>
        <v/>
      </c>
      <c r="Z169" s="188"/>
      <c r="AA169" s="188"/>
      <c r="AB169" s="185" t="str">
        <f t="shared" si="224"/>
        <v/>
      </c>
      <c r="AC169" s="188"/>
      <c r="AD169" s="188"/>
      <c r="AE169" s="188"/>
      <c r="AF169" s="602" t="str">
        <f t="shared" si="229"/>
        <v/>
      </c>
      <c r="AG169" s="186" t="str">
        <f t="shared" si="216"/>
        <v/>
      </c>
      <c r="AH169" s="185" t="str">
        <f t="shared" si="217"/>
        <v/>
      </c>
      <c r="AI169" s="186" t="str">
        <f t="shared" si="218"/>
        <v/>
      </c>
      <c r="AJ169" s="185" t="str">
        <f t="shared" ref="AJ169:AJ172" si="231">IFERROR(IF(AND(Y168="Impacto",Y169="Impacto"),(AJ168-(+AJ168*AB169)),IF(AND(Y168="Probabilidad",Y169="Impacto"),(AJ167-(+AJ167*AB169)),IF(Y169="Probabilidad",AJ168,""))),"")</f>
        <v/>
      </c>
      <c r="AK169" s="187" t="str">
        <f t="shared" si="220"/>
        <v/>
      </c>
      <c r="AL169" s="603"/>
      <c r="AM169" s="189"/>
      <c r="AN169" s="194"/>
      <c r="AO169" s="190"/>
      <c r="AP169" s="190"/>
      <c r="AQ169" s="191"/>
      <c r="AR169" s="194"/>
    </row>
    <row r="170" spans="1:44" s="605" customFormat="1" ht="69" hidden="1" customHeight="1" x14ac:dyDescent="0.25">
      <c r="A170" s="252"/>
      <c r="B170" s="246"/>
      <c r="C170" s="251"/>
      <c r="D170" s="251"/>
      <c r="E170" s="253"/>
      <c r="F170" s="254"/>
      <c r="G170" s="254"/>
      <c r="H170" s="255"/>
      <c r="I170" s="249"/>
      <c r="J170" s="249"/>
      <c r="K170" s="249"/>
      <c r="L170" s="249"/>
      <c r="M170" s="253"/>
      <c r="N170" s="251"/>
      <c r="O170" s="256"/>
      <c r="P170" s="610"/>
      <c r="Q170" s="611"/>
      <c r="R170" s="611"/>
      <c r="S170" s="611">
        <f ca="1">IF(NOT(ISERROR(MATCH(R170,_xlfn.ANCHORARRAY(H181),0))),Q183&amp;"Por favor no seleccionar los criterios de impacto",R170)</f>
        <v>0</v>
      </c>
      <c r="T170" s="610"/>
      <c r="U170" s="611"/>
      <c r="V170" s="252"/>
      <c r="W170" s="194">
        <v>4</v>
      </c>
      <c r="X170" s="192"/>
      <c r="Y170" s="194" t="str">
        <f t="shared" si="214"/>
        <v/>
      </c>
      <c r="Z170" s="188"/>
      <c r="AA170" s="188"/>
      <c r="AB170" s="185" t="str">
        <f t="shared" si="224"/>
        <v/>
      </c>
      <c r="AC170" s="188"/>
      <c r="AD170" s="188"/>
      <c r="AE170" s="188"/>
      <c r="AF170" s="602" t="str">
        <f t="shared" si="229"/>
        <v/>
      </c>
      <c r="AG170" s="186" t="str">
        <f t="shared" si="216"/>
        <v/>
      </c>
      <c r="AH170" s="185" t="str">
        <f t="shared" si="217"/>
        <v/>
      </c>
      <c r="AI170" s="186" t="str">
        <f t="shared" si="218"/>
        <v/>
      </c>
      <c r="AJ170" s="185" t="str">
        <f t="shared" si="231"/>
        <v/>
      </c>
      <c r="AK170" s="187" t="str">
        <f t="shared" si="220"/>
        <v/>
      </c>
      <c r="AL170" s="603"/>
      <c r="AM170" s="189"/>
      <c r="AN170" s="194"/>
      <c r="AO170" s="190"/>
      <c r="AP170" s="190"/>
      <c r="AQ170" s="191"/>
      <c r="AR170" s="194"/>
    </row>
    <row r="171" spans="1:44" s="605" customFormat="1" ht="69" hidden="1" customHeight="1" x14ac:dyDescent="0.25">
      <c r="A171" s="252"/>
      <c r="B171" s="246"/>
      <c r="C171" s="251"/>
      <c r="D171" s="251"/>
      <c r="E171" s="253"/>
      <c r="F171" s="254"/>
      <c r="G171" s="254"/>
      <c r="H171" s="255"/>
      <c r="I171" s="249"/>
      <c r="J171" s="249"/>
      <c r="K171" s="249"/>
      <c r="L171" s="249"/>
      <c r="M171" s="253"/>
      <c r="N171" s="251"/>
      <c r="O171" s="256"/>
      <c r="P171" s="610"/>
      <c r="Q171" s="611"/>
      <c r="R171" s="611"/>
      <c r="S171" s="611">
        <f ca="1">IF(NOT(ISERROR(MATCH(R171,_xlfn.ANCHORARRAY(H182),0))),Q184&amp;"Por favor no seleccionar los criterios de impacto",R171)</f>
        <v>0</v>
      </c>
      <c r="T171" s="610"/>
      <c r="U171" s="611"/>
      <c r="V171" s="252"/>
      <c r="W171" s="194">
        <v>5</v>
      </c>
      <c r="X171" s="192"/>
      <c r="Y171" s="194" t="str">
        <f t="shared" si="214"/>
        <v/>
      </c>
      <c r="Z171" s="188"/>
      <c r="AA171" s="188"/>
      <c r="AB171" s="185" t="str">
        <f t="shared" si="224"/>
        <v/>
      </c>
      <c r="AC171" s="188"/>
      <c r="AD171" s="188"/>
      <c r="AE171" s="188"/>
      <c r="AF171" s="602" t="str">
        <f t="shared" si="229"/>
        <v/>
      </c>
      <c r="AG171" s="186" t="str">
        <f t="shared" si="216"/>
        <v/>
      </c>
      <c r="AH171" s="185" t="str">
        <f t="shared" si="217"/>
        <v/>
      </c>
      <c r="AI171" s="186" t="str">
        <f t="shared" si="218"/>
        <v/>
      </c>
      <c r="AJ171" s="185" t="str">
        <f t="shared" si="231"/>
        <v/>
      </c>
      <c r="AK171" s="187" t="str">
        <f t="shared" si="220"/>
        <v/>
      </c>
      <c r="AL171" s="603"/>
      <c r="AM171" s="189"/>
      <c r="AN171" s="194"/>
      <c r="AO171" s="190"/>
      <c r="AP171" s="190"/>
      <c r="AQ171" s="191"/>
      <c r="AR171" s="194"/>
    </row>
    <row r="172" spans="1:44" s="605" customFormat="1" ht="69" hidden="1" customHeight="1" x14ac:dyDescent="0.25">
      <c r="A172" s="252"/>
      <c r="B172" s="247"/>
      <c r="C172" s="239"/>
      <c r="D172" s="239"/>
      <c r="E172" s="253"/>
      <c r="F172" s="254"/>
      <c r="G172" s="254"/>
      <c r="H172" s="255"/>
      <c r="I172" s="250"/>
      <c r="J172" s="250"/>
      <c r="K172" s="250"/>
      <c r="L172" s="250"/>
      <c r="M172" s="253"/>
      <c r="N172" s="239"/>
      <c r="O172" s="256"/>
      <c r="P172" s="610"/>
      <c r="Q172" s="611"/>
      <c r="R172" s="611"/>
      <c r="S172" s="611">
        <f ca="1">IF(NOT(ISERROR(MATCH(R172,_xlfn.ANCHORARRAY(H183),0))),Q185&amp;"Por favor no seleccionar los criterios de impacto",R172)</f>
        <v>0</v>
      </c>
      <c r="T172" s="610"/>
      <c r="U172" s="611"/>
      <c r="V172" s="252"/>
      <c r="W172" s="194">
        <v>6</v>
      </c>
      <c r="X172" s="192"/>
      <c r="Y172" s="194" t="str">
        <f t="shared" si="214"/>
        <v/>
      </c>
      <c r="Z172" s="188"/>
      <c r="AA172" s="188"/>
      <c r="AB172" s="185" t="str">
        <f t="shared" si="224"/>
        <v/>
      </c>
      <c r="AC172" s="188"/>
      <c r="AD172" s="188"/>
      <c r="AE172" s="188"/>
      <c r="AF172" s="602" t="str">
        <f t="shared" si="229"/>
        <v/>
      </c>
      <c r="AG172" s="186" t="str">
        <f t="shared" si="216"/>
        <v/>
      </c>
      <c r="AH172" s="185" t="str">
        <f t="shared" si="217"/>
        <v/>
      </c>
      <c r="AI172" s="186" t="str">
        <f t="shared" si="218"/>
        <v/>
      </c>
      <c r="AJ172" s="185" t="str">
        <f t="shared" si="231"/>
        <v/>
      </c>
      <c r="AK172" s="187" t="str">
        <f t="shared" si="220"/>
        <v/>
      </c>
      <c r="AL172" s="603"/>
      <c r="AM172" s="189"/>
      <c r="AN172" s="194"/>
      <c r="AO172" s="190"/>
      <c r="AP172" s="190"/>
      <c r="AQ172" s="191"/>
      <c r="AR172" s="194"/>
    </row>
    <row r="173" spans="1:44" s="605" customFormat="1" ht="121.5" customHeight="1" x14ac:dyDescent="0.25">
      <c r="A173" s="252">
        <v>27</v>
      </c>
      <c r="B173" s="245" t="s">
        <v>699</v>
      </c>
      <c r="C173" s="238" t="s">
        <v>274</v>
      </c>
      <c r="D173" s="245" t="s">
        <v>693</v>
      </c>
      <c r="E173" s="253" t="s">
        <v>243</v>
      </c>
      <c r="F173" s="254" t="s">
        <v>700</v>
      </c>
      <c r="G173" s="254" t="s">
        <v>701</v>
      </c>
      <c r="H173" s="255" t="s">
        <v>702</v>
      </c>
      <c r="I173" s="248" t="s">
        <v>480</v>
      </c>
      <c r="J173" s="248" t="s">
        <v>480</v>
      </c>
      <c r="K173" s="248" t="s">
        <v>480</v>
      </c>
      <c r="L173" s="248" t="s">
        <v>480</v>
      </c>
      <c r="M173" s="253" t="s">
        <v>242</v>
      </c>
      <c r="N173" s="238"/>
      <c r="O173" s="256">
        <v>5001</v>
      </c>
      <c r="P173" s="610" t="str">
        <f t="shared" si="210"/>
        <v>Muy Alta</v>
      </c>
      <c r="Q173" s="611">
        <f t="shared" si="211"/>
        <v>1</v>
      </c>
      <c r="R173" s="611" t="s">
        <v>193</v>
      </c>
      <c r="S173" s="611" t="str">
        <f ca="1">IF(NOT(ISERROR(MATCH(R173,'Tabla Impacto'!$B$221:$B$223,0))),'Tabla Impacto'!$F$223&amp;"Por favor no seleccionar los criterios de impacto(Afectación Económica o presupuestal y Pérdida Reputacional)",R173)</f>
        <v>El riesgo afecta la imagen de la entidad con algunos usuarios de relevancia frente al logro de los objetivos</v>
      </c>
      <c r="T173" s="610" t="str">
        <f ca="1">+IF(OR(S173='[1]Tabla Impacto'!$C$11,S173='[1]Tabla Impacto'!$D$11),"Leve",IF(OR(S173='[1]Tabla Impacto'!$C$12,S173='[1]Tabla Impacto'!$D$12),"Menor",IF(OR(S173='[1]Tabla Impacto'!$C$13,S173='[1]Tabla Impacto'!$D$13),"Moderado",IF(OR(S173='[1]Tabla Impacto'!$C$14,S173='[1]Tabla Impacto'!$D$14),"Mayor",IF(OR(S173='[1]Tabla Impacto'!$C$15,S173='[1]Tabla Impacto'!$D$15),"Catastrófico","")))))</f>
        <v>Moderado</v>
      </c>
      <c r="U173" s="611">
        <f t="shared" ref="U173" ca="1" si="232">IF(T173="","",IF(T173="Leve",0.2,IF(T173="Menor",0.4,IF(T173="Moderado",0.6,IF(T173="Mayor",0.8,IF(T173="Catastrófico",1,))))))</f>
        <v>0.6</v>
      </c>
      <c r="V173" s="252" t="str">
        <f t="shared" ref="V173" ca="1" si="233">IF(OR(AND(P173="Muy Baja",T173="Leve"),AND(P173="Muy Baja",T173="Menor"),AND(P173="Baja",T173="Leve")),"Bajo",IF(OR(AND(P173="Muy baja",T173="Moderado"),AND(P173="Baja",T173="Menor"),AND(P173="Baja",T173="Moderado"),AND(P173="Media",T173="Leve"),AND(P173="Media",T173="Menor"),AND(P173="Media",T173="Moderado"),AND(P173="Alta",T173="Leve"),AND(P173="Alta",T173="Menor")),"Moderado",IF(OR(AND(P173="Muy Baja",T173="Mayor"),AND(P173="Baja",T173="Mayor"),AND(P173="Media",T173="Mayor"),AND(P173="Alta",T173="Moderado"),AND(P173="Alta",T173="Mayor"),AND(P173="Muy Alta",T173="Leve"),AND(P173="Muy Alta",T173="Menor"),AND(P173="Muy Alta",T173="Moderado"),AND(P173="Muy Alta",T173="Mayor")),"Alto",IF(OR(AND(P173="Muy Baja",T173="Catastrófico"),AND(P173="Baja",T173="Catastrófico"),AND(P173="Media",T173="Catastrófico"),AND(P173="Alta",T173="Catastrófico"),AND(P173="Muy Alta",T173="Catastrófico")),"Extremo",""))))</f>
        <v>Alto</v>
      </c>
      <c r="W173" s="194">
        <v>1</v>
      </c>
      <c r="X173" s="192" t="s">
        <v>703</v>
      </c>
      <c r="Y173" s="194" t="str">
        <f t="shared" si="214"/>
        <v>Probabilidad</v>
      </c>
      <c r="Z173" s="188" t="s">
        <v>211</v>
      </c>
      <c r="AA173" s="188" t="s">
        <v>219</v>
      </c>
      <c r="AB173" s="185" t="str">
        <f t="shared" si="224"/>
        <v>40%</v>
      </c>
      <c r="AC173" s="188" t="s">
        <v>222</v>
      </c>
      <c r="AD173" s="188" t="s">
        <v>227</v>
      </c>
      <c r="AE173" s="188" t="s">
        <v>231</v>
      </c>
      <c r="AF173" s="602">
        <f t="shared" ref="AF173" si="234">IFERROR(IF(Y173="Probabilidad",(Q173-(+Q173*AB173)),IF(Y173="Impacto",Q173,"")),"")</f>
        <v>0.6</v>
      </c>
      <c r="AG173" s="186" t="str">
        <f t="shared" si="216"/>
        <v>Media</v>
      </c>
      <c r="AH173" s="185">
        <f t="shared" si="217"/>
        <v>0.6</v>
      </c>
      <c r="AI173" s="186" t="str">
        <f t="shared" ca="1" si="218"/>
        <v>Moderado</v>
      </c>
      <c r="AJ173" s="185">
        <f t="shared" ref="AJ173" ca="1" si="235">IFERROR(IF(Y173="Impacto",(U173-(+U173*AB173)),IF(Y173="Probabilidad",U173,"")),"")</f>
        <v>0.6</v>
      </c>
      <c r="AK173" s="187" t="str">
        <f t="shared" ca="1" si="220"/>
        <v>Moderado</v>
      </c>
      <c r="AL173" s="603" t="s">
        <v>258</v>
      </c>
      <c r="AM173" s="189"/>
      <c r="AN173" s="194"/>
      <c r="AO173" s="190"/>
      <c r="AP173" s="190"/>
      <c r="AQ173" s="191"/>
      <c r="AR173" s="194"/>
    </row>
    <row r="174" spans="1:44" s="605" customFormat="1" ht="162" x14ac:dyDescent="0.25">
      <c r="A174" s="252"/>
      <c r="B174" s="246"/>
      <c r="C174" s="251"/>
      <c r="D174" s="246"/>
      <c r="E174" s="253"/>
      <c r="F174" s="254"/>
      <c r="G174" s="254"/>
      <c r="H174" s="255"/>
      <c r="I174" s="249"/>
      <c r="J174" s="249"/>
      <c r="K174" s="249"/>
      <c r="L174" s="249"/>
      <c r="M174" s="253"/>
      <c r="N174" s="251"/>
      <c r="O174" s="256"/>
      <c r="P174" s="610"/>
      <c r="Q174" s="611"/>
      <c r="R174" s="611"/>
      <c r="S174" s="611">
        <f ca="1">IF(NOT(ISERROR(MATCH(R174,_xlfn.ANCHORARRAY(H185),0))),Q187&amp;"Por favor no seleccionar los criterios de impacto",R174)</f>
        <v>0</v>
      </c>
      <c r="T174" s="610"/>
      <c r="U174" s="611"/>
      <c r="V174" s="252"/>
      <c r="W174" s="194">
        <v>2</v>
      </c>
      <c r="X174" s="192" t="s">
        <v>704</v>
      </c>
      <c r="Y174" s="194" t="str">
        <f t="shared" si="214"/>
        <v>Probabilidad</v>
      </c>
      <c r="Z174" s="188" t="s">
        <v>211</v>
      </c>
      <c r="AA174" s="188" t="s">
        <v>219</v>
      </c>
      <c r="AB174" s="185" t="str">
        <f t="shared" si="224"/>
        <v>40%</v>
      </c>
      <c r="AC174" s="188" t="s">
        <v>222</v>
      </c>
      <c r="AD174" s="188" t="s">
        <v>227</v>
      </c>
      <c r="AE174" s="188" t="s">
        <v>231</v>
      </c>
      <c r="AF174" s="602">
        <f t="shared" ref="AF174:AF178" si="236">IFERROR(IF(AND(Y173="Probabilidad",Y174="Probabilidad"),(AH173-(+AH173*AB174)),IF(Y174="Probabilidad",(Q173-(+Q173*AB174)),IF(Y174="Impacto",AH173,""))),"")</f>
        <v>0.36</v>
      </c>
      <c r="AG174" s="186" t="str">
        <f t="shared" si="216"/>
        <v>Baja</v>
      </c>
      <c r="AH174" s="185">
        <f t="shared" si="217"/>
        <v>0.36</v>
      </c>
      <c r="AI174" s="186" t="str">
        <f t="shared" ca="1" si="218"/>
        <v>Moderado</v>
      </c>
      <c r="AJ174" s="185">
        <f t="shared" ref="AJ174" ca="1" si="237">IFERROR(IF(AND(Y173="Impacto",Y174="Impacto"),(AJ173-(+AJ173*AB174)),IF(Y174="Impacto",(U173-(+U173*AB174)),IF(Y174="Probabilidad",AJ173,""))),"")</f>
        <v>0.6</v>
      </c>
      <c r="AK174" s="187" t="str">
        <f t="shared" ca="1" si="220"/>
        <v>Moderado</v>
      </c>
      <c r="AL174" s="603" t="s">
        <v>258</v>
      </c>
      <c r="AM174" s="189"/>
      <c r="AN174" s="194"/>
      <c r="AO174" s="190"/>
      <c r="AP174" s="190"/>
      <c r="AQ174" s="191"/>
      <c r="AR174" s="194"/>
    </row>
    <row r="175" spans="1:44" s="605" customFormat="1" ht="69" hidden="1" customHeight="1" x14ac:dyDescent="0.25">
      <c r="A175" s="252"/>
      <c r="B175" s="246"/>
      <c r="C175" s="251"/>
      <c r="D175" s="246"/>
      <c r="E175" s="253"/>
      <c r="F175" s="254"/>
      <c r="G175" s="254"/>
      <c r="H175" s="255"/>
      <c r="I175" s="249"/>
      <c r="J175" s="249"/>
      <c r="K175" s="249"/>
      <c r="L175" s="249"/>
      <c r="M175" s="253"/>
      <c r="N175" s="251"/>
      <c r="O175" s="256"/>
      <c r="P175" s="610"/>
      <c r="Q175" s="611"/>
      <c r="R175" s="611"/>
      <c r="S175" s="611">
        <f ca="1">IF(NOT(ISERROR(MATCH(R175,_xlfn.ANCHORARRAY(H186),0))),Q188&amp;"Por favor no seleccionar los criterios de impacto",R175)</f>
        <v>0</v>
      </c>
      <c r="T175" s="610"/>
      <c r="U175" s="611"/>
      <c r="V175" s="252"/>
      <c r="W175" s="194">
        <v>3</v>
      </c>
      <c r="X175" s="192"/>
      <c r="Y175" s="194" t="str">
        <f t="shared" si="214"/>
        <v/>
      </c>
      <c r="Z175" s="188"/>
      <c r="AA175" s="188"/>
      <c r="AB175" s="185" t="str">
        <f t="shared" si="224"/>
        <v/>
      </c>
      <c r="AC175" s="188"/>
      <c r="AD175" s="188"/>
      <c r="AE175" s="188"/>
      <c r="AF175" s="602" t="str">
        <f t="shared" si="236"/>
        <v/>
      </c>
      <c r="AG175" s="186" t="str">
        <f t="shared" si="216"/>
        <v/>
      </c>
      <c r="AH175" s="185" t="str">
        <f t="shared" si="217"/>
        <v/>
      </c>
      <c r="AI175" s="186" t="str">
        <f t="shared" si="218"/>
        <v/>
      </c>
      <c r="AJ175" s="185" t="str">
        <f t="shared" ref="AJ175:AJ178" si="238">IFERROR(IF(AND(Y174="Impacto",Y175="Impacto"),(AJ174-(+AJ174*AB175)),IF(AND(Y174="Probabilidad",Y175="Impacto"),(AJ173-(+AJ173*AB175)),IF(Y175="Probabilidad",AJ174,""))),"")</f>
        <v/>
      </c>
      <c r="AK175" s="187" t="str">
        <f t="shared" si="220"/>
        <v/>
      </c>
      <c r="AL175" s="603"/>
      <c r="AM175" s="189"/>
      <c r="AN175" s="194"/>
      <c r="AO175" s="190"/>
      <c r="AP175" s="190"/>
      <c r="AQ175" s="191"/>
      <c r="AR175" s="194"/>
    </row>
    <row r="176" spans="1:44" s="605" customFormat="1" ht="69" hidden="1" customHeight="1" x14ac:dyDescent="0.25">
      <c r="A176" s="252"/>
      <c r="B176" s="246"/>
      <c r="C176" s="251"/>
      <c r="D176" s="246"/>
      <c r="E176" s="253"/>
      <c r="F176" s="254"/>
      <c r="G176" s="254"/>
      <c r="H176" s="255"/>
      <c r="I176" s="249"/>
      <c r="J176" s="249"/>
      <c r="K176" s="249"/>
      <c r="L176" s="249"/>
      <c r="M176" s="253"/>
      <c r="N176" s="251"/>
      <c r="O176" s="256"/>
      <c r="P176" s="610"/>
      <c r="Q176" s="611"/>
      <c r="R176" s="611"/>
      <c r="S176" s="611">
        <f ca="1">IF(NOT(ISERROR(MATCH(R176,_xlfn.ANCHORARRAY(H187),0))),Q189&amp;"Por favor no seleccionar los criterios de impacto",R176)</f>
        <v>0</v>
      </c>
      <c r="T176" s="610"/>
      <c r="U176" s="611"/>
      <c r="V176" s="252"/>
      <c r="W176" s="194">
        <v>4</v>
      </c>
      <c r="X176" s="192"/>
      <c r="Y176" s="194" t="str">
        <f t="shared" si="214"/>
        <v/>
      </c>
      <c r="Z176" s="188"/>
      <c r="AA176" s="188"/>
      <c r="AB176" s="185" t="str">
        <f t="shared" si="224"/>
        <v/>
      </c>
      <c r="AC176" s="188"/>
      <c r="AD176" s="188"/>
      <c r="AE176" s="188"/>
      <c r="AF176" s="602" t="str">
        <f t="shared" si="236"/>
        <v/>
      </c>
      <c r="AG176" s="186" t="str">
        <f t="shared" si="216"/>
        <v/>
      </c>
      <c r="AH176" s="185" t="str">
        <f t="shared" si="217"/>
        <v/>
      </c>
      <c r="AI176" s="186" t="str">
        <f t="shared" si="218"/>
        <v/>
      </c>
      <c r="AJ176" s="185" t="str">
        <f t="shared" si="238"/>
        <v/>
      </c>
      <c r="AK176" s="187" t="str">
        <f t="shared" si="220"/>
        <v/>
      </c>
      <c r="AL176" s="603"/>
      <c r="AM176" s="189"/>
      <c r="AN176" s="194"/>
      <c r="AO176" s="190"/>
      <c r="AP176" s="190"/>
      <c r="AQ176" s="191"/>
      <c r="AR176" s="194"/>
    </row>
    <row r="177" spans="1:44" s="605" customFormat="1" ht="69" hidden="1" customHeight="1" x14ac:dyDescent="0.25">
      <c r="A177" s="252"/>
      <c r="B177" s="246"/>
      <c r="C177" s="251"/>
      <c r="D177" s="246"/>
      <c r="E177" s="253"/>
      <c r="F177" s="254"/>
      <c r="G177" s="254"/>
      <c r="H177" s="255"/>
      <c r="I177" s="249"/>
      <c r="J177" s="249"/>
      <c r="K177" s="249"/>
      <c r="L177" s="249"/>
      <c r="M177" s="253"/>
      <c r="N177" s="251"/>
      <c r="O177" s="256"/>
      <c r="P177" s="610"/>
      <c r="Q177" s="611"/>
      <c r="R177" s="611"/>
      <c r="S177" s="611">
        <f ca="1">IF(NOT(ISERROR(MATCH(R177,_xlfn.ANCHORARRAY(H188),0))),Q190&amp;"Por favor no seleccionar los criterios de impacto",R177)</f>
        <v>0</v>
      </c>
      <c r="T177" s="610"/>
      <c r="U177" s="611"/>
      <c r="V177" s="252"/>
      <c r="W177" s="194">
        <v>5</v>
      </c>
      <c r="X177" s="192"/>
      <c r="Y177" s="194" t="str">
        <f t="shared" si="214"/>
        <v/>
      </c>
      <c r="Z177" s="188"/>
      <c r="AA177" s="188"/>
      <c r="AB177" s="185" t="str">
        <f t="shared" si="224"/>
        <v/>
      </c>
      <c r="AC177" s="188"/>
      <c r="AD177" s="188"/>
      <c r="AE177" s="188"/>
      <c r="AF177" s="602" t="str">
        <f t="shared" si="236"/>
        <v/>
      </c>
      <c r="AG177" s="186" t="str">
        <f t="shared" si="216"/>
        <v/>
      </c>
      <c r="AH177" s="185" t="str">
        <f t="shared" si="217"/>
        <v/>
      </c>
      <c r="AI177" s="186" t="str">
        <f t="shared" si="218"/>
        <v/>
      </c>
      <c r="AJ177" s="185" t="str">
        <f t="shared" si="238"/>
        <v/>
      </c>
      <c r="AK177" s="187" t="str">
        <f t="shared" si="220"/>
        <v/>
      </c>
      <c r="AL177" s="603"/>
      <c r="AM177" s="189"/>
      <c r="AN177" s="194"/>
      <c r="AO177" s="190"/>
      <c r="AP177" s="190"/>
      <c r="AQ177" s="191"/>
      <c r="AR177" s="194"/>
    </row>
    <row r="178" spans="1:44" s="605" customFormat="1" ht="69" hidden="1" customHeight="1" x14ac:dyDescent="0.25">
      <c r="A178" s="252"/>
      <c r="B178" s="247"/>
      <c r="C178" s="239"/>
      <c r="D178" s="247"/>
      <c r="E178" s="253"/>
      <c r="F178" s="254"/>
      <c r="G178" s="254"/>
      <c r="H178" s="255"/>
      <c r="I178" s="250"/>
      <c r="J178" s="250"/>
      <c r="K178" s="250"/>
      <c r="L178" s="250"/>
      <c r="M178" s="253"/>
      <c r="N178" s="239"/>
      <c r="O178" s="256"/>
      <c r="P178" s="610"/>
      <c r="Q178" s="611"/>
      <c r="R178" s="611"/>
      <c r="S178" s="611">
        <f ca="1">IF(NOT(ISERROR(MATCH(R178,_xlfn.ANCHORARRAY(H189),0))),Q191&amp;"Por favor no seleccionar los criterios de impacto",R178)</f>
        <v>0</v>
      </c>
      <c r="T178" s="610"/>
      <c r="U178" s="611"/>
      <c r="V178" s="252"/>
      <c r="W178" s="194">
        <v>6</v>
      </c>
      <c r="X178" s="192"/>
      <c r="Y178" s="194" t="str">
        <f t="shared" si="214"/>
        <v/>
      </c>
      <c r="Z178" s="188"/>
      <c r="AA178" s="188"/>
      <c r="AB178" s="185" t="str">
        <f t="shared" si="224"/>
        <v/>
      </c>
      <c r="AC178" s="188"/>
      <c r="AD178" s="188"/>
      <c r="AE178" s="188"/>
      <c r="AF178" s="602" t="str">
        <f t="shared" si="236"/>
        <v/>
      </c>
      <c r="AG178" s="186" t="str">
        <f t="shared" si="216"/>
        <v/>
      </c>
      <c r="AH178" s="185" t="str">
        <f t="shared" si="217"/>
        <v/>
      </c>
      <c r="AI178" s="186" t="str">
        <f t="shared" si="218"/>
        <v/>
      </c>
      <c r="AJ178" s="185" t="str">
        <f t="shared" si="238"/>
        <v/>
      </c>
      <c r="AK178" s="187" t="str">
        <f t="shared" si="220"/>
        <v/>
      </c>
      <c r="AL178" s="603"/>
      <c r="AM178" s="189"/>
      <c r="AN178" s="194"/>
      <c r="AO178" s="190"/>
      <c r="AP178" s="190"/>
      <c r="AQ178" s="191"/>
      <c r="AR178" s="194"/>
    </row>
    <row r="179" spans="1:44" s="605" customFormat="1" ht="207" customHeight="1" x14ac:dyDescent="0.25">
      <c r="A179" s="252">
        <v>28</v>
      </c>
      <c r="B179" s="245" t="s">
        <v>705</v>
      </c>
      <c r="C179" s="238" t="s">
        <v>274</v>
      </c>
      <c r="D179" s="238" t="s">
        <v>706</v>
      </c>
      <c r="E179" s="253" t="s">
        <v>243</v>
      </c>
      <c r="F179" s="254" t="s">
        <v>707</v>
      </c>
      <c r="G179" s="255" t="s">
        <v>708</v>
      </c>
      <c r="H179" s="255" t="s">
        <v>709</v>
      </c>
      <c r="I179" s="248" t="s">
        <v>480</v>
      </c>
      <c r="J179" s="248" t="s">
        <v>480</v>
      </c>
      <c r="K179" s="248" t="s">
        <v>480</v>
      </c>
      <c r="L179" s="248" t="s">
        <v>480</v>
      </c>
      <c r="M179" s="253" t="s">
        <v>242</v>
      </c>
      <c r="N179" s="238"/>
      <c r="O179" s="256">
        <v>5001</v>
      </c>
      <c r="P179" s="610" t="str">
        <f t="shared" si="210"/>
        <v>Muy Alta</v>
      </c>
      <c r="Q179" s="611">
        <f t="shared" si="211"/>
        <v>1</v>
      </c>
      <c r="R179" s="611" t="s">
        <v>193</v>
      </c>
      <c r="S179" s="611" t="str">
        <f ca="1">IF(NOT(ISERROR(MATCH(R179,'Tabla Impacto'!$B$221:$B$223,0))),'Tabla Impacto'!$F$223&amp;"Por favor no seleccionar los criterios de impacto(Afectación Económica o presupuestal y Pérdida Reputacional)",R179)</f>
        <v>El riesgo afecta la imagen de la entidad con algunos usuarios de relevancia frente al logro de los objetivos</v>
      </c>
      <c r="T179" s="610" t="str">
        <f ca="1">+IF(OR(S179='[1]Tabla Impacto'!$C$11,S179='[1]Tabla Impacto'!$D$11),"Leve",IF(OR(S179='[1]Tabla Impacto'!$C$12,S179='[1]Tabla Impacto'!$D$12),"Menor",IF(OR(S179='[1]Tabla Impacto'!$C$13,S179='[1]Tabla Impacto'!$D$13),"Moderado",IF(OR(S179='[1]Tabla Impacto'!$C$14,S179='[1]Tabla Impacto'!$D$14),"Mayor",IF(OR(S179='[1]Tabla Impacto'!$C$15,S179='[1]Tabla Impacto'!$D$15),"Catastrófico","")))))</f>
        <v>Moderado</v>
      </c>
      <c r="U179" s="611">
        <f t="shared" ref="U179" ca="1" si="239">IF(T179="","",IF(T179="Leve",0.2,IF(T179="Menor",0.4,IF(T179="Moderado",0.6,IF(T179="Mayor",0.8,IF(T179="Catastrófico",1,))))))</f>
        <v>0.6</v>
      </c>
      <c r="V179" s="252" t="str">
        <f t="shared" ref="V179" ca="1" si="240">IF(OR(AND(P179="Muy Baja",T179="Leve"),AND(P179="Muy Baja",T179="Menor"),AND(P179="Baja",T179="Leve")),"Bajo",IF(OR(AND(P179="Muy baja",T179="Moderado"),AND(P179="Baja",T179="Menor"),AND(P179="Baja",T179="Moderado"),AND(P179="Media",T179="Leve"),AND(P179="Media",T179="Menor"),AND(P179="Media",T179="Moderado"),AND(P179="Alta",T179="Leve"),AND(P179="Alta",T179="Menor")),"Moderado",IF(OR(AND(P179="Muy Baja",T179="Mayor"),AND(P179="Baja",T179="Mayor"),AND(P179="Media",T179="Mayor"),AND(P179="Alta",T179="Moderado"),AND(P179="Alta",T179="Mayor"),AND(P179="Muy Alta",T179="Leve"),AND(P179="Muy Alta",T179="Menor"),AND(P179="Muy Alta",T179="Moderado"),AND(P179="Muy Alta",T179="Mayor")),"Alto",IF(OR(AND(P179="Muy Baja",T179="Catastrófico"),AND(P179="Baja",T179="Catastrófico"),AND(P179="Media",T179="Catastrófico"),AND(P179="Alta",T179="Catastrófico"),AND(P179="Muy Alta",T179="Catastrófico")),"Extremo",""))))</f>
        <v>Alto</v>
      </c>
      <c r="W179" s="194">
        <v>1</v>
      </c>
      <c r="X179" s="192" t="s">
        <v>710</v>
      </c>
      <c r="Y179" s="194" t="str">
        <f t="shared" si="214"/>
        <v>Probabilidad</v>
      </c>
      <c r="Z179" s="188" t="s">
        <v>211</v>
      </c>
      <c r="AA179" s="188" t="s">
        <v>219</v>
      </c>
      <c r="AB179" s="185" t="str">
        <f t="shared" si="224"/>
        <v>40%</v>
      </c>
      <c r="AC179" s="188" t="s">
        <v>222</v>
      </c>
      <c r="AD179" s="188" t="s">
        <v>227</v>
      </c>
      <c r="AE179" s="188" t="s">
        <v>231</v>
      </c>
      <c r="AF179" s="602">
        <f t="shared" ref="AF179" si="241">IFERROR(IF(Y179="Probabilidad",(Q179-(+Q179*AB179)),IF(Y179="Impacto",Q179,"")),"")</f>
        <v>0.6</v>
      </c>
      <c r="AG179" s="186" t="str">
        <f t="shared" si="216"/>
        <v>Media</v>
      </c>
      <c r="AH179" s="185">
        <f t="shared" si="217"/>
        <v>0.6</v>
      </c>
      <c r="AI179" s="186" t="str">
        <f t="shared" ca="1" si="218"/>
        <v>Moderado</v>
      </c>
      <c r="AJ179" s="185">
        <f t="shared" ref="AJ179" ca="1" si="242">IFERROR(IF(Y179="Impacto",(U179-(+U179*AB179)),IF(Y179="Probabilidad",U179,"")),"")</f>
        <v>0.6</v>
      </c>
      <c r="AK179" s="187" t="str">
        <f t="shared" ca="1" si="220"/>
        <v>Moderado</v>
      </c>
      <c r="AL179" s="603" t="s">
        <v>258</v>
      </c>
      <c r="AM179" s="189"/>
      <c r="AN179" s="194"/>
      <c r="AO179" s="190"/>
      <c r="AP179" s="190"/>
      <c r="AQ179" s="191"/>
      <c r="AR179" s="194"/>
    </row>
    <row r="180" spans="1:44" s="605" customFormat="1" ht="69" hidden="1" customHeight="1" x14ac:dyDescent="0.25">
      <c r="A180" s="252"/>
      <c r="B180" s="246"/>
      <c r="C180" s="251"/>
      <c r="D180" s="246"/>
      <c r="E180" s="253"/>
      <c r="F180" s="254"/>
      <c r="G180" s="255"/>
      <c r="H180" s="255"/>
      <c r="I180" s="249"/>
      <c r="J180" s="249"/>
      <c r="K180" s="249"/>
      <c r="L180" s="249"/>
      <c r="M180" s="253"/>
      <c r="N180" s="251"/>
      <c r="O180" s="256"/>
      <c r="P180" s="610"/>
      <c r="Q180" s="611"/>
      <c r="R180" s="611"/>
      <c r="S180" s="611">
        <f ca="1">IF(NOT(ISERROR(MATCH(R180,_xlfn.ANCHORARRAY(H191),0))),Q193&amp;"Por favor no seleccionar los criterios de impacto",R180)</f>
        <v>0</v>
      </c>
      <c r="T180" s="610"/>
      <c r="U180" s="611"/>
      <c r="V180" s="252"/>
      <c r="W180" s="194">
        <v>2</v>
      </c>
      <c r="X180" s="192"/>
      <c r="Y180" s="194" t="str">
        <f t="shared" si="214"/>
        <v/>
      </c>
      <c r="Z180" s="188"/>
      <c r="AA180" s="188"/>
      <c r="AB180" s="185" t="str">
        <f t="shared" si="224"/>
        <v/>
      </c>
      <c r="AC180" s="188"/>
      <c r="AD180" s="188"/>
      <c r="AE180" s="188"/>
      <c r="AF180" s="602" t="str">
        <f t="shared" ref="AF180:AF184" si="243">IFERROR(IF(AND(Y179="Probabilidad",Y180="Probabilidad"),(AH179-(+AH179*AB180)),IF(Y180="Probabilidad",(Q179-(+Q179*AB180)),IF(Y180="Impacto",AH179,""))),"")</f>
        <v/>
      </c>
      <c r="AG180" s="186" t="str">
        <f t="shared" si="216"/>
        <v/>
      </c>
      <c r="AH180" s="185" t="str">
        <f t="shared" si="217"/>
        <v/>
      </c>
      <c r="AI180" s="186" t="str">
        <f t="shared" si="218"/>
        <v/>
      </c>
      <c r="AJ180" s="185" t="str">
        <f t="shared" ref="AJ180" si="244">IFERROR(IF(AND(Y179="Impacto",Y180="Impacto"),(AJ179-(+AJ179*AB180)),IF(Y180="Impacto",(U179-(+U179*AB180)),IF(Y180="Probabilidad",AJ179,""))),"")</f>
        <v/>
      </c>
      <c r="AK180" s="187" t="str">
        <f t="shared" si="220"/>
        <v/>
      </c>
      <c r="AL180" s="603"/>
      <c r="AM180" s="189"/>
      <c r="AN180" s="194"/>
      <c r="AO180" s="190"/>
      <c r="AP180" s="190"/>
      <c r="AQ180" s="191"/>
      <c r="AR180" s="194"/>
    </row>
    <row r="181" spans="1:44" s="605" customFormat="1" ht="69" hidden="1" customHeight="1" x14ac:dyDescent="0.25">
      <c r="A181" s="252"/>
      <c r="B181" s="246"/>
      <c r="C181" s="251"/>
      <c r="D181" s="246"/>
      <c r="E181" s="253"/>
      <c r="F181" s="254"/>
      <c r="G181" s="255"/>
      <c r="H181" s="255"/>
      <c r="I181" s="249"/>
      <c r="J181" s="249"/>
      <c r="K181" s="249"/>
      <c r="L181" s="249"/>
      <c r="M181" s="253"/>
      <c r="N181" s="251"/>
      <c r="O181" s="256"/>
      <c r="P181" s="610"/>
      <c r="Q181" s="611"/>
      <c r="R181" s="611"/>
      <c r="S181" s="611">
        <f ca="1">IF(NOT(ISERROR(MATCH(R181,_xlfn.ANCHORARRAY(H192),0))),Q194&amp;"Por favor no seleccionar los criterios de impacto",R181)</f>
        <v>0</v>
      </c>
      <c r="T181" s="610"/>
      <c r="U181" s="611"/>
      <c r="V181" s="252"/>
      <c r="W181" s="194">
        <v>3</v>
      </c>
      <c r="X181" s="192"/>
      <c r="Y181" s="194" t="str">
        <f t="shared" si="214"/>
        <v/>
      </c>
      <c r="Z181" s="188"/>
      <c r="AA181" s="188"/>
      <c r="AB181" s="185" t="str">
        <f t="shared" si="224"/>
        <v/>
      </c>
      <c r="AC181" s="188"/>
      <c r="AD181" s="188"/>
      <c r="AE181" s="188"/>
      <c r="AF181" s="602" t="str">
        <f t="shared" si="243"/>
        <v/>
      </c>
      <c r="AG181" s="186" t="str">
        <f t="shared" si="216"/>
        <v/>
      </c>
      <c r="AH181" s="185" t="str">
        <f t="shared" si="217"/>
        <v/>
      </c>
      <c r="AI181" s="186" t="str">
        <f t="shared" si="218"/>
        <v/>
      </c>
      <c r="AJ181" s="185" t="str">
        <f t="shared" ref="AJ181:AJ184" si="245">IFERROR(IF(AND(Y180="Impacto",Y181="Impacto"),(AJ180-(+AJ180*AB181)),IF(AND(Y180="Probabilidad",Y181="Impacto"),(AJ179-(+AJ179*AB181)),IF(Y181="Probabilidad",AJ180,""))),"")</f>
        <v/>
      </c>
      <c r="AK181" s="187" t="str">
        <f t="shared" si="220"/>
        <v/>
      </c>
      <c r="AL181" s="603"/>
      <c r="AM181" s="189"/>
      <c r="AN181" s="194"/>
      <c r="AO181" s="190"/>
      <c r="AP181" s="190"/>
      <c r="AQ181" s="191"/>
      <c r="AR181" s="194"/>
    </row>
    <row r="182" spans="1:44" s="605" customFormat="1" ht="69" hidden="1" customHeight="1" x14ac:dyDescent="0.25">
      <c r="A182" s="252"/>
      <c r="B182" s="246"/>
      <c r="C182" s="251"/>
      <c r="D182" s="246"/>
      <c r="E182" s="253"/>
      <c r="F182" s="254"/>
      <c r="G182" s="255"/>
      <c r="H182" s="255"/>
      <c r="I182" s="249"/>
      <c r="J182" s="249"/>
      <c r="K182" s="249"/>
      <c r="L182" s="249"/>
      <c r="M182" s="253"/>
      <c r="N182" s="251"/>
      <c r="O182" s="256"/>
      <c r="P182" s="610"/>
      <c r="Q182" s="611"/>
      <c r="R182" s="611"/>
      <c r="S182" s="611">
        <f ca="1">IF(NOT(ISERROR(MATCH(R182,_xlfn.ANCHORARRAY(H193),0))),Q195&amp;"Por favor no seleccionar los criterios de impacto",R182)</f>
        <v>0</v>
      </c>
      <c r="T182" s="610"/>
      <c r="U182" s="611"/>
      <c r="V182" s="252"/>
      <c r="W182" s="194">
        <v>4</v>
      </c>
      <c r="X182" s="192"/>
      <c r="Y182" s="194" t="str">
        <f t="shared" si="214"/>
        <v/>
      </c>
      <c r="Z182" s="188"/>
      <c r="AA182" s="188"/>
      <c r="AB182" s="185" t="str">
        <f t="shared" si="224"/>
        <v/>
      </c>
      <c r="AC182" s="188"/>
      <c r="AD182" s="188"/>
      <c r="AE182" s="188"/>
      <c r="AF182" s="602" t="str">
        <f t="shared" si="243"/>
        <v/>
      </c>
      <c r="AG182" s="186" t="str">
        <f t="shared" si="216"/>
        <v/>
      </c>
      <c r="AH182" s="185" t="str">
        <f t="shared" si="217"/>
        <v/>
      </c>
      <c r="AI182" s="186" t="str">
        <f t="shared" si="218"/>
        <v/>
      </c>
      <c r="AJ182" s="185" t="str">
        <f t="shared" si="245"/>
        <v/>
      </c>
      <c r="AK182" s="187" t="str">
        <f t="shared" si="220"/>
        <v/>
      </c>
      <c r="AL182" s="603"/>
      <c r="AM182" s="189"/>
      <c r="AN182" s="194"/>
      <c r="AO182" s="190"/>
      <c r="AP182" s="190"/>
      <c r="AQ182" s="191"/>
      <c r="AR182" s="194"/>
    </row>
    <row r="183" spans="1:44" s="605" customFormat="1" ht="69" hidden="1" customHeight="1" x14ac:dyDescent="0.25">
      <c r="A183" s="252"/>
      <c r="B183" s="246"/>
      <c r="C183" s="251"/>
      <c r="D183" s="246"/>
      <c r="E183" s="253"/>
      <c r="F183" s="254"/>
      <c r="G183" s="255"/>
      <c r="H183" s="255"/>
      <c r="I183" s="249"/>
      <c r="J183" s="249"/>
      <c r="K183" s="249"/>
      <c r="L183" s="249"/>
      <c r="M183" s="253"/>
      <c r="N183" s="251"/>
      <c r="O183" s="256"/>
      <c r="P183" s="610"/>
      <c r="Q183" s="611"/>
      <c r="R183" s="611"/>
      <c r="S183" s="611">
        <f ca="1">IF(NOT(ISERROR(MATCH(R183,_xlfn.ANCHORARRAY(H194),0))),Q196&amp;"Por favor no seleccionar los criterios de impacto",R183)</f>
        <v>0</v>
      </c>
      <c r="T183" s="610"/>
      <c r="U183" s="611"/>
      <c r="V183" s="252"/>
      <c r="W183" s="194">
        <v>5</v>
      </c>
      <c r="X183" s="192"/>
      <c r="Y183" s="194" t="str">
        <f t="shared" si="214"/>
        <v/>
      </c>
      <c r="Z183" s="188"/>
      <c r="AA183" s="188"/>
      <c r="AB183" s="185" t="str">
        <f t="shared" si="224"/>
        <v/>
      </c>
      <c r="AC183" s="188"/>
      <c r="AD183" s="188"/>
      <c r="AE183" s="188"/>
      <c r="AF183" s="602" t="str">
        <f t="shared" si="243"/>
        <v/>
      </c>
      <c r="AG183" s="186" t="str">
        <f t="shared" si="216"/>
        <v/>
      </c>
      <c r="AH183" s="185" t="str">
        <f t="shared" si="217"/>
        <v/>
      </c>
      <c r="AI183" s="186" t="str">
        <f t="shared" si="218"/>
        <v/>
      </c>
      <c r="AJ183" s="185" t="str">
        <f t="shared" si="245"/>
        <v/>
      </c>
      <c r="AK183" s="187" t="str">
        <f t="shared" si="220"/>
        <v/>
      </c>
      <c r="AL183" s="603"/>
      <c r="AM183" s="189"/>
      <c r="AN183" s="194"/>
      <c r="AO183" s="190"/>
      <c r="AP183" s="190"/>
      <c r="AQ183" s="191"/>
      <c r="AR183" s="194"/>
    </row>
    <row r="184" spans="1:44" s="605" customFormat="1" ht="69" hidden="1" customHeight="1" x14ac:dyDescent="0.25">
      <c r="A184" s="252"/>
      <c r="B184" s="247"/>
      <c r="C184" s="239"/>
      <c r="D184" s="247"/>
      <c r="E184" s="253"/>
      <c r="F184" s="254"/>
      <c r="G184" s="255"/>
      <c r="H184" s="255"/>
      <c r="I184" s="250"/>
      <c r="J184" s="250"/>
      <c r="K184" s="250"/>
      <c r="L184" s="250"/>
      <c r="M184" s="253"/>
      <c r="N184" s="239"/>
      <c r="O184" s="256"/>
      <c r="P184" s="610"/>
      <c r="Q184" s="611"/>
      <c r="R184" s="611"/>
      <c r="S184" s="611">
        <f ca="1">IF(NOT(ISERROR(MATCH(R184,_xlfn.ANCHORARRAY(H195),0))),Q197&amp;"Por favor no seleccionar los criterios de impacto",R184)</f>
        <v>0</v>
      </c>
      <c r="T184" s="610"/>
      <c r="U184" s="611"/>
      <c r="V184" s="252"/>
      <c r="W184" s="194">
        <v>6</v>
      </c>
      <c r="X184" s="192"/>
      <c r="Y184" s="194" t="str">
        <f t="shared" si="214"/>
        <v/>
      </c>
      <c r="Z184" s="188"/>
      <c r="AA184" s="188"/>
      <c r="AB184" s="185" t="str">
        <f t="shared" si="224"/>
        <v/>
      </c>
      <c r="AC184" s="188"/>
      <c r="AD184" s="188"/>
      <c r="AE184" s="188"/>
      <c r="AF184" s="602" t="str">
        <f t="shared" si="243"/>
        <v/>
      </c>
      <c r="AG184" s="186" t="str">
        <f t="shared" si="216"/>
        <v/>
      </c>
      <c r="AH184" s="185" t="str">
        <f t="shared" si="217"/>
        <v/>
      </c>
      <c r="AI184" s="186" t="str">
        <f t="shared" si="218"/>
        <v/>
      </c>
      <c r="AJ184" s="185" t="str">
        <f t="shared" si="245"/>
        <v/>
      </c>
      <c r="AK184" s="187" t="str">
        <f t="shared" si="220"/>
        <v/>
      </c>
      <c r="AL184" s="603"/>
      <c r="AM184" s="189"/>
      <c r="AN184" s="194"/>
      <c r="AO184" s="190"/>
      <c r="AP184" s="190"/>
      <c r="AQ184" s="191"/>
      <c r="AR184" s="194"/>
    </row>
    <row r="185" spans="1:44" s="605" customFormat="1" ht="237.75" customHeight="1" x14ac:dyDescent="0.25">
      <c r="A185" s="252">
        <v>29</v>
      </c>
      <c r="B185" s="245" t="s">
        <v>711</v>
      </c>
      <c r="C185" s="238" t="s">
        <v>274</v>
      </c>
      <c r="D185" s="245" t="s">
        <v>712</v>
      </c>
      <c r="E185" s="253" t="s">
        <v>241</v>
      </c>
      <c r="F185" s="254" t="s">
        <v>713</v>
      </c>
      <c r="G185" s="254" t="s">
        <v>714</v>
      </c>
      <c r="H185" s="255" t="s">
        <v>715</v>
      </c>
      <c r="I185" s="248" t="s">
        <v>480</v>
      </c>
      <c r="J185" s="248" t="s">
        <v>480</v>
      </c>
      <c r="K185" s="248" t="s">
        <v>480</v>
      </c>
      <c r="L185" s="248" t="s">
        <v>480</v>
      </c>
      <c r="M185" s="253" t="s">
        <v>242</v>
      </c>
      <c r="N185" s="238"/>
      <c r="O185" s="256">
        <v>5001</v>
      </c>
      <c r="P185" s="610" t="str">
        <f t="shared" ref="P185:P239" si="246">IF(O185&lt;=0,"",IF(O185&lt;=2,"Muy Baja",IF(O185&lt;=24,"Baja",IF(O185&lt;=500,"Media",IF(O185&lt;=5000,"Alta","Muy Alta")))))</f>
        <v>Muy Alta</v>
      </c>
      <c r="Q185" s="611">
        <f t="shared" ref="Q185:Q239" si="247">IF(P185="","",IF(P185="Muy Baja",0.2,IF(P185="Baja",0.4,IF(P185="Media",0.6,IF(P185="Alta",0.8,IF(P185="Muy Alta",1,))))))</f>
        <v>1</v>
      </c>
      <c r="R185" s="611" t="s">
        <v>193</v>
      </c>
      <c r="S185" s="611" t="str">
        <f ca="1">IF(NOT(ISERROR(MATCH(R185,'Tabla Impacto'!$B$221:$B$223,0))),'Tabla Impacto'!$F$223&amp;"Por favor no seleccionar los criterios de impacto(Afectación Económica o presupuestal y Pérdida Reputacional)",R185)</f>
        <v>El riesgo afecta la imagen de la entidad con algunos usuarios de relevancia frente al logro de los objetivos</v>
      </c>
      <c r="T185" s="610" t="str">
        <f ca="1">+IF(OR(S185='[1]Tabla Impacto'!$C$11,S185='[1]Tabla Impacto'!$D$11),"Leve",IF(OR(S185='[1]Tabla Impacto'!$C$12,S185='[1]Tabla Impacto'!$D$12),"Menor",IF(OR(S185='[1]Tabla Impacto'!$C$13,S185='[1]Tabla Impacto'!$D$13),"Moderado",IF(OR(S185='[1]Tabla Impacto'!$C$14,S185='[1]Tabla Impacto'!$D$14),"Mayor",IF(OR(S185='[1]Tabla Impacto'!$C$15,S185='[1]Tabla Impacto'!$D$15),"Catastrófico","")))))</f>
        <v>Moderado</v>
      </c>
      <c r="U185" s="611">
        <f t="shared" ref="U185" ca="1" si="248">IF(T185="","",IF(T185="Leve",0.2,IF(T185="Menor",0.4,IF(T185="Moderado",0.6,IF(T185="Mayor",0.8,IF(T185="Catastrófico",1,))))))</f>
        <v>0.6</v>
      </c>
      <c r="V185" s="252" t="str">
        <f t="shared" ref="V185" ca="1" si="249">IF(OR(AND(P185="Muy Baja",T185="Leve"),AND(P185="Muy Baja",T185="Menor"),AND(P185="Baja",T185="Leve")),"Bajo",IF(OR(AND(P185="Muy baja",T185="Moderado"),AND(P185="Baja",T185="Menor"),AND(P185="Baja",T185="Moderado"),AND(P185="Media",T185="Leve"),AND(P185="Media",T185="Menor"),AND(P185="Media",T185="Moderado"),AND(P185="Alta",T185="Leve"),AND(P185="Alta",T185="Menor")),"Moderado",IF(OR(AND(P185="Muy Baja",T185="Mayor"),AND(P185="Baja",T185="Mayor"),AND(P185="Media",T185="Mayor"),AND(P185="Alta",T185="Moderado"),AND(P185="Alta",T185="Mayor"),AND(P185="Muy Alta",T185="Leve"),AND(P185="Muy Alta",T185="Menor"),AND(P185="Muy Alta",T185="Moderado"),AND(P185="Muy Alta",T185="Mayor")),"Alto",IF(OR(AND(P185="Muy Baja",T185="Catastrófico"),AND(P185="Baja",T185="Catastrófico"),AND(P185="Media",T185="Catastrófico"),AND(P185="Alta",T185="Catastrófico"),AND(P185="Muy Alta",T185="Catastrófico")),"Extremo",""))))</f>
        <v>Alto</v>
      </c>
      <c r="W185" s="194">
        <v>1</v>
      </c>
      <c r="X185" s="192" t="s">
        <v>716</v>
      </c>
      <c r="Y185" s="194" t="str">
        <f t="shared" ref="Y185:Y244" si="250">IF(OR(Z185="Preventivo",Z185="Detectivo"),"Probabilidad",IF(Z185="Correctivo","Impacto",""))</f>
        <v>Probabilidad</v>
      </c>
      <c r="Z185" s="188" t="s">
        <v>211</v>
      </c>
      <c r="AA185" s="188" t="s">
        <v>219</v>
      </c>
      <c r="AB185" s="185" t="str">
        <f t="shared" si="224"/>
        <v>40%</v>
      </c>
      <c r="AC185" s="188" t="s">
        <v>222</v>
      </c>
      <c r="AD185" s="188" t="s">
        <v>227</v>
      </c>
      <c r="AE185" s="188" t="s">
        <v>231</v>
      </c>
      <c r="AF185" s="602">
        <f t="shared" ref="AF185" si="251">IFERROR(IF(Y185="Probabilidad",(Q185-(+Q185*AB185)),IF(Y185="Impacto",Q185,"")),"")</f>
        <v>0.6</v>
      </c>
      <c r="AG185" s="186" t="str">
        <f t="shared" ref="AG185:AG244" si="252">IFERROR(IF(AF185="","",IF(AF185&lt;=0.2,"Muy Baja",IF(AF185&lt;=0.4,"Baja",IF(AF185&lt;=0.6,"Media",IF(AF185&lt;=0.8,"Alta","Muy Alta"))))),"")</f>
        <v>Media</v>
      </c>
      <c r="AH185" s="185">
        <f t="shared" ref="AH185:AH244" si="253">+AF185</f>
        <v>0.6</v>
      </c>
      <c r="AI185" s="186" t="str">
        <f t="shared" ref="AI185:AI244" ca="1" si="254">IFERROR(IF(AJ185="","",IF(AJ185&lt;=0.2,"Leve",IF(AJ185&lt;=0.4,"Menor",IF(AJ185&lt;=0.6,"Moderado",IF(AJ185&lt;=0.8,"Mayor","Catastrófico"))))),"")</f>
        <v>Moderado</v>
      </c>
      <c r="AJ185" s="185">
        <f t="shared" ref="AJ185" ca="1" si="255">IFERROR(IF(Y185="Impacto",(U185-(+U185*AB185)),IF(Y185="Probabilidad",U185,"")),"")</f>
        <v>0.6</v>
      </c>
      <c r="AK185" s="187" t="str">
        <f t="shared" ref="AK185:AK244" ca="1" si="256">IFERROR(IF(OR(AND(AG185="Muy Baja",AI185="Leve"),AND(AG185="Muy Baja",AI185="Menor"),AND(AG185="Baja",AI185="Leve")),"Bajo",IF(OR(AND(AG185="Muy baja",AI185="Moderado"),AND(AG185="Baja",AI185="Menor"),AND(AG185="Baja",AI185="Moderado"),AND(AG185="Media",AI185="Leve"),AND(AG185="Media",AI185="Menor"),AND(AG185="Media",AI185="Moderado"),AND(AG185="Alta",AI185="Leve"),AND(AG185="Alta",AI185="Menor")),"Moderado",IF(OR(AND(AG185="Muy Baja",AI185="Mayor"),AND(AG185="Baja",AI185="Mayor"),AND(AG185="Media",AI185="Mayor"),AND(AG185="Alta",AI185="Moderado"),AND(AG185="Alta",AI185="Mayor"),AND(AG185="Muy Alta",AI185="Leve"),AND(AG185="Muy Alta",AI185="Menor"),AND(AG185="Muy Alta",AI185="Moderado"),AND(AG185="Muy Alta",AI185="Mayor")),"Alto",IF(OR(AND(AG185="Muy Baja",AI185="Catastrófico"),AND(AG185="Baja",AI185="Catastrófico"),AND(AG185="Media",AI185="Catastrófico"),AND(AG185="Alta",AI185="Catastrófico"),AND(AG185="Muy Alta",AI185="Catastrófico")),"Extremo","")))),"")</f>
        <v>Moderado</v>
      </c>
      <c r="AL185" s="603" t="s">
        <v>258</v>
      </c>
      <c r="AM185" s="189"/>
      <c r="AN185" s="194"/>
      <c r="AO185" s="190"/>
      <c r="AP185" s="190"/>
      <c r="AQ185" s="191"/>
      <c r="AR185" s="194"/>
    </row>
    <row r="186" spans="1:44" s="605" customFormat="1" ht="69" hidden="1" customHeight="1" x14ac:dyDescent="0.25">
      <c r="A186" s="252"/>
      <c r="B186" s="246"/>
      <c r="C186" s="251"/>
      <c r="D186" s="246"/>
      <c r="E186" s="253"/>
      <c r="F186" s="254"/>
      <c r="G186" s="254"/>
      <c r="H186" s="255"/>
      <c r="I186" s="249"/>
      <c r="J186" s="249"/>
      <c r="K186" s="249"/>
      <c r="L186" s="249"/>
      <c r="M186" s="253"/>
      <c r="N186" s="251"/>
      <c r="O186" s="256"/>
      <c r="P186" s="610"/>
      <c r="Q186" s="611"/>
      <c r="R186" s="611"/>
      <c r="S186" s="611">
        <f ca="1">IF(NOT(ISERROR(MATCH(R186,_xlfn.ANCHORARRAY(H197),0))),Q199&amp;"Por favor no seleccionar los criterios de impacto",R186)</f>
        <v>0</v>
      </c>
      <c r="T186" s="610"/>
      <c r="U186" s="611"/>
      <c r="V186" s="252"/>
      <c r="W186" s="194">
        <v>2</v>
      </c>
      <c r="X186" s="192"/>
      <c r="Y186" s="194" t="str">
        <f t="shared" si="250"/>
        <v/>
      </c>
      <c r="Z186" s="188"/>
      <c r="AA186" s="188"/>
      <c r="AB186" s="185" t="str">
        <f t="shared" ref="AB186:AB246" si="257">IF(AND(Z186="Preventivo",AA186="Automático"),"50%",IF(AND(Z186="Preventivo",AA186="Manual"),"40%",IF(AND(Z186="Detectivo",AA186="Automático"),"40%",IF(AND(Z186="Detectivo",AA186="Manual"),"30%",IF(AND(Z186="Correctivo",AA186="Automático"),"35%",IF(AND(Z186="Correctivo",AA186="Manual"),"25%",""))))))</f>
        <v/>
      </c>
      <c r="AC186" s="188"/>
      <c r="AD186" s="188"/>
      <c r="AE186" s="188"/>
      <c r="AF186" s="602" t="str">
        <f t="shared" ref="AF186:AF190" si="258">IFERROR(IF(AND(Y185="Probabilidad",Y186="Probabilidad"),(AH185-(+AH185*AB186)),IF(Y186="Probabilidad",(Q185-(+Q185*AB186)),IF(Y186="Impacto",AH185,""))),"")</f>
        <v/>
      </c>
      <c r="AG186" s="186" t="str">
        <f t="shared" si="252"/>
        <v/>
      </c>
      <c r="AH186" s="185" t="str">
        <f t="shared" si="253"/>
        <v/>
      </c>
      <c r="AI186" s="186" t="str">
        <f t="shared" si="254"/>
        <v/>
      </c>
      <c r="AJ186" s="185" t="str">
        <f t="shared" ref="AJ186" si="259">IFERROR(IF(AND(Y185="Impacto",Y186="Impacto"),(AJ185-(+AJ185*AB186)),IF(Y186="Impacto",(U185-(+U185*AB186)),IF(Y186="Probabilidad",AJ185,""))),"")</f>
        <v/>
      </c>
      <c r="AK186" s="187" t="str">
        <f t="shared" si="256"/>
        <v/>
      </c>
      <c r="AL186" s="603"/>
      <c r="AM186" s="189"/>
      <c r="AN186" s="194"/>
      <c r="AO186" s="190"/>
      <c r="AP186" s="190"/>
      <c r="AQ186" s="191"/>
      <c r="AR186" s="194"/>
    </row>
    <row r="187" spans="1:44" s="605" customFormat="1" ht="69" hidden="1" customHeight="1" x14ac:dyDescent="0.25">
      <c r="A187" s="252"/>
      <c r="B187" s="246"/>
      <c r="C187" s="251"/>
      <c r="D187" s="246"/>
      <c r="E187" s="253"/>
      <c r="F187" s="254"/>
      <c r="G187" s="254"/>
      <c r="H187" s="255"/>
      <c r="I187" s="249"/>
      <c r="J187" s="249"/>
      <c r="K187" s="249"/>
      <c r="L187" s="249"/>
      <c r="M187" s="253"/>
      <c r="N187" s="251"/>
      <c r="O187" s="256"/>
      <c r="P187" s="610"/>
      <c r="Q187" s="611"/>
      <c r="R187" s="611"/>
      <c r="S187" s="611">
        <f ca="1">IF(NOT(ISERROR(MATCH(R187,_xlfn.ANCHORARRAY(H198),0))),Q200&amp;"Por favor no seleccionar los criterios de impacto",R187)</f>
        <v>0</v>
      </c>
      <c r="T187" s="610"/>
      <c r="U187" s="611"/>
      <c r="V187" s="252"/>
      <c r="W187" s="194">
        <v>3</v>
      </c>
      <c r="X187" s="192"/>
      <c r="Y187" s="194" t="str">
        <f t="shared" si="250"/>
        <v/>
      </c>
      <c r="Z187" s="188"/>
      <c r="AA187" s="188"/>
      <c r="AB187" s="185" t="str">
        <f t="shared" si="257"/>
        <v/>
      </c>
      <c r="AC187" s="188"/>
      <c r="AD187" s="188"/>
      <c r="AE187" s="188"/>
      <c r="AF187" s="602" t="str">
        <f t="shared" si="258"/>
        <v/>
      </c>
      <c r="AG187" s="186" t="str">
        <f t="shared" si="252"/>
        <v/>
      </c>
      <c r="AH187" s="185" t="str">
        <f t="shared" si="253"/>
        <v/>
      </c>
      <c r="AI187" s="186" t="str">
        <f t="shared" si="254"/>
        <v/>
      </c>
      <c r="AJ187" s="185" t="str">
        <f t="shared" ref="AJ187:AJ190" si="260">IFERROR(IF(AND(Y186="Impacto",Y187="Impacto"),(AJ186-(+AJ186*AB187)),IF(AND(Y186="Probabilidad",Y187="Impacto"),(AJ185-(+AJ185*AB187)),IF(Y187="Probabilidad",AJ186,""))),"")</f>
        <v/>
      </c>
      <c r="AK187" s="187" t="str">
        <f t="shared" si="256"/>
        <v/>
      </c>
      <c r="AL187" s="603"/>
      <c r="AM187" s="189"/>
      <c r="AN187" s="194"/>
      <c r="AO187" s="190"/>
      <c r="AP187" s="190"/>
      <c r="AQ187" s="191"/>
      <c r="AR187" s="194"/>
    </row>
    <row r="188" spans="1:44" s="605" customFormat="1" ht="69" hidden="1" customHeight="1" x14ac:dyDescent="0.25">
      <c r="A188" s="252"/>
      <c r="B188" s="246"/>
      <c r="C188" s="251"/>
      <c r="D188" s="246"/>
      <c r="E188" s="253"/>
      <c r="F188" s="254"/>
      <c r="G188" s="254"/>
      <c r="H188" s="255"/>
      <c r="I188" s="249"/>
      <c r="J188" s="249"/>
      <c r="K188" s="249"/>
      <c r="L188" s="249"/>
      <c r="M188" s="253"/>
      <c r="N188" s="251"/>
      <c r="O188" s="256"/>
      <c r="P188" s="610"/>
      <c r="Q188" s="611"/>
      <c r="R188" s="611"/>
      <c r="S188" s="611">
        <f ca="1">IF(NOT(ISERROR(MATCH(R188,_xlfn.ANCHORARRAY(H199),0))),Q201&amp;"Por favor no seleccionar los criterios de impacto",R188)</f>
        <v>0</v>
      </c>
      <c r="T188" s="610"/>
      <c r="U188" s="611"/>
      <c r="V188" s="252"/>
      <c r="W188" s="194">
        <v>4</v>
      </c>
      <c r="X188" s="192"/>
      <c r="Y188" s="194" t="str">
        <f t="shared" si="250"/>
        <v/>
      </c>
      <c r="Z188" s="188"/>
      <c r="AA188" s="188"/>
      <c r="AB188" s="185" t="str">
        <f t="shared" si="257"/>
        <v/>
      </c>
      <c r="AC188" s="188"/>
      <c r="AD188" s="188"/>
      <c r="AE188" s="188"/>
      <c r="AF188" s="602" t="str">
        <f t="shared" si="258"/>
        <v/>
      </c>
      <c r="AG188" s="186" t="str">
        <f t="shared" si="252"/>
        <v/>
      </c>
      <c r="AH188" s="185" t="str">
        <f t="shared" si="253"/>
        <v/>
      </c>
      <c r="AI188" s="186" t="str">
        <f t="shared" si="254"/>
        <v/>
      </c>
      <c r="AJ188" s="185" t="str">
        <f t="shared" si="260"/>
        <v/>
      </c>
      <c r="AK188" s="187" t="str">
        <f t="shared" si="256"/>
        <v/>
      </c>
      <c r="AL188" s="603"/>
      <c r="AM188" s="189"/>
      <c r="AN188" s="194"/>
      <c r="AO188" s="190"/>
      <c r="AP188" s="190"/>
      <c r="AQ188" s="191"/>
      <c r="AR188" s="194"/>
    </row>
    <row r="189" spans="1:44" s="605" customFormat="1" ht="69" hidden="1" customHeight="1" x14ac:dyDescent="0.25">
      <c r="A189" s="252"/>
      <c r="B189" s="246"/>
      <c r="C189" s="251"/>
      <c r="D189" s="246"/>
      <c r="E189" s="253"/>
      <c r="F189" s="254"/>
      <c r="G189" s="254"/>
      <c r="H189" s="255"/>
      <c r="I189" s="249"/>
      <c r="J189" s="249"/>
      <c r="K189" s="249"/>
      <c r="L189" s="249"/>
      <c r="M189" s="253"/>
      <c r="N189" s="251"/>
      <c r="O189" s="256"/>
      <c r="P189" s="610"/>
      <c r="Q189" s="611"/>
      <c r="R189" s="611"/>
      <c r="S189" s="611">
        <f ca="1">IF(NOT(ISERROR(MATCH(R189,_xlfn.ANCHORARRAY(H200),0))),Q202&amp;"Por favor no seleccionar los criterios de impacto",R189)</f>
        <v>0</v>
      </c>
      <c r="T189" s="610"/>
      <c r="U189" s="611"/>
      <c r="V189" s="252"/>
      <c r="W189" s="194">
        <v>5</v>
      </c>
      <c r="X189" s="192"/>
      <c r="Y189" s="194" t="str">
        <f t="shared" si="250"/>
        <v/>
      </c>
      <c r="Z189" s="188"/>
      <c r="AA189" s="188"/>
      <c r="AB189" s="185" t="str">
        <f t="shared" si="257"/>
        <v/>
      </c>
      <c r="AC189" s="188"/>
      <c r="AD189" s="188"/>
      <c r="AE189" s="188"/>
      <c r="AF189" s="602" t="str">
        <f t="shared" si="258"/>
        <v/>
      </c>
      <c r="AG189" s="186" t="str">
        <f t="shared" si="252"/>
        <v/>
      </c>
      <c r="AH189" s="185" t="str">
        <f t="shared" si="253"/>
        <v/>
      </c>
      <c r="AI189" s="186" t="str">
        <f t="shared" si="254"/>
        <v/>
      </c>
      <c r="AJ189" s="185" t="str">
        <f t="shared" si="260"/>
        <v/>
      </c>
      <c r="AK189" s="187" t="str">
        <f t="shared" si="256"/>
        <v/>
      </c>
      <c r="AL189" s="603"/>
      <c r="AM189" s="189"/>
      <c r="AN189" s="194"/>
      <c r="AO189" s="190"/>
      <c r="AP189" s="190"/>
      <c r="AQ189" s="191"/>
      <c r="AR189" s="194"/>
    </row>
    <row r="190" spans="1:44" s="605" customFormat="1" ht="69" hidden="1" customHeight="1" x14ac:dyDescent="0.25">
      <c r="A190" s="252"/>
      <c r="B190" s="247"/>
      <c r="C190" s="239"/>
      <c r="D190" s="247"/>
      <c r="E190" s="253"/>
      <c r="F190" s="254"/>
      <c r="G190" s="254"/>
      <c r="H190" s="255"/>
      <c r="I190" s="250"/>
      <c r="J190" s="250"/>
      <c r="K190" s="250"/>
      <c r="L190" s="250"/>
      <c r="M190" s="253"/>
      <c r="N190" s="239"/>
      <c r="O190" s="256"/>
      <c r="P190" s="610"/>
      <c r="Q190" s="611"/>
      <c r="R190" s="611"/>
      <c r="S190" s="611">
        <f ca="1">IF(NOT(ISERROR(MATCH(R190,_xlfn.ANCHORARRAY(H201),0))),Q203&amp;"Por favor no seleccionar los criterios de impacto",R190)</f>
        <v>0</v>
      </c>
      <c r="T190" s="610"/>
      <c r="U190" s="611"/>
      <c r="V190" s="252"/>
      <c r="W190" s="194">
        <v>6</v>
      </c>
      <c r="X190" s="192"/>
      <c r="Y190" s="194" t="str">
        <f t="shared" si="250"/>
        <v/>
      </c>
      <c r="Z190" s="188"/>
      <c r="AA190" s="188"/>
      <c r="AB190" s="185" t="str">
        <f t="shared" si="257"/>
        <v/>
      </c>
      <c r="AC190" s="188"/>
      <c r="AD190" s="188"/>
      <c r="AE190" s="188"/>
      <c r="AF190" s="602" t="str">
        <f t="shared" si="258"/>
        <v/>
      </c>
      <c r="AG190" s="186" t="str">
        <f t="shared" si="252"/>
        <v/>
      </c>
      <c r="AH190" s="185" t="str">
        <f t="shared" si="253"/>
        <v/>
      </c>
      <c r="AI190" s="186" t="str">
        <f t="shared" si="254"/>
        <v/>
      </c>
      <c r="AJ190" s="185" t="str">
        <f t="shared" si="260"/>
        <v/>
      </c>
      <c r="AK190" s="187" t="str">
        <f t="shared" si="256"/>
        <v/>
      </c>
      <c r="AL190" s="603"/>
      <c r="AM190" s="189"/>
      <c r="AN190" s="194"/>
      <c r="AO190" s="190"/>
      <c r="AP190" s="190"/>
      <c r="AQ190" s="191"/>
      <c r="AR190" s="194"/>
    </row>
    <row r="191" spans="1:44" s="605" customFormat="1" ht="164.25" customHeight="1" x14ac:dyDescent="0.25">
      <c r="A191" s="252">
        <v>30</v>
      </c>
      <c r="B191" s="245" t="s">
        <v>717</v>
      </c>
      <c r="C191" s="238" t="s">
        <v>274</v>
      </c>
      <c r="D191" s="238" t="s">
        <v>718</v>
      </c>
      <c r="E191" s="253" t="s">
        <v>243</v>
      </c>
      <c r="F191" s="254" t="s">
        <v>719</v>
      </c>
      <c r="G191" s="254" t="s">
        <v>720</v>
      </c>
      <c r="H191" s="255" t="s">
        <v>721</v>
      </c>
      <c r="I191" s="248" t="s">
        <v>688</v>
      </c>
      <c r="J191" s="248" t="s">
        <v>688</v>
      </c>
      <c r="K191" s="248" t="s">
        <v>688</v>
      </c>
      <c r="L191" s="248" t="s">
        <v>688</v>
      </c>
      <c r="M191" s="616" t="s">
        <v>247</v>
      </c>
      <c r="N191" s="238"/>
      <c r="O191" s="256">
        <v>5001</v>
      </c>
      <c r="P191" s="610" t="str">
        <f t="shared" si="246"/>
        <v>Muy Alta</v>
      </c>
      <c r="Q191" s="611">
        <f t="shared" si="247"/>
        <v>1</v>
      </c>
      <c r="R191" s="611" t="s">
        <v>193</v>
      </c>
      <c r="S191" s="611" t="str">
        <f ca="1">IF(NOT(ISERROR(MATCH(R191,'Tabla Impacto'!$B$221:$B$223,0))),'Tabla Impacto'!$F$223&amp;"Por favor no seleccionar los criterios de impacto(Afectación Económica o presupuestal y Pérdida Reputacional)",R191)</f>
        <v>El riesgo afecta la imagen de la entidad con algunos usuarios de relevancia frente al logro de los objetivos</v>
      </c>
      <c r="T191" s="610" t="str">
        <f ca="1">+IF(OR(S191='[1]Tabla Impacto'!$C$11,S191='[1]Tabla Impacto'!$D$11),"Leve",IF(OR(S191='[1]Tabla Impacto'!$C$12,S191='[1]Tabla Impacto'!$D$12),"Menor",IF(OR(S191='[1]Tabla Impacto'!$C$13,S191='[1]Tabla Impacto'!$D$13),"Moderado",IF(OR(S191='[1]Tabla Impacto'!$C$14,S191='[1]Tabla Impacto'!$D$14),"Mayor",IF(OR(S191='[1]Tabla Impacto'!$C$15,S191='[1]Tabla Impacto'!$D$15),"Catastrófico","")))))</f>
        <v>Moderado</v>
      </c>
      <c r="U191" s="611">
        <f t="shared" ref="U191" ca="1" si="261">IF(T191="","",IF(T191="Leve",0.2,IF(T191="Menor",0.4,IF(T191="Moderado",0.6,IF(T191="Mayor",0.8,IF(T191="Catastrófico",1,))))))</f>
        <v>0.6</v>
      </c>
      <c r="V191" s="252" t="str">
        <f t="shared" ref="V191" ca="1" si="262">IF(OR(AND(P191="Muy Baja",T191="Leve"),AND(P191="Muy Baja",T191="Menor"),AND(P191="Baja",T191="Leve")),"Bajo",IF(OR(AND(P191="Muy baja",T191="Moderado"),AND(P191="Baja",T191="Menor"),AND(P191="Baja",T191="Moderado"),AND(P191="Media",T191="Leve"),AND(P191="Media",T191="Menor"),AND(P191="Media",T191="Moderado"),AND(P191="Alta",T191="Leve"),AND(P191="Alta",T191="Menor")),"Moderado",IF(OR(AND(P191="Muy Baja",T191="Mayor"),AND(P191="Baja",T191="Mayor"),AND(P191="Media",T191="Mayor"),AND(P191="Alta",T191="Moderado"),AND(P191="Alta",T191="Mayor"),AND(P191="Muy Alta",T191="Leve"),AND(P191="Muy Alta",T191="Menor"),AND(P191="Muy Alta",T191="Moderado"),AND(P191="Muy Alta",T191="Mayor")),"Alto",IF(OR(AND(P191="Muy Baja",T191="Catastrófico"),AND(P191="Baja",T191="Catastrófico"),AND(P191="Media",T191="Catastrófico"),AND(P191="Alta",T191="Catastrófico"),AND(P191="Muy Alta",T191="Catastrófico")),"Extremo",""))))</f>
        <v>Alto</v>
      </c>
      <c r="W191" s="194">
        <v>1</v>
      </c>
      <c r="X191" s="192" t="s">
        <v>722</v>
      </c>
      <c r="Y191" s="194" t="str">
        <f t="shared" si="250"/>
        <v>Probabilidad</v>
      </c>
      <c r="Z191" s="188" t="s">
        <v>211</v>
      </c>
      <c r="AA191" s="188" t="s">
        <v>219</v>
      </c>
      <c r="AB191" s="185" t="str">
        <f t="shared" si="257"/>
        <v>40%</v>
      </c>
      <c r="AC191" s="188" t="s">
        <v>222</v>
      </c>
      <c r="AD191" s="188" t="s">
        <v>227</v>
      </c>
      <c r="AE191" s="188" t="s">
        <v>231</v>
      </c>
      <c r="AF191" s="602">
        <f t="shared" ref="AF191" si="263">IFERROR(IF(Y191="Probabilidad",(Q191-(+Q191*AB191)),IF(Y191="Impacto",Q191,"")),"")</f>
        <v>0.6</v>
      </c>
      <c r="AG191" s="186" t="str">
        <f t="shared" si="252"/>
        <v>Media</v>
      </c>
      <c r="AH191" s="185">
        <f t="shared" si="253"/>
        <v>0.6</v>
      </c>
      <c r="AI191" s="186" t="str">
        <f t="shared" ca="1" si="254"/>
        <v>Moderado</v>
      </c>
      <c r="AJ191" s="185">
        <f t="shared" ref="AJ191" ca="1" si="264">IFERROR(IF(Y191="Impacto",(U191-(+U191*AB191)),IF(Y191="Probabilidad",U191,"")),"")</f>
        <v>0.6</v>
      </c>
      <c r="AK191" s="187" t="str">
        <f t="shared" ca="1" si="256"/>
        <v>Moderado</v>
      </c>
      <c r="AL191" s="603" t="s">
        <v>258</v>
      </c>
      <c r="AM191" s="189"/>
      <c r="AN191" s="194"/>
      <c r="AO191" s="190"/>
      <c r="AP191" s="190"/>
      <c r="AQ191" s="191"/>
      <c r="AR191" s="194"/>
    </row>
    <row r="192" spans="1:44" s="605" customFormat="1" ht="69" hidden="1" customHeight="1" x14ac:dyDescent="0.25">
      <c r="A192" s="252"/>
      <c r="B192" s="246"/>
      <c r="C192" s="251"/>
      <c r="D192" s="246"/>
      <c r="E192" s="253"/>
      <c r="F192" s="254"/>
      <c r="G192" s="254"/>
      <c r="H192" s="255"/>
      <c r="I192" s="249"/>
      <c r="J192" s="249"/>
      <c r="K192" s="249"/>
      <c r="L192" s="249"/>
      <c r="M192" s="616"/>
      <c r="N192" s="251"/>
      <c r="O192" s="256"/>
      <c r="P192" s="610"/>
      <c r="Q192" s="611"/>
      <c r="R192" s="611"/>
      <c r="S192" s="611">
        <f ca="1">IF(NOT(ISERROR(MATCH(R192,_xlfn.ANCHORARRAY(H203),0))),Q205&amp;"Por favor no seleccionar los criterios de impacto",R192)</f>
        <v>0</v>
      </c>
      <c r="T192" s="610"/>
      <c r="U192" s="611"/>
      <c r="V192" s="252"/>
      <c r="W192" s="194">
        <v>2</v>
      </c>
      <c r="X192" s="192"/>
      <c r="Y192" s="194" t="str">
        <f t="shared" si="250"/>
        <v/>
      </c>
      <c r="Z192" s="188"/>
      <c r="AA192" s="188"/>
      <c r="AB192" s="185" t="str">
        <f t="shared" si="257"/>
        <v/>
      </c>
      <c r="AC192" s="188"/>
      <c r="AD192" s="188"/>
      <c r="AE192" s="188"/>
      <c r="AF192" s="602" t="str">
        <f t="shared" ref="AF192:AF196" si="265">IFERROR(IF(AND(Y191="Probabilidad",Y192="Probabilidad"),(AH191-(+AH191*AB192)),IF(Y192="Probabilidad",(Q191-(+Q191*AB192)),IF(Y192="Impacto",AH191,""))),"")</f>
        <v/>
      </c>
      <c r="AG192" s="186" t="str">
        <f t="shared" si="252"/>
        <v/>
      </c>
      <c r="AH192" s="185" t="str">
        <f t="shared" si="253"/>
        <v/>
      </c>
      <c r="AI192" s="186" t="str">
        <f t="shared" si="254"/>
        <v/>
      </c>
      <c r="AJ192" s="185" t="str">
        <f t="shared" ref="AJ192" si="266">IFERROR(IF(AND(Y191="Impacto",Y192="Impacto"),(AJ191-(+AJ191*AB192)),IF(Y192="Impacto",(U191-(+U191*AB192)),IF(Y192="Probabilidad",AJ191,""))),"")</f>
        <v/>
      </c>
      <c r="AK192" s="187" t="str">
        <f t="shared" si="256"/>
        <v/>
      </c>
      <c r="AL192" s="603"/>
      <c r="AM192" s="189"/>
      <c r="AN192" s="194"/>
      <c r="AO192" s="190"/>
      <c r="AP192" s="190"/>
      <c r="AQ192" s="191"/>
      <c r="AR192" s="194"/>
    </row>
    <row r="193" spans="1:44" s="605" customFormat="1" ht="69" hidden="1" customHeight="1" x14ac:dyDescent="0.25">
      <c r="A193" s="252"/>
      <c r="B193" s="246"/>
      <c r="C193" s="251"/>
      <c r="D193" s="246"/>
      <c r="E193" s="253"/>
      <c r="F193" s="254"/>
      <c r="G193" s="254"/>
      <c r="H193" s="255"/>
      <c r="I193" s="249"/>
      <c r="J193" s="249"/>
      <c r="K193" s="249"/>
      <c r="L193" s="249"/>
      <c r="M193" s="616"/>
      <c r="N193" s="251"/>
      <c r="O193" s="256"/>
      <c r="P193" s="610"/>
      <c r="Q193" s="611"/>
      <c r="R193" s="611"/>
      <c r="S193" s="611">
        <f ca="1">IF(NOT(ISERROR(MATCH(R193,_xlfn.ANCHORARRAY(H204),0))),Q206&amp;"Por favor no seleccionar los criterios de impacto",R193)</f>
        <v>0</v>
      </c>
      <c r="T193" s="610"/>
      <c r="U193" s="611"/>
      <c r="V193" s="252"/>
      <c r="W193" s="194">
        <v>3</v>
      </c>
      <c r="X193" s="192"/>
      <c r="Y193" s="194" t="str">
        <f t="shared" si="250"/>
        <v/>
      </c>
      <c r="Z193" s="188"/>
      <c r="AA193" s="188"/>
      <c r="AB193" s="185" t="str">
        <f t="shared" si="257"/>
        <v/>
      </c>
      <c r="AC193" s="188"/>
      <c r="AD193" s="188"/>
      <c r="AE193" s="188"/>
      <c r="AF193" s="602" t="str">
        <f t="shared" si="265"/>
        <v/>
      </c>
      <c r="AG193" s="186" t="str">
        <f t="shared" si="252"/>
        <v/>
      </c>
      <c r="AH193" s="185" t="str">
        <f t="shared" si="253"/>
        <v/>
      </c>
      <c r="AI193" s="186" t="str">
        <f t="shared" si="254"/>
        <v/>
      </c>
      <c r="AJ193" s="185" t="str">
        <f t="shared" ref="AJ193:AJ196" si="267">IFERROR(IF(AND(Y192="Impacto",Y193="Impacto"),(AJ192-(+AJ192*AB193)),IF(AND(Y192="Probabilidad",Y193="Impacto"),(AJ191-(+AJ191*AB193)),IF(Y193="Probabilidad",AJ192,""))),"")</f>
        <v/>
      </c>
      <c r="AK193" s="187" t="str">
        <f t="shared" si="256"/>
        <v/>
      </c>
      <c r="AL193" s="603"/>
      <c r="AM193" s="189"/>
      <c r="AN193" s="194"/>
      <c r="AO193" s="190"/>
      <c r="AP193" s="190"/>
      <c r="AQ193" s="191"/>
      <c r="AR193" s="194"/>
    </row>
    <row r="194" spans="1:44" s="605" customFormat="1" ht="69" hidden="1" customHeight="1" x14ac:dyDescent="0.25">
      <c r="A194" s="252"/>
      <c r="B194" s="246"/>
      <c r="C194" s="251"/>
      <c r="D194" s="246"/>
      <c r="E194" s="253"/>
      <c r="F194" s="254"/>
      <c r="G194" s="254"/>
      <c r="H194" s="255"/>
      <c r="I194" s="249"/>
      <c r="J194" s="249"/>
      <c r="K194" s="249"/>
      <c r="L194" s="249"/>
      <c r="M194" s="616"/>
      <c r="N194" s="251"/>
      <c r="O194" s="256"/>
      <c r="P194" s="610"/>
      <c r="Q194" s="611"/>
      <c r="R194" s="611"/>
      <c r="S194" s="611">
        <f ca="1">IF(NOT(ISERROR(MATCH(R194,_xlfn.ANCHORARRAY(H205),0))),Q207&amp;"Por favor no seleccionar los criterios de impacto",R194)</f>
        <v>0</v>
      </c>
      <c r="T194" s="610"/>
      <c r="U194" s="611"/>
      <c r="V194" s="252"/>
      <c r="W194" s="194">
        <v>4</v>
      </c>
      <c r="X194" s="192"/>
      <c r="Y194" s="194" t="str">
        <f t="shared" si="250"/>
        <v/>
      </c>
      <c r="Z194" s="188"/>
      <c r="AA194" s="188"/>
      <c r="AB194" s="185" t="str">
        <f t="shared" si="257"/>
        <v/>
      </c>
      <c r="AC194" s="188"/>
      <c r="AD194" s="188"/>
      <c r="AE194" s="188"/>
      <c r="AF194" s="602" t="str">
        <f t="shared" si="265"/>
        <v/>
      </c>
      <c r="AG194" s="186" t="str">
        <f t="shared" si="252"/>
        <v/>
      </c>
      <c r="AH194" s="185" t="str">
        <f t="shared" si="253"/>
        <v/>
      </c>
      <c r="AI194" s="186" t="str">
        <f t="shared" si="254"/>
        <v/>
      </c>
      <c r="AJ194" s="185" t="str">
        <f t="shared" si="267"/>
        <v/>
      </c>
      <c r="AK194" s="187" t="str">
        <f t="shared" si="256"/>
        <v/>
      </c>
      <c r="AL194" s="603"/>
      <c r="AM194" s="189"/>
      <c r="AN194" s="194"/>
      <c r="AO194" s="190"/>
      <c r="AP194" s="190"/>
      <c r="AQ194" s="191"/>
      <c r="AR194" s="194"/>
    </row>
    <row r="195" spans="1:44" s="605" customFormat="1" ht="69" hidden="1" customHeight="1" x14ac:dyDescent="0.25">
      <c r="A195" s="252"/>
      <c r="B195" s="246"/>
      <c r="C195" s="251"/>
      <c r="D195" s="246"/>
      <c r="E195" s="253"/>
      <c r="F195" s="254"/>
      <c r="G195" s="254"/>
      <c r="H195" s="255"/>
      <c r="I195" s="249"/>
      <c r="J195" s="249"/>
      <c r="K195" s="249"/>
      <c r="L195" s="249"/>
      <c r="M195" s="616"/>
      <c r="N195" s="251"/>
      <c r="O195" s="256"/>
      <c r="P195" s="610"/>
      <c r="Q195" s="611"/>
      <c r="R195" s="611"/>
      <c r="S195" s="611">
        <f ca="1">IF(NOT(ISERROR(MATCH(R195,_xlfn.ANCHORARRAY(H206),0))),Q208&amp;"Por favor no seleccionar los criterios de impacto",R195)</f>
        <v>0</v>
      </c>
      <c r="T195" s="610"/>
      <c r="U195" s="611"/>
      <c r="V195" s="252"/>
      <c r="W195" s="194">
        <v>5</v>
      </c>
      <c r="X195" s="192"/>
      <c r="Y195" s="194" t="str">
        <f t="shared" si="250"/>
        <v/>
      </c>
      <c r="Z195" s="188"/>
      <c r="AA195" s="188"/>
      <c r="AB195" s="185" t="str">
        <f t="shared" si="257"/>
        <v/>
      </c>
      <c r="AC195" s="188"/>
      <c r="AD195" s="188"/>
      <c r="AE195" s="188"/>
      <c r="AF195" s="602" t="str">
        <f t="shared" si="265"/>
        <v/>
      </c>
      <c r="AG195" s="186" t="str">
        <f t="shared" si="252"/>
        <v/>
      </c>
      <c r="AH195" s="185" t="str">
        <f t="shared" si="253"/>
        <v/>
      </c>
      <c r="AI195" s="186" t="str">
        <f t="shared" si="254"/>
        <v/>
      </c>
      <c r="AJ195" s="185" t="str">
        <f t="shared" si="267"/>
        <v/>
      </c>
      <c r="AK195" s="187" t="str">
        <f t="shared" si="256"/>
        <v/>
      </c>
      <c r="AL195" s="603"/>
      <c r="AM195" s="189"/>
      <c r="AN195" s="194"/>
      <c r="AO195" s="190"/>
      <c r="AP195" s="190"/>
      <c r="AQ195" s="191"/>
      <c r="AR195" s="194"/>
    </row>
    <row r="196" spans="1:44" s="605" customFormat="1" ht="69" hidden="1" customHeight="1" x14ac:dyDescent="0.25">
      <c r="A196" s="252"/>
      <c r="B196" s="247"/>
      <c r="C196" s="239"/>
      <c r="D196" s="247"/>
      <c r="E196" s="253"/>
      <c r="F196" s="254"/>
      <c r="G196" s="254"/>
      <c r="H196" s="255"/>
      <c r="I196" s="250"/>
      <c r="J196" s="250"/>
      <c r="K196" s="250"/>
      <c r="L196" s="250"/>
      <c r="M196" s="616"/>
      <c r="N196" s="239"/>
      <c r="O196" s="256"/>
      <c r="P196" s="610"/>
      <c r="Q196" s="611"/>
      <c r="R196" s="611"/>
      <c r="S196" s="611">
        <f ca="1">IF(NOT(ISERROR(MATCH(R196,_xlfn.ANCHORARRAY(H207),0))),Q209&amp;"Por favor no seleccionar los criterios de impacto",R196)</f>
        <v>0</v>
      </c>
      <c r="T196" s="610"/>
      <c r="U196" s="611"/>
      <c r="V196" s="252"/>
      <c r="W196" s="194">
        <v>6</v>
      </c>
      <c r="X196" s="192"/>
      <c r="Y196" s="194" t="str">
        <f t="shared" si="250"/>
        <v/>
      </c>
      <c r="Z196" s="188"/>
      <c r="AA196" s="188"/>
      <c r="AB196" s="185" t="str">
        <f t="shared" si="257"/>
        <v/>
      </c>
      <c r="AC196" s="188"/>
      <c r="AD196" s="188"/>
      <c r="AE196" s="188"/>
      <c r="AF196" s="602" t="str">
        <f t="shared" si="265"/>
        <v/>
      </c>
      <c r="AG196" s="186" t="str">
        <f t="shared" si="252"/>
        <v/>
      </c>
      <c r="AH196" s="185" t="str">
        <f t="shared" si="253"/>
        <v/>
      </c>
      <c r="AI196" s="186" t="str">
        <f t="shared" si="254"/>
        <v/>
      </c>
      <c r="AJ196" s="185" t="str">
        <f t="shared" si="267"/>
        <v/>
      </c>
      <c r="AK196" s="187" t="str">
        <f t="shared" si="256"/>
        <v/>
      </c>
      <c r="AL196" s="603"/>
      <c r="AM196" s="189"/>
      <c r="AN196" s="194"/>
      <c r="AO196" s="190"/>
      <c r="AP196" s="190"/>
      <c r="AQ196" s="191"/>
      <c r="AR196" s="194"/>
    </row>
    <row r="197" spans="1:44" s="605" customFormat="1" ht="183.75" customHeight="1" x14ac:dyDescent="0.25">
      <c r="A197" s="252">
        <v>31</v>
      </c>
      <c r="B197" s="245" t="s">
        <v>723</v>
      </c>
      <c r="C197" s="238" t="s">
        <v>274</v>
      </c>
      <c r="D197" s="238" t="s">
        <v>724</v>
      </c>
      <c r="E197" s="253" t="s">
        <v>243</v>
      </c>
      <c r="F197" s="254" t="s">
        <v>635</v>
      </c>
      <c r="G197" s="254" t="s">
        <v>725</v>
      </c>
      <c r="H197" s="255" t="s">
        <v>726</v>
      </c>
      <c r="I197" s="248" t="s">
        <v>480</v>
      </c>
      <c r="J197" s="248" t="s">
        <v>480</v>
      </c>
      <c r="K197" s="248" t="s">
        <v>480</v>
      </c>
      <c r="L197" s="248" t="s">
        <v>480</v>
      </c>
      <c r="M197" s="253" t="s">
        <v>244</v>
      </c>
      <c r="N197" s="238"/>
      <c r="O197" s="256">
        <v>5001</v>
      </c>
      <c r="P197" s="610" t="str">
        <f t="shared" si="246"/>
        <v>Muy Alta</v>
      </c>
      <c r="Q197" s="611">
        <f t="shared" si="247"/>
        <v>1</v>
      </c>
      <c r="R197" s="611" t="s">
        <v>193</v>
      </c>
      <c r="S197" s="611" t="str">
        <f ca="1">IF(NOT(ISERROR(MATCH(R197,'Tabla Impacto'!$B$221:$B$223,0))),'Tabla Impacto'!$F$223&amp;"Por favor no seleccionar los criterios de impacto(Afectación Económica o presupuestal y Pérdida Reputacional)",R197)</f>
        <v>El riesgo afecta la imagen de la entidad con algunos usuarios de relevancia frente al logro de los objetivos</v>
      </c>
      <c r="T197" s="610" t="str">
        <f ca="1">+IF(OR(S197='[1]Tabla Impacto'!$C$11,S197='[1]Tabla Impacto'!$D$11),"Leve",IF(OR(S197='[1]Tabla Impacto'!$C$12,S197='[1]Tabla Impacto'!$D$12),"Menor",IF(OR(S197='[1]Tabla Impacto'!$C$13,S197='[1]Tabla Impacto'!$D$13),"Moderado",IF(OR(S197='[1]Tabla Impacto'!$C$14,S197='[1]Tabla Impacto'!$D$14),"Mayor",IF(OR(S197='[1]Tabla Impacto'!$C$15,S197='[1]Tabla Impacto'!$D$15),"Catastrófico","")))))</f>
        <v>Moderado</v>
      </c>
      <c r="U197" s="611">
        <f t="shared" ref="U197" ca="1" si="268">IF(T197="","",IF(T197="Leve",0.2,IF(T197="Menor",0.4,IF(T197="Moderado",0.6,IF(T197="Mayor",0.8,IF(T197="Catastrófico",1,))))))</f>
        <v>0.6</v>
      </c>
      <c r="V197" s="252" t="str">
        <f t="shared" ref="V197" ca="1" si="269">IF(OR(AND(P197="Muy Baja",T197="Leve"),AND(P197="Muy Baja",T197="Menor"),AND(P197="Baja",T197="Leve")),"Bajo",IF(OR(AND(P197="Muy baja",T197="Moderado"),AND(P197="Baja",T197="Menor"),AND(P197="Baja",T197="Moderado"),AND(P197="Media",T197="Leve"),AND(P197="Media",T197="Menor"),AND(P197="Media",T197="Moderado"),AND(P197="Alta",T197="Leve"),AND(P197="Alta",T197="Menor")),"Moderado",IF(OR(AND(P197="Muy Baja",T197="Mayor"),AND(P197="Baja",T197="Mayor"),AND(P197="Media",T197="Mayor"),AND(P197="Alta",T197="Moderado"),AND(P197="Alta",T197="Mayor"),AND(P197="Muy Alta",T197="Leve"),AND(P197="Muy Alta",T197="Menor"),AND(P197="Muy Alta",T197="Moderado"),AND(P197="Muy Alta",T197="Mayor")),"Alto",IF(OR(AND(P197="Muy Baja",T197="Catastrófico"),AND(P197="Baja",T197="Catastrófico"),AND(P197="Media",T197="Catastrófico"),AND(P197="Alta",T197="Catastrófico"),AND(P197="Muy Alta",T197="Catastrófico")),"Extremo",""))))</f>
        <v>Alto</v>
      </c>
      <c r="W197" s="194">
        <v>1</v>
      </c>
      <c r="X197" s="192" t="s">
        <v>727</v>
      </c>
      <c r="Y197" s="194" t="str">
        <f t="shared" si="250"/>
        <v>Probabilidad</v>
      </c>
      <c r="Z197" s="188" t="s">
        <v>211</v>
      </c>
      <c r="AA197" s="188" t="s">
        <v>219</v>
      </c>
      <c r="AB197" s="185" t="str">
        <f t="shared" si="257"/>
        <v>40%</v>
      </c>
      <c r="AC197" s="188" t="s">
        <v>222</v>
      </c>
      <c r="AD197" s="188" t="s">
        <v>227</v>
      </c>
      <c r="AE197" s="188" t="s">
        <v>231</v>
      </c>
      <c r="AF197" s="602">
        <f t="shared" ref="AF197" si="270">IFERROR(IF(Y197="Probabilidad",(Q197-(+Q197*AB197)),IF(Y197="Impacto",Q197,"")),"")</f>
        <v>0.6</v>
      </c>
      <c r="AG197" s="186" t="str">
        <f t="shared" si="252"/>
        <v>Media</v>
      </c>
      <c r="AH197" s="185">
        <f t="shared" si="253"/>
        <v>0.6</v>
      </c>
      <c r="AI197" s="186" t="str">
        <f t="shared" ca="1" si="254"/>
        <v>Moderado</v>
      </c>
      <c r="AJ197" s="185">
        <f t="shared" ref="AJ197" ca="1" si="271">IFERROR(IF(Y197="Impacto",(U197-(+U197*AB197)),IF(Y197="Probabilidad",U197,"")),"")</f>
        <v>0.6</v>
      </c>
      <c r="AK197" s="187" t="str">
        <f t="shared" ca="1" si="256"/>
        <v>Moderado</v>
      </c>
      <c r="AL197" s="603" t="s">
        <v>258</v>
      </c>
      <c r="AM197" s="189"/>
      <c r="AN197" s="194"/>
      <c r="AO197" s="190"/>
      <c r="AP197" s="190"/>
      <c r="AQ197" s="191"/>
      <c r="AR197" s="194"/>
    </row>
    <row r="198" spans="1:44" s="605" customFormat="1" ht="69" hidden="1" customHeight="1" x14ac:dyDescent="0.25">
      <c r="A198" s="252"/>
      <c r="B198" s="246"/>
      <c r="C198" s="251"/>
      <c r="D198" s="246"/>
      <c r="E198" s="253"/>
      <c r="F198" s="254"/>
      <c r="G198" s="254"/>
      <c r="H198" s="255"/>
      <c r="I198" s="249"/>
      <c r="J198" s="249"/>
      <c r="K198" s="249"/>
      <c r="L198" s="249"/>
      <c r="M198" s="253"/>
      <c r="N198" s="251"/>
      <c r="O198" s="256"/>
      <c r="P198" s="610"/>
      <c r="Q198" s="611"/>
      <c r="R198" s="611"/>
      <c r="S198" s="611">
        <f ca="1">IF(NOT(ISERROR(MATCH(R198,_xlfn.ANCHORARRAY(H209),0))),Q211&amp;"Por favor no seleccionar los criterios de impacto",R198)</f>
        <v>0</v>
      </c>
      <c r="T198" s="610"/>
      <c r="U198" s="611"/>
      <c r="V198" s="252"/>
      <c r="W198" s="194">
        <v>2</v>
      </c>
      <c r="X198" s="192"/>
      <c r="Y198" s="194" t="str">
        <f t="shared" si="250"/>
        <v/>
      </c>
      <c r="Z198" s="188"/>
      <c r="AA198" s="188"/>
      <c r="AB198" s="185" t="str">
        <f t="shared" si="257"/>
        <v/>
      </c>
      <c r="AC198" s="188"/>
      <c r="AD198" s="188"/>
      <c r="AE198" s="188"/>
      <c r="AF198" s="602" t="str">
        <f t="shared" ref="AF198:AF202" si="272">IFERROR(IF(AND(Y197="Probabilidad",Y198="Probabilidad"),(AH197-(+AH197*AB198)),IF(Y198="Probabilidad",(Q197-(+Q197*AB198)),IF(Y198="Impacto",AH197,""))),"")</f>
        <v/>
      </c>
      <c r="AG198" s="186" t="str">
        <f t="shared" si="252"/>
        <v/>
      </c>
      <c r="AH198" s="185" t="str">
        <f t="shared" si="253"/>
        <v/>
      </c>
      <c r="AI198" s="186" t="str">
        <f t="shared" si="254"/>
        <v/>
      </c>
      <c r="AJ198" s="185" t="str">
        <f t="shared" ref="AJ198" si="273">IFERROR(IF(AND(Y197="Impacto",Y198="Impacto"),(AJ197-(+AJ197*AB198)),IF(Y198="Impacto",(U197-(+U197*AB198)),IF(Y198="Probabilidad",AJ197,""))),"")</f>
        <v/>
      </c>
      <c r="AK198" s="187" t="str">
        <f t="shared" si="256"/>
        <v/>
      </c>
      <c r="AL198" s="603"/>
      <c r="AM198" s="189"/>
      <c r="AN198" s="194"/>
      <c r="AO198" s="190"/>
      <c r="AP198" s="190"/>
      <c r="AQ198" s="191"/>
      <c r="AR198" s="194"/>
    </row>
    <row r="199" spans="1:44" s="605" customFormat="1" ht="69" hidden="1" customHeight="1" x14ac:dyDescent="0.25">
      <c r="A199" s="252"/>
      <c r="B199" s="246"/>
      <c r="C199" s="251"/>
      <c r="D199" s="246"/>
      <c r="E199" s="253"/>
      <c r="F199" s="254"/>
      <c r="G199" s="254"/>
      <c r="H199" s="255"/>
      <c r="I199" s="249"/>
      <c r="J199" s="249"/>
      <c r="K199" s="249"/>
      <c r="L199" s="249"/>
      <c r="M199" s="253"/>
      <c r="N199" s="251"/>
      <c r="O199" s="256"/>
      <c r="P199" s="610"/>
      <c r="Q199" s="611"/>
      <c r="R199" s="611"/>
      <c r="S199" s="611">
        <f ca="1">IF(NOT(ISERROR(MATCH(R199,_xlfn.ANCHORARRAY(H210),0))),Q212&amp;"Por favor no seleccionar los criterios de impacto",R199)</f>
        <v>0</v>
      </c>
      <c r="T199" s="610"/>
      <c r="U199" s="611"/>
      <c r="V199" s="252"/>
      <c r="W199" s="194">
        <v>3</v>
      </c>
      <c r="X199" s="192"/>
      <c r="Y199" s="194" t="str">
        <f t="shared" si="250"/>
        <v/>
      </c>
      <c r="Z199" s="188"/>
      <c r="AA199" s="188"/>
      <c r="AB199" s="185" t="str">
        <f t="shared" si="257"/>
        <v/>
      </c>
      <c r="AC199" s="188"/>
      <c r="AD199" s="188"/>
      <c r="AE199" s="188"/>
      <c r="AF199" s="602" t="str">
        <f t="shared" si="272"/>
        <v/>
      </c>
      <c r="AG199" s="186" t="str">
        <f t="shared" si="252"/>
        <v/>
      </c>
      <c r="AH199" s="185" t="str">
        <f t="shared" si="253"/>
        <v/>
      </c>
      <c r="AI199" s="186" t="str">
        <f t="shared" si="254"/>
        <v/>
      </c>
      <c r="AJ199" s="185" t="str">
        <f t="shared" ref="AJ199:AJ202" si="274">IFERROR(IF(AND(Y198="Impacto",Y199="Impacto"),(AJ198-(+AJ198*AB199)),IF(AND(Y198="Probabilidad",Y199="Impacto"),(AJ197-(+AJ197*AB199)),IF(Y199="Probabilidad",AJ198,""))),"")</f>
        <v/>
      </c>
      <c r="AK199" s="187" t="str">
        <f t="shared" si="256"/>
        <v/>
      </c>
      <c r="AL199" s="603"/>
      <c r="AM199" s="189"/>
      <c r="AN199" s="194"/>
      <c r="AO199" s="190"/>
      <c r="AP199" s="190"/>
      <c r="AQ199" s="191"/>
      <c r="AR199" s="194"/>
    </row>
    <row r="200" spans="1:44" s="605" customFormat="1" ht="69" hidden="1" customHeight="1" x14ac:dyDescent="0.25">
      <c r="A200" s="252"/>
      <c r="B200" s="246"/>
      <c r="C200" s="251"/>
      <c r="D200" s="246"/>
      <c r="E200" s="253"/>
      <c r="F200" s="254"/>
      <c r="G200" s="254"/>
      <c r="H200" s="255"/>
      <c r="I200" s="249"/>
      <c r="J200" s="249"/>
      <c r="K200" s="249"/>
      <c r="L200" s="249"/>
      <c r="M200" s="253"/>
      <c r="N200" s="251"/>
      <c r="O200" s="256"/>
      <c r="P200" s="610"/>
      <c r="Q200" s="611"/>
      <c r="R200" s="611"/>
      <c r="S200" s="611">
        <f ca="1">IF(NOT(ISERROR(MATCH(R200,_xlfn.ANCHORARRAY(H211),0))),Q213&amp;"Por favor no seleccionar los criterios de impacto",R200)</f>
        <v>0</v>
      </c>
      <c r="T200" s="610"/>
      <c r="U200" s="611"/>
      <c r="V200" s="252"/>
      <c r="W200" s="194">
        <v>4</v>
      </c>
      <c r="X200" s="192"/>
      <c r="Y200" s="194" t="str">
        <f t="shared" si="250"/>
        <v/>
      </c>
      <c r="Z200" s="188"/>
      <c r="AA200" s="188"/>
      <c r="AB200" s="185" t="str">
        <f t="shared" si="257"/>
        <v/>
      </c>
      <c r="AC200" s="188"/>
      <c r="AD200" s="188"/>
      <c r="AE200" s="188"/>
      <c r="AF200" s="602" t="str">
        <f t="shared" si="272"/>
        <v/>
      </c>
      <c r="AG200" s="186" t="str">
        <f t="shared" si="252"/>
        <v/>
      </c>
      <c r="AH200" s="185" t="str">
        <f t="shared" si="253"/>
        <v/>
      </c>
      <c r="AI200" s="186" t="str">
        <f t="shared" si="254"/>
        <v/>
      </c>
      <c r="AJ200" s="185" t="str">
        <f t="shared" si="274"/>
        <v/>
      </c>
      <c r="AK200" s="187" t="str">
        <f t="shared" si="256"/>
        <v/>
      </c>
      <c r="AL200" s="603"/>
      <c r="AM200" s="189"/>
      <c r="AN200" s="194"/>
      <c r="AO200" s="190"/>
      <c r="AP200" s="190"/>
      <c r="AQ200" s="191"/>
      <c r="AR200" s="194"/>
    </row>
    <row r="201" spans="1:44" s="605" customFormat="1" ht="69" hidden="1" customHeight="1" x14ac:dyDescent="0.25">
      <c r="A201" s="252"/>
      <c r="B201" s="246"/>
      <c r="C201" s="251"/>
      <c r="D201" s="246"/>
      <c r="E201" s="253"/>
      <c r="F201" s="254"/>
      <c r="G201" s="254"/>
      <c r="H201" s="255"/>
      <c r="I201" s="249"/>
      <c r="J201" s="249"/>
      <c r="K201" s="249"/>
      <c r="L201" s="249"/>
      <c r="M201" s="253"/>
      <c r="N201" s="251"/>
      <c r="O201" s="256"/>
      <c r="P201" s="610"/>
      <c r="Q201" s="611"/>
      <c r="R201" s="611"/>
      <c r="S201" s="611">
        <f ca="1">IF(NOT(ISERROR(MATCH(R201,_xlfn.ANCHORARRAY(H212),0))),Q214&amp;"Por favor no seleccionar los criterios de impacto",R201)</f>
        <v>0</v>
      </c>
      <c r="T201" s="610"/>
      <c r="U201" s="611"/>
      <c r="V201" s="252"/>
      <c r="W201" s="194">
        <v>5</v>
      </c>
      <c r="X201" s="192"/>
      <c r="Y201" s="194" t="str">
        <f t="shared" si="250"/>
        <v/>
      </c>
      <c r="Z201" s="188"/>
      <c r="AA201" s="188"/>
      <c r="AB201" s="185" t="str">
        <f t="shared" si="257"/>
        <v/>
      </c>
      <c r="AC201" s="188"/>
      <c r="AD201" s="188"/>
      <c r="AE201" s="188"/>
      <c r="AF201" s="602" t="str">
        <f t="shared" si="272"/>
        <v/>
      </c>
      <c r="AG201" s="186" t="str">
        <f t="shared" si="252"/>
        <v/>
      </c>
      <c r="AH201" s="185" t="str">
        <f t="shared" si="253"/>
        <v/>
      </c>
      <c r="AI201" s="186" t="str">
        <f t="shared" si="254"/>
        <v/>
      </c>
      <c r="AJ201" s="185" t="str">
        <f t="shared" si="274"/>
        <v/>
      </c>
      <c r="AK201" s="187" t="str">
        <f t="shared" si="256"/>
        <v/>
      </c>
      <c r="AL201" s="603"/>
      <c r="AM201" s="189"/>
      <c r="AN201" s="194"/>
      <c r="AO201" s="190"/>
      <c r="AP201" s="190"/>
      <c r="AQ201" s="191"/>
      <c r="AR201" s="194"/>
    </row>
    <row r="202" spans="1:44" s="605" customFormat="1" ht="69" hidden="1" customHeight="1" x14ac:dyDescent="0.25">
      <c r="A202" s="252"/>
      <c r="B202" s="247"/>
      <c r="C202" s="239"/>
      <c r="D202" s="247"/>
      <c r="E202" s="253"/>
      <c r="F202" s="254"/>
      <c r="G202" s="254"/>
      <c r="H202" s="255"/>
      <c r="I202" s="250"/>
      <c r="J202" s="250"/>
      <c r="K202" s="250"/>
      <c r="L202" s="250"/>
      <c r="M202" s="253"/>
      <c r="N202" s="239"/>
      <c r="O202" s="256"/>
      <c r="P202" s="610"/>
      <c r="Q202" s="611"/>
      <c r="R202" s="611"/>
      <c r="S202" s="611">
        <f ca="1">IF(NOT(ISERROR(MATCH(R202,_xlfn.ANCHORARRAY(H213),0))),Q215&amp;"Por favor no seleccionar los criterios de impacto",R202)</f>
        <v>0</v>
      </c>
      <c r="T202" s="610"/>
      <c r="U202" s="611"/>
      <c r="V202" s="252"/>
      <c r="W202" s="194">
        <v>6</v>
      </c>
      <c r="X202" s="192"/>
      <c r="Y202" s="194" t="str">
        <f t="shared" si="250"/>
        <v/>
      </c>
      <c r="Z202" s="188"/>
      <c r="AA202" s="188"/>
      <c r="AB202" s="185" t="str">
        <f t="shared" si="257"/>
        <v/>
      </c>
      <c r="AC202" s="188"/>
      <c r="AD202" s="188"/>
      <c r="AE202" s="188"/>
      <c r="AF202" s="602" t="str">
        <f t="shared" si="272"/>
        <v/>
      </c>
      <c r="AG202" s="186" t="str">
        <f t="shared" si="252"/>
        <v/>
      </c>
      <c r="AH202" s="185" t="str">
        <f t="shared" si="253"/>
        <v/>
      </c>
      <c r="AI202" s="186" t="str">
        <f t="shared" si="254"/>
        <v/>
      </c>
      <c r="AJ202" s="185" t="str">
        <f t="shared" si="274"/>
        <v/>
      </c>
      <c r="AK202" s="187" t="str">
        <f t="shared" si="256"/>
        <v/>
      </c>
      <c r="AL202" s="603"/>
      <c r="AM202" s="189"/>
      <c r="AN202" s="194"/>
      <c r="AO202" s="190"/>
      <c r="AP202" s="190"/>
      <c r="AQ202" s="191"/>
      <c r="AR202" s="194"/>
    </row>
    <row r="203" spans="1:44" s="605" customFormat="1" ht="101.25" x14ac:dyDescent="0.25">
      <c r="A203" s="252">
        <v>32</v>
      </c>
      <c r="B203" s="245" t="s">
        <v>728</v>
      </c>
      <c r="C203" s="238" t="s">
        <v>275</v>
      </c>
      <c r="D203" s="263" t="s">
        <v>729</v>
      </c>
      <c r="E203" s="253" t="s">
        <v>241</v>
      </c>
      <c r="F203" s="254" t="s">
        <v>730</v>
      </c>
      <c r="G203" s="254" t="s">
        <v>731</v>
      </c>
      <c r="H203" s="255" t="s">
        <v>732</v>
      </c>
      <c r="I203" s="248" t="s">
        <v>480</v>
      </c>
      <c r="J203" s="248" t="s">
        <v>480</v>
      </c>
      <c r="K203" s="248" t="s">
        <v>480</v>
      </c>
      <c r="L203" s="248" t="s">
        <v>480</v>
      </c>
      <c r="M203" s="253" t="s">
        <v>242</v>
      </c>
      <c r="N203" s="238"/>
      <c r="O203" s="256">
        <v>365</v>
      </c>
      <c r="P203" s="610" t="str">
        <f t="shared" si="246"/>
        <v>Media</v>
      </c>
      <c r="Q203" s="611">
        <f t="shared" si="247"/>
        <v>0.6</v>
      </c>
      <c r="R203" s="611" t="s">
        <v>190</v>
      </c>
      <c r="S203" s="611" t="str">
        <f ca="1">IF(NOT(ISERROR(MATCH(R203,'Tabla Impacto'!$B$221:$B$223,0))),'Tabla Impacto'!$F$223&amp;"Por favor no seleccionar los criterios de impacto(Afectación Económica o presupuestal y Pérdida Reputacional)",R203)</f>
        <v>El riesgo afecta la imagen de la entidad internamente, de conocimiento general, nivel interno, de junta dircetiva y accionistas y/o de provedores</v>
      </c>
      <c r="T203" s="610" t="str">
        <f ca="1">+IF(OR(S203='[1]Tabla Impacto'!$C$11,S203='[1]Tabla Impacto'!$D$11),"Leve",IF(OR(S203='[1]Tabla Impacto'!$C$12,S203='[1]Tabla Impacto'!$D$12),"Menor",IF(OR(S203='[1]Tabla Impacto'!$C$13,S203='[1]Tabla Impacto'!$D$13),"Moderado",IF(OR(S203='[1]Tabla Impacto'!$C$14,S203='[1]Tabla Impacto'!$D$14),"Mayor",IF(OR(S203='[1]Tabla Impacto'!$C$15,S203='[1]Tabla Impacto'!$D$15),"Catastrófico","")))))</f>
        <v>Menor</v>
      </c>
      <c r="U203" s="611">
        <f t="shared" ref="U203" ca="1" si="275">IF(T203="","",IF(T203="Leve",0.2,IF(T203="Menor",0.4,IF(T203="Moderado",0.6,IF(T203="Mayor",0.8,IF(T203="Catastrófico",1,))))))</f>
        <v>0.4</v>
      </c>
      <c r="V203" s="252" t="str">
        <f t="shared" ref="V203" ca="1" si="276">IF(OR(AND(P203="Muy Baja",T203="Leve"),AND(P203="Muy Baja",T203="Menor"),AND(P203="Baja",T203="Leve")),"Bajo",IF(OR(AND(P203="Muy baja",T203="Moderado"),AND(P203="Baja",T203="Menor"),AND(P203="Baja",T203="Moderado"),AND(P203="Media",T203="Leve"),AND(P203="Media",T203="Menor"),AND(P203="Media",T203="Moderado"),AND(P203="Alta",T203="Leve"),AND(P203="Alta",T203="Menor")),"Moderado",IF(OR(AND(P203="Muy Baja",T203="Mayor"),AND(P203="Baja",T203="Mayor"),AND(P203="Media",T203="Mayor"),AND(P203="Alta",T203="Moderado"),AND(P203="Alta",T203="Mayor"),AND(P203="Muy Alta",T203="Leve"),AND(P203="Muy Alta",T203="Menor"),AND(P203="Muy Alta",T203="Moderado"),AND(P203="Muy Alta",T203="Mayor")),"Alto",IF(OR(AND(P203="Muy Baja",T203="Catastrófico"),AND(P203="Baja",T203="Catastrófico"),AND(P203="Media",T203="Catastrófico"),AND(P203="Alta",T203="Catastrófico"),AND(P203="Muy Alta",T203="Catastrófico")),"Extremo",""))))</f>
        <v>Moderado</v>
      </c>
      <c r="W203" s="194">
        <v>1</v>
      </c>
      <c r="X203" s="192" t="s">
        <v>733</v>
      </c>
      <c r="Y203" s="194" t="str">
        <f t="shared" si="250"/>
        <v>Probabilidad</v>
      </c>
      <c r="Z203" s="188" t="s">
        <v>211</v>
      </c>
      <c r="AA203" s="188" t="s">
        <v>219</v>
      </c>
      <c r="AB203" s="185" t="s">
        <v>490</v>
      </c>
      <c r="AC203" s="188" t="s">
        <v>222</v>
      </c>
      <c r="AD203" s="188" t="s">
        <v>227</v>
      </c>
      <c r="AE203" s="188" t="s">
        <v>231</v>
      </c>
      <c r="AF203" s="602">
        <f t="shared" ref="AF203" si="277">IFERROR(IF(Y203="Probabilidad",(Q203-(+Q203*AB203)),IF(Y203="Impacto",Q203,"")),"")</f>
        <v>0.36</v>
      </c>
      <c r="AG203" s="186" t="str">
        <f t="shared" si="252"/>
        <v>Baja</v>
      </c>
      <c r="AH203" s="185">
        <f t="shared" si="253"/>
        <v>0.36</v>
      </c>
      <c r="AI203" s="186" t="str">
        <f t="shared" ca="1" si="254"/>
        <v>Menor</v>
      </c>
      <c r="AJ203" s="185">
        <f t="shared" ref="AJ203" ca="1" si="278">IFERROR(IF(Y203="Impacto",(U203-(+U203*AB203)),IF(Y203="Probabilidad",U203,"")),"")</f>
        <v>0.4</v>
      </c>
      <c r="AK203" s="187" t="str">
        <f t="shared" ca="1" si="256"/>
        <v>Moderado</v>
      </c>
      <c r="AL203" s="603" t="s">
        <v>258</v>
      </c>
      <c r="AM203" s="189"/>
      <c r="AN203" s="194"/>
      <c r="AO203" s="190"/>
      <c r="AP203" s="190"/>
      <c r="AQ203" s="191"/>
      <c r="AR203" s="194"/>
    </row>
    <row r="204" spans="1:44" s="605" customFormat="1" ht="69" hidden="1" customHeight="1" x14ac:dyDescent="0.25">
      <c r="A204" s="252"/>
      <c r="B204" s="246"/>
      <c r="C204" s="251"/>
      <c r="D204" s="266"/>
      <c r="E204" s="253"/>
      <c r="F204" s="254"/>
      <c r="G204" s="254"/>
      <c r="H204" s="255"/>
      <c r="I204" s="249"/>
      <c r="J204" s="249"/>
      <c r="K204" s="249"/>
      <c r="L204" s="249"/>
      <c r="M204" s="253"/>
      <c r="N204" s="251"/>
      <c r="O204" s="256"/>
      <c r="P204" s="610"/>
      <c r="Q204" s="611"/>
      <c r="R204" s="611"/>
      <c r="S204" s="611">
        <f ca="1">IF(NOT(ISERROR(MATCH(R204,_xlfn.ANCHORARRAY(H215),0))),Q217&amp;"Por favor no seleccionar los criterios de impacto",R204)</f>
        <v>0</v>
      </c>
      <c r="T204" s="610"/>
      <c r="U204" s="611"/>
      <c r="V204" s="252"/>
      <c r="W204" s="194">
        <v>2</v>
      </c>
      <c r="X204" s="192"/>
      <c r="Y204" s="194" t="str">
        <f t="shared" si="250"/>
        <v/>
      </c>
      <c r="Z204" s="188"/>
      <c r="AA204" s="188"/>
      <c r="AB204" s="185" t="str">
        <f t="shared" si="257"/>
        <v/>
      </c>
      <c r="AC204" s="188"/>
      <c r="AD204" s="188"/>
      <c r="AE204" s="188"/>
      <c r="AF204" s="602" t="str">
        <f t="shared" ref="AF204:AF208" si="279">IFERROR(IF(AND(Y203="Probabilidad",Y204="Probabilidad"),(AH203-(+AH203*AB204)),IF(Y204="Probabilidad",(Q203-(+Q203*AB204)),IF(Y204="Impacto",AH203,""))),"")</f>
        <v/>
      </c>
      <c r="AG204" s="186" t="str">
        <f t="shared" si="252"/>
        <v/>
      </c>
      <c r="AH204" s="185" t="str">
        <f t="shared" si="253"/>
        <v/>
      </c>
      <c r="AI204" s="186" t="str">
        <f t="shared" si="254"/>
        <v/>
      </c>
      <c r="AJ204" s="185" t="str">
        <f t="shared" ref="AJ204" si="280">IFERROR(IF(AND(Y203="Impacto",Y204="Impacto"),(AJ203-(+AJ203*AB204)),IF(Y204="Impacto",(U203-(+U203*AB204)),IF(Y204="Probabilidad",AJ203,""))),"")</f>
        <v/>
      </c>
      <c r="AK204" s="187" t="str">
        <f t="shared" si="256"/>
        <v/>
      </c>
      <c r="AL204" s="603"/>
      <c r="AM204" s="189"/>
      <c r="AN204" s="194"/>
      <c r="AO204" s="190"/>
      <c r="AP204" s="190"/>
      <c r="AQ204" s="191"/>
      <c r="AR204" s="194"/>
    </row>
    <row r="205" spans="1:44" s="605" customFormat="1" ht="69" hidden="1" customHeight="1" x14ac:dyDescent="0.25">
      <c r="A205" s="252"/>
      <c r="B205" s="246"/>
      <c r="C205" s="251"/>
      <c r="D205" s="266"/>
      <c r="E205" s="253"/>
      <c r="F205" s="254"/>
      <c r="G205" s="254"/>
      <c r="H205" s="255"/>
      <c r="I205" s="249"/>
      <c r="J205" s="249"/>
      <c r="K205" s="249"/>
      <c r="L205" s="249"/>
      <c r="M205" s="253"/>
      <c r="N205" s="251"/>
      <c r="O205" s="256"/>
      <c r="P205" s="610"/>
      <c r="Q205" s="611"/>
      <c r="R205" s="611"/>
      <c r="S205" s="611">
        <f ca="1">IF(NOT(ISERROR(MATCH(R205,_xlfn.ANCHORARRAY(H216),0))),Q218&amp;"Por favor no seleccionar los criterios de impacto",R205)</f>
        <v>0</v>
      </c>
      <c r="T205" s="610"/>
      <c r="U205" s="611"/>
      <c r="V205" s="252"/>
      <c r="W205" s="194">
        <v>3</v>
      </c>
      <c r="X205" s="192"/>
      <c r="Y205" s="194" t="str">
        <f t="shared" si="250"/>
        <v/>
      </c>
      <c r="Z205" s="188"/>
      <c r="AA205" s="188"/>
      <c r="AB205" s="185" t="str">
        <f t="shared" si="257"/>
        <v/>
      </c>
      <c r="AC205" s="188"/>
      <c r="AD205" s="188"/>
      <c r="AE205" s="188"/>
      <c r="AF205" s="602" t="str">
        <f t="shared" si="279"/>
        <v/>
      </c>
      <c r="AG205" s="186" t="str">
        <f t="shared" si="252"/>
        <v/>
      </c>
      <c r="AH205" s="185" t="str">
        <f t="shared" si="253"/>
        <v/>
      </c>
      <c r="AI205" s="186" t="str">
        <f t="shared" si="254"/>
        <v/>
      </c>
      <c r="AJ205" s="185" t="str">
        <f t="shared" ref="AJ205:AJ208" si="281">IFERROR(IF(AND(Y204="Impacto",Y205="Impacto"),(AJ204-(+AJ204*AB205)),IF(AND(Y204="Probabilidad",Y205="Impacto"),(AJ203-(+AJ203*AB205)),IF(Y205="Probabilidad",AJ204,""))),"")</f>
        <v/>
      </c>
      <c r="AK205" s="187" t="str">
        <f t="shared" si="256"/>
        <v/>
      </c>
      <c r="AL205" s="603"/>
      <c r="AM205" s="189"/>
      <c r="AN205" s="194"/>
      <c r="AO205" s="190"/>
      <c r="AP205" s="190"/>
      <c r="AQ205" s="191"/>
      <c r="AR205" s="194"/>
    </row>
    <row r="206" spans="1:44" s="605" customFormat="1" ht="69" hidden="1" customHeight="1" x14ac:dyDescent="0.25">
      <c r="A206" s="252"/>
      <c r="B206" s="246"/>
      <c r="C206" s="251"/>
      <c r="D206" s="266"/>
      <c r="E206" s="253"/>
      <c r="F206" s="254"/>
      <c r="G206" s="254"/>
      <c r="H206" s="255"/>
      <c r="I206" s="249"/>
      <c r="J206" s="249"/>
      <c r="K206" s="249"/>
      <c r="L206" s="249"/>
      <c r="M206" s="253"/>
      <c r="N206" s="251"/>
      <c r="O206" s="256"/>
      <c r="P206" s="610"/>
      <c r="Q206" s="611"/>
      <c r="R206" s="611"/>
      <c r="S206" s="611">
        <f ca="1">IF(NOT(ISERROR(MATCH(R206,_xlfn.ANCHORARRAY(H217),0))),Q219&amp;"Por favor no seleccionar los criterios de impacto",R206)</f>
        <v>0</v>
      </c>
      <c r="T206" s="610"/>
      <c r="U206" s="611"/>
      <c r="V206" s="252"/>
      <c r="W206" s="194">
        <v>4</v>
      </c>
      <c r="X206" s="192"/>
      <c r="Y206" s="194" t="str">
        <f t="shared" si="250"/>
        <v/>
      </c>
      <c r="Z206" s="188"/>
      <c r="AA206" s="188"/>
      <c r="AB206" s="185" t="str">
        <f t="shared" si="257"/>
        <v/>
      </c>
      <c r="AC206" s="188"/>
      <c r="AD206" s="188"/>
      <c r="AE206" s="188"/>
      <c r="AF206" s="602" t="str">
        <f t="shared" si="279"/>
        <v/>
      </c>
      <c r="AG206" s="186" t="str">
        <f t="shared" si="252"/>
        <v/>
      </c>
      <c r="AH206" s="185" t="str">
        <f t="shared" si="253"/>
        <v/>
      </c>
      <c r="AI206" s="186" t="str">
        <f t="shared" si="254"/>
        <v/>
      </c>
      <c r="AJ206" s="185" t="str">
        <f t="shared" si="281"/>
        <v/>
      </c>
      <c r="AK206" s="187" t="str">
        <f t="shared" si="256"/>
        <v/>
      </c>
      <c r="AL206" s="603"/>
      <c r="AM206" s="189"/>
      <c r="AN206" s="194"/>
      <c r="AO206" s="190"/>
      <c r="AP206" s="190"/>
      <c r="AQ206" s="191"/>
      <c r="AR206" s="194"/>
    </row>
    <row r="207" spans="1:44" s="605" customFormat="1" ht="69" hidden="1" customHeight="1" x14ac:dyDescent="0.25">
      <c r="A207" s="252"/>
      <c r="B207" s="246"/>
      <c r="C207" s="251"/>
      <c r="D207" s="266"/>
      <c r="E207" s="253"/>
      <c r="F207" s="254"/>
      <c r="G207" s="254"/>
      <c r="H207" s="255"/>
      <c r="I207" s="249"/>
      <c r="J207" s="249"/>
      <c r="K207" s="249"/>
      <c r="L207" s="249"/>
      <c r="M207" s="253"/>
      <c r="N207" s="251"/>
      <c r="O207" s="256"/>
      <c r="P207" s="610"/>
      <c r="Q207" s="611"/>
      <c r="R207" s="611"/>
      <c r="S207" s="611">
        <f ca="1">IF(NOT(ISERROR(MATCH(R207,_xlfn.ANCHORARRAY(H218),0))),Q220&amp;"Por favor no seleccionar los criterios de impacto",R207)</f>
        <v>0</v>
      </c>
      <c r="T207" s="610"/>
      <c r="U207" s="611"/>
      <c r="V207" s="252"/>
      <c r="W207" s="194">
        <v>5</v>
      </c>
      <c r="X207" s="192"/>
      <c r="Y207" s="194" t="str">
        <f t="shared" si="250"/>
        <v/>
      </c>
      <c r="Z207" s="188"/>
      <c r="AA207" s="188"/>
      <c r="AB207" s="185" t="str">
        <f t="shared" si="257"/>
        <v/>
      </c>
      <c r="AC207" s="188"/>
      <c r="AD207" s="188"/>
      <c r="AE207" s="188"/>
      <c r="AF207" s="602" t="str">
        <f t="shared" si="279"/>
        <v/>
      </c>
      <c r="AG207" s="186" t="str">
        <f t="shared" si="252"/>
        <v/>
      </c>
      <c r="AH207" s="185" t="str">
        <f t="shared" si="253"/>
        <v/>
      </c>
      <c r="AI207" s="186" t="str">
        <f t="shared" si="254"/>
        <v/>
      </c>
      <c r="AJ207" s="185" t="str">
        <f t="shared" si="281"/>
        <v/>
      </c>
      <c r="AK207" s="187" t="str">
        <f t="shared" si="256"/>
        <v/>
      </c>
      <c r="AL207" s="603"/>
      <c r="AM207" s="189"/>
      <c r="AN207" s="194"/>
      <c r="AO207" s="190"/>
      <c r="AP207" s="190"/>
      <c r="AQ207" s="191"/>
      <c r="AR207" s="194"/>
    </row>
    <row r="208" spans="1:44" s="605" customFormat="1" ht="69" hidden="1" customHeight="1" x14ac:dyDescent="0.25">
      <c r="A208" s="252"/>
      <c r="B208" s="247"/>
      <c r="C208" s="239"/>
      <c r="D208" s="267"/>
      <c r="E208" s="253"/>
      <c r="F208" s="254"/>
      <c r="G208" s="254"/>
      <c r="H208" s="255"/>
      <c r="I208" s="250"/>
      <c r="J208" s="250"/>
      <c r="K208" s="250"/>
      <c r="L208" s="250"/>
      <c r="M208" s="253"/>
      <c r="N208" s="239"/>
      <c r="O208" s="256"/>
      <c r="P208" s="610"/>
      <c r="Q208" s="611"/>
      <c r="R208" s="611"/>
      <c r="S208" s="611">
        <f ca="1">IF(NOT(ISERROR(MATCH(R208,_xlfn.ANCHORARRAY(H219),0))),Q221&amp;"Por favor no seleccionar los criterios de impacto",R208)</f>
        <v>0</v>
      </c>
      <c r="T208" s="610"/>
      <c r="U208" s="611"/>
      <c r="V208" s="252"/>
      <c r="W208" s="194">
        <v>6</v>
      </c>
      <c r="X208" s="192"/>
      <c r="Y208" s="194" t="str">
        <f t="shared" si="250"/>
        <v/>
      </c>
      <c r="Z208" s="188"/>
      <c r="AA208" s="188"/>
      <c r="AB208" s="185" t="str">
        <f t="shared" si="257"/>
        <v/>
      </c>
      <c r="AC208" s="188"/>
      <c r="AD208" s="188"/>
      <c r="AE208" s="188"/>
      <c r="AF208" s="602" t="str">
        <f t="shared" si="279"/>
        <v/>
      </c>
      <c r="AG208" s="186" t="str">
        <f t="shared" si="252"/>
        <v/>
      </c>
      <c r="AH208" s="185" t="str">
        <f t="shared" si="253"/>
        <v/>
      </c>
      <c r="AI208" s="186" t="str">
        <f t="shared" si="254"/>
        <v/>
      </c>
      <c r="AJ208" s="185" t="str">
        <f t="shared" si="281"/>
        <v/>
      </c>
      <c r="AK208" s="187" t="str">
        <f t="shared" si="256"/>
        <v/>
      </c>
      <c r="AL208" s="603"/>
      <c r="AM208" s="189"/>
      <c r="AN208" s="194"/>
      <c r="AO208" s="190"/>
      <c r="AP208" s="190"/>
      <c r="AQ208" s="191"/>
      <c r="AR208" s="194"/>
    </row>
    <row r="209" spans="1:44" s="605" customFormat="1" ht="134.25" customHeight="1" x14ac:dyDescent="0.25">
      <c r="A209" s="252">
        <v>33</v>
      </c>
      <c r="B209" s="245" t="s">
        <v>734</v>
      </c>
      <c r="C209" s="238" t="s">
        <v>275</v>
      </c>
      <c r="D209" s="268" t="s">
        <v>735</v>
      </c>
      <c r="E209" s="253" t="s">
        <v>241</v>
      </c>
      <c r="F209" s="254" t="s">
        <v>736</v>
      </c>
      <c r="G209" s="254" t="s">
        <v>737</v>
      </c>
      <c r="H209" s="255" t="s">
        <v>738</v>
      </c>
      <c r="I209" s="248" t="s">
        <v>480</v>
      </c>
      <c r="J209" s="248" t="s">
        <v>480</v>
      </c>
      <c r="K209" s="248" t="s">
        <v>480</v>
      </c>
      <c r="L209" s="248" t="s">
        <v>480</v>
      </c>
      <c r="M209" s="253" t="s">
        <v>242</v>
      </c>
      <c r="N209" s="238"/>
      <c r="O209" s="256">
        <v>365</v>
      </c>
      <c r="P209" s="610" t="str">
        <f t="shared" si="246"/>
        <v>Media</v>
      </c>
      <c r="Q209" s="611">
        <f t="shared" si="247"/>
        <v>0.6</v>
      </c>
      <c r="R209" s="611" t="s">
        <v>190</v>
      </c>
      <c r="S209" s="611" t="str">
        <f ca="1">IF(NOT(ISERROR(MATCH(R209,'Tabla Impacto'!$B$221:$B$223,0))),'Tabla Impacto'!$F$223&amp;"Por favor no seleccionar los criterios de impacto(Afectación Económica o presupuestal y Pérdida Reputacional)",R209)</f>
        <v>El riesgo afecta la imagen de la entidad internamente, de conocimiento general, nivel interno, de junta dircetiva y accionistas y/o de provedores</v>
      </c>
      <c r="T209" s="610" t="str">
        <f ca="1">+IF(OR(S209='[1]Tabla Impacto'!$C$11,S209='[1]Tabla Impacto'!$D$11),"Leve",IF(OR(S209='[1]Tabla Impacto'!$C$12,S209='[1]Tabla Impacto'!$D$12),"Menor",IF(OR(S209='[1]Tabla Impacto'!$C$13,S209='[1]Tabla Impacto'!$D$13),"Moderado",IF(OR(S209='[1]Tabla Impacto'!$C$14,S209='[1]Tabla Impacto'!$D$14),"Mayor",IF(OR(S209='[1]Tabla Impacto'!$C$15,S209='[1]Tabla Impacto'!$D$15),"Catastrófico","")))))</f>
        <v>Menor</v>
      </c>
      <c r="U209" s="611">
        <f t="shared" ref="U209" ca="1" si="282">IF(T209="","",IF(T209="Leve",0.2,IF(T209="Menor",0.4,IF(T209="Moderado",0.6,IF(T209="Mayor",0.8,IF(T209="Catastrófico",1,))))))</f>
        <v>0.4</v>
      </c>
      <c r="V209" s="252" t="str">
        <f t="shared" ref="V209" ca="1" si="283">IF(OR(AND(P209="Muy Baja",T209="Leve"),AND(P209="Muy Baja",T209="Menor"),AND(P209="Baja",T209="Leve")),"Bajo",IF(OR(AND(P209="Muy baja",T209="Moderado"),AND(P209="Baja",T209="Menor"),AND(P209="Baja",T209="Moderado"),AND(P209="Media",T209="Leve"),AND(P209="Media",T209="Menor"),AND(P209="Media",T209="Moderado"),AND(P209="Alta",T209="Leve"),AND(P209="Alta",T209="Menor")),"Moderado",IF(OR(AND(P209="Muy Baja",T209="Mayor"),AND(P209="Baja",T209="Mayor"),AND(P209="Media",T209="Mayor"),AND(P209="Alta",T209="Moderado"),AND(P209="Alta",T209="Mayor"),AND(P209="Muy Alta",T209="Leve"),AND(P209="Muy Alta",T209="Menor"),AND(P209="Muy Alta",T209="Moderado"),AND(P209="Muy Alta",T209="Mayor")),"Alto",IF(OR(AND(P209="Muy Baja",T209="Catastrófico"),AND(P209="Baja",T209="Catastrófico"),AND(P209="Media",T209="Catastrófico"),AND(P209="Alta",T209="Catastrófico"),AND(P209="Muy Alta",T209="Catastrófico")),"Extremo",""))))</f>
        <v>Moderado</v>
      </c>
      <c r="W209" s="194">
        <v>1</v>
      </c>
      <c r="X209" s="192" t="s">
        <v>739</v>
      </c>
      <c r="Y209" s="194" t="str">
        <f t="shared" si="250"/>
        <v>Probabilidad</v>
      </c>
      <c r="Z209" s="188" t="s">
        <v>211</v>
      </c>
      <c r="AA209" s="188" t="s">
        <v>219</v>
      </c>
      <c r="AB209" s="185" t="s">
        <v>490</v>
      </c>
      <c r="AC209" s="188" t="s">
        <v>222</v>
      </c>
      <c r="AD209" s="188" t="s">
        <v>227</v>
      </c>
      <c r="AE209" s="188" t="s">
        <v>231</v>
      </c>
      <c r="AF209" s="602">
        <f t="shared" ref="AF209" si="284">IFERROR(IF(Y209="Probabilidad",(Q209-(+Q209*AB209)),IF(Y209="Impacto",Q209,"")),"")</f>
        <v>0.36</v>
      </c>
      <c r="AG209" s="186" t="str">
        <f t="shared" si="252"/>
        <v>Baja</v>
      </c>
      <c r="AH209" s="185">
        <f t="shared" si="253"/>
        <v>0.36</v>
      </c>
      <c r="AI209" s="186" t="str">
        <f t="shared" ca="1" si="254"/>
        <v>Menor</v>
      </c>
      <c r="AJ209" s="185">
        <f t="shared" ref="AJ209" ca="1" si="285">IFERROR(IF(Y209="Impacto",(U209-(+U209*AB209)),IF(Y209="Probabilidad",U209,"")),"")</f>
        <v>0.4</v>
      </c>
      <c r="AK209" s="187" t="str">
        <f t="shared" ca="1" si="256"/>
        <v>Moderado</v>
      </c>
      <c r="AL209" s="603" t="s">
        <v>258</v>
      </c>
      <c r="AM209" s="189"/>
      <c r="AN209" s="194"/>
      <c r="AO209" s="190"/>
      <c r="AP209" s="190"/>
      <c r="AQ209" s="191"/>
      <c r="AR209" s="194"/>
    </row>
    <row r="210" spans="1:44" s="605" customFormat="1" ht="69" hidden="1" customHeight="1" x14ac:dyDescent="0.25">
      <c r="A210" s="252"/>
      <c r="B210" s="246"/>
      <c r="C210" s="251"/>
      <c r="D210" s="264"/>
      <c r="E210" s="253"/>
      <c r="F210" s="254"/>
      <c r="G210" s="254"/>
      <c r="H210" s="255"/>
      <c r="I210" s="249"/>
      <c r="J210" s="249"/>
      <c r="K210" s="249"/>
      <c r="L210" s="249"/>
      <c r="M210" s="253"/>
      <c r="N210" s="251"/>
      <c r="O210" s="256"/>
      <c r="P210" s="610"/>
      <c r="Q210" s="611"/>
      <c r="R210" s="611"/>
      <c r="S210" s="611">
        <f ca="1">IF(NOT(ISERROR(MATCH(R210,_xlfn.ANCHORARRAY(H221),0))),Q223&amp;"Por favor no seleccionar los criterios de impacto",R210)</f>
        <v>0</v>
      </c>
      <c r="T210" s="610"/>
      <c r="U210" s="611"/>
      <c r="V210" s="252"/>
      <c r="W210" s="194">
        <v>2</v>
      </c>
      <c r="X210" s="192"/>
      <c r="Y210" s="194" t="str">
        <f t="shared" si="250"/>
        <v/>
      </c>
      <c r="Z210" s="188"/>
      <c r="AA210" s="188"/>
      <c r="AB210" s="185" t="str">
        <f t="shared" si="257"/>
        <v/>
      </c>
      <c r="AC210" s="188"/>
      <c r="AD210" s="188"/>
      <c r="AE210" s="188"/>
      <c r="AF210" s="602" t="str">
        <f t="shared" ref="AF210:AF214" si="286">IFERROR(IF(AND(Y209="Probabilidad",Y210="Probabilidad"),(AH209-(+AH209*AB210)),IF(Y210="Probabilidad",(Q209-(+Q209*AB210)),IF(Y210="Impacto",AH209,""))),"")</f>
        <v/>
      </c>
      <c r="AG210" s="186" t="str">
        <f t="shared" si="252"/>
        <v/>
      </c>
      <c r="AH210" s="185" t="str">
        <f t="shared" si="253"/>
        <v/>
      </c>
      <c r="AI210" s="186" t="str">
        <f t="shared" si="254"/>
        <v/>
      </c>
      <c r="AJ210" s="185" t="str">
        <f t="shared" ref="AJ210" si="287">IFERROR(IF(AND(Y209="Impacto",Y210="Impacto"),(AJ209-(+AJ209*AB210)),IF(Y210="Impacto",(U209-(+U209*AB210)),IF(Y210="Probabilidad",AJ209,""))),"")</f>
        <v/>
      </c>
      <c r="AK210" s="187" t="str">
        <f t="shared" si="256"/>
        <v/>
      </c>
      <c r="AL210" s="603"/>
      <c r="AM210" s="189"/>
      <c r="AN210" s="194"/>
      <c r="AO210" s="190"/>
      <c r="AP210" s="190"/>
      <c r="AQ210" s="191"/>
      <c r="AR210" s="194"/>
    </row>
    <row r="211" spans="1:44" s="605" customFormat="1" ht="69" hidden="1" customHeight="1" x14ac:dyDescent="0.25">
      <c r="A211" s="252"/>
      <c r="B211" s="246"/>
      <c r="C211" s="251"/>
      <c r="D211" s="264"/>
      <c r="E211" s="253"/>
      <c r="F211" s="254"/>
      <c r="G211" s="254"/>
      <c r="H211" s="255"/>
      <c r="I211" s="249"/>
      <c r="J211" s="249"/>
      <c r="K211" s="249"/>
      <c r="L211" s="249"/>
      <c r="M211" s="253"/>
      <c r="N211" s="251"/>
      <c r="O211" s="256"/>
      <c r="P211" s="610"/>
      <c r="Q211" s="611"/>
      <c r="R211" s="611"/>
      <c r="S211" s="611">
        <f ca="1">IF(NOT(ISERROR(MATCH(R211,_xlfn.ANCHORARRAY(H222),0))),Q224&amp;"Por favor no seleccionar los criterios de impacto",R211)</f>
        <v>0</v>
      </c>
      <c r="T211" s="610"/>
      <c r="U211" s="611"/>
      <c r="V211" s="252"/>
      <c r="W211" s="194">
        <v>3</v>
      </c>
      <c r="X211" s="192"/>
      <c r="Y211" s="194" t="str">
        <f t="shared" si="250"/>
        <v/>
      </c>
      <c r="Z211" s="188"/>
      <c r="AA211" s="188"/>
      <c r="AB211" s="185" t="str">
        <f t="shared" si="257"/>
        <v/>
      </c>
      <c r="AC211" s="188"/>
      <c r="AD211" s="188"/>
      <c r="AE211" s="188"/>
      <c r="AF211" s="602" t="str">
        <f t="shared" si="286"/>
        <v/>
      </c>
      <c r="AG211" s="186" t="str">
        <f t="shared" si="252"/>
        <v/>
      </c>
      <c r="AH211" s="185" t="str">
        <f t="shared" si="253"/>
        <v/>
      </c>
      <c r="AI211" s="186" t="str">
        <f t="shared" si="254"/>
        <v/>
      </c>
      <c r="AJ211" s="185" t="str">
        <f t="shared" ref="AJ211:AJ214" si="288">IFERROR(IF(AND(Y210="Impacto",Y211="Impacto"),(AJ210-(+AJ210*AB211)),IF(AND(Y210="Probabilidad",Y211="Impacto"),(AJ209-(+AJ209*AB211)),IF(Y211="Probabilidad",AJ210,""))),"")</f>
        <v/>
      </c>
      <c r="AK211" s="187" t="str">
        <f t="shared" si="256"/>
        <v/>
      </c>
      <c r="AL211" s="603"/>
      <c r="AM211" s="189"/>
      <c r="AN211" s="194"/>
      <c r="AO211" s="190"/>
      <c r="AP211" s="190"/>
      <c r="AQ211" s="191"/>
      <c r="AR211" s="194"/>
    </row>
    <row r="212" spans="1:44" s="605" customFormat="1" ht="69" hidden="1" customHeight="1" x14ac:dyDescent="0.25">
      <c r="A212" s="252"/>
      <c r="B212" s="246"/>
      <c r="C212" s="251"/>
      <c r="D212" s="264"/>
      <c r="E212" s="253"/>
      <c r="F212" s="254"/>
      <c r="G212" s="254"/>
      <c r="H212" s="255"/>
      <c r="I212" s="249"/>
      <c r="J212" s="249"/>
      <c r="K212" s="249"/>
      <c r="L212" s="249"/>
      <c r="M212" s="253"/>
      <c r="N212" s="251"/>
      <c r="O212" s="256"/>
      <c r="P212" s="610"/>
      <c r="Q212" s="611"/>
      <c r="R212" s="611"/>
      <c r="S212" s="611">
        <f ca="1">IF(NOT(ISERROR(MATCH(R212,_xlfn.ANCHORARRAY(H223),0))),Q225&amp;"Por favor no seleccionar los criterios de impacto",R212)</f>
        <v>0</v>
      </c>
      <c r="T212" s="610"/>
      <c r="U212" s="611"/>
      <c r="V212" s="252"/>
      <c r="W212" s="194">
        <v>4</v>
      </c>
      <c r="X212" s="192"/>
      <c r="Y212" s="194" t="str">
        <f t="shared" si="250"/>
        <v/>
      </c>
      <c r="Z212" s="188"/>
      <c r="AA212" s="188"/>
      <c r="AB212" s="185" t="str">
        <f t="shared" si="257"/>
        <v/>
      </c>
      <c r="AC212" s="188"/>
      <c r="AD212" s="188"/>
      <c r="AE212" s="188"/>
      <c r="AF212" s="602" t="str">
        <f t="shared" si="286"/>
        <v/>
      </c>
      <c r="AG212" s="186" t="str">
        <f t="shared" si="252"/>
        <v/>
      </c>
      <c r="AH212" s="185" t="str">
        <f t="shared" si="253"/>
        <v/>
      </c>
      <c r="AI212" s="186" t="str">
        <f t="shared" si="254"/>
        <v/>
      </c>
      <c r="AJ212" s="185" t="str">
        <f t="shared" si="288"/>
        <v/>
      </c>
      <c r="AK212" s="187" t="str">
        <f t="shared" si="256"/>
        <v/>
      </c>
      <c r="AL212" s="603"/>
      <c r="AM212" s="189"/>
      <c r="AN212" s="194"/>
      <c r="AO212" s="190"/>
      <c r="AP212" s="190"/>
      <c r="AQ212" s="191"/>
      <c r="AR212" s="194"/>
    </row>
    <row r="213" spans="1:44" s="605" customFormat="1" ht="69" hidden="1" customHeight="1" x14ac:dyDescent="0.25">
      <c r="A213" s="252"/>
      <c r="B213" s="246"/>
      <c r="C213" s="251"/>
      <c r="D213" s="264"/>
      <c r="E213" s="253"/>
      <c r="F213" s="254"/>
      <c r="G213" s="254"/>
      <c r="H213" s="255"/>
      <c r="I213" s="249"/>
      <c r="J213" s="249"/>
      <c r="K213" s="249"/>
      <c r="L213" s="249"/>
      <c r="M213" s="253"/>
      <c r="N213" s="251"/>
      <c r="O213" s="256"/>
      <c r="P213" s="610"/>
      <c r="Q213" s="611"/>
      <c r="R213" s="611"/>
      <c r="S213" s="611">
        <f ca="1">IF(NOT(ISERROR(MATCH(R213,_xlfn.ANCHORARRAY(H224),0))),Q226&amp;"Por favor no seleccionar los criterios de impacto",R213)</f>
        <v>0</v>
      </c>
      <c r="T213" s="610"/>
      <c r="U213" s="611"/>
      <c r="V213" s="252"/>
      <c r="W213" s="194">
        <v>5</v>
      </c>
      <c r="X213" s="192"/>
      <c r="Y213" s="194" t="str">
        <f t="shared" si="250"/>
        <v/>
      </c>
      <c r="Z213" s="188"/>
      <c r="AA213" s="188"/>
      <c r="AB213" s="185" t="str">
        <f t="shared" si="257"/>
        <v/>
      </c>
      <c r="AC213" s="188"/>
      <c r="AD213" s="188"/>
      <c r="AE213" s="188"/>
      <c r="AF213" s="602" t="str">
        <f t="shared" si="286"/>
        <v/>
      </c>
      <c r="AG213" s="186" t="str">
        <f t="shared" si="252"/>
        <v/>
      </c>
      <c r="AH213" s="185" t="str">
        <f t="shared" si="253"/>
        <v/>
      </c>
      <c r="AI213" s="186" t="str">
        <f t="shared" si="254"/>
        <v/>
      </c>
      <c r="AJ213" s="185" t="str">
        <f t="shared" si="288"/>
        <v/>
      </c>
      <c r="AK213" s="187" t="str">
        <f t="shared" si="256"/>
        <v/>
      </c>
      <c r="AL213" s="603"/>
      <c r="AM213" s="189"/>
      <c r="AN213" s="194"/>
      <c r="AO213" s="190"/>
      <c r="AP213" s="190"/>
      <c r="AQ213" s="191"/>
      <c r="AR213" s="194"/>
    </row>
    <row r="214" spans="1:44" s="605" customFormat="1" ht="69" hidden="1" customHeight="1" x14ac:dyDescent="0.25">
      <c r="A214" s="252"/>
      <c r="B214" s="247"/>
      <c r="C214" s="239"/>
      <c r="D214" s="265"/>
      <c r="E214" s="253"/>
      <c r="F214" s="254"/>
      <c r="G214" s="254"/>
      <c r="H214" s="255"/>
      <c r="I214" s="250"/>
      <c r="J214" s="250"/>
      <c r="K214" s="250"/>
      <c r="L214" s="250"/>
      <c r="M214" s="253"/>
      <c r="N214" s="239"/>
      <c r="O214" s="256"/>
      <c r="P214" s="610"/>
      <c r="Q214" s="611"/>
      <c r="R214" s="611"/>
      <c r="S214" s="611">
        <f ca="1">IF(NOT(ISERROR(MATCH(R214,_xlfn.ANCHORARRAY(H225),0))),Q227&amp;"Por favor no seleccionar los criterios de impacto",R214)</f>
        <v>0</v>
      </c>
      <c r="T214" s="610"/>
      <c r="U214" s="611"/>
      <c r="V214" s="252"/>
      <c r="W214" s="194">
        <v>6</v>
      </c>
      <c r="X214" s="192"/>
      <c r="Y214" s="194" t="str">
        <f t="shared" si="250"/>
        <v/>
      </c>
      <c r="Z214" s="188"/>
      <c r="AA214" s="188"/>
      <c r="AB214" s="185" t="str">
        <f t="shared" si="257"/>
        <v/>
      </c>
      <c r="AC214" s="188"/>
      <c r="AD214" s="188"/>
      <c r="AE214" s="188"/>
      <c r="AF214" s="602" t="str">
        <f t="shared" si="286"/>
        <v/>
      </c>
      <c r="AG214" s="186" t="str">
        <f t="shared" si="252"/>
        <v/>
      </c>
      <c r="AH214" s="185" t="str">
        <f t="shared" si="253"/>
        <v/>
      </c>
      <c r="AI214" s="186" t="str">
        <f t="shared" si="254"/>
        <v/>
      </c>
      <c r="AJ214" s="185" t="str">
        <f t="shared" si="288"/>
        <v/>
      </c>
      <c r="AK214" s="187" t="str">
        <f t="shared" si="256"/>
        <v/>
      </c>
      <c r="AL214" s="603"/>
      <c r="AM214" s="189"/>
      <c r="AN214" s="194"/>
      <c r="AO214" s="190"/>
      <c r="AP214" s="190"/>
      <c r="AQ214" s="191"/>
      <c r="AR214" s="194"/>
    </row>
    <row r="215" spans="1:44" s="605" customFormat="1" ht="90" x14ac:dyDescent="0.25">
      <c r="A215" s="252">
        <v>34</v>
      </c>
      <c r="B215" s="245" t="s">
        <v>740</v>
      </c>
      <c r="C215" s="238" t="s">
        <v>275</v>
      </c>
      <c r="D215" s="268" t="s">
        <v>741</v>
      </c>
      <c r="E215" s="253" t="s">
        <v>243</v>
      </c>
      <c r="F215" s="254" t="s">
        <v>742</v>
      </c>
      <c r="G215" s="254" t="s">
        <v>743</v>
      </c>
      <c r="H215" s="255" t="s">
        <v>744</v>
      </c>
      <c r="I215" s="248" t="s">
        <v>480</v>
      </c>
      <c r="J215" s="248" t="s">
        <v>480</v>
      </c>
      <c r="K215" s="248" t="s">
        <v>480</v>
      </c>
      <c r="L215" s="248" t="s">
        <v>480</v>
      </c>
      <c r="M215" s="253" t="s">
        <v>242</v>
      </c>
      <c r="N215" s="238"/>
      <c r="O215" s="256">
        <v>6000</v>
      </c>
      <c r="P215" s="610" t="str">
        <f t="shared" si="246"/>
        <v>Muy Alta</v>
      </c>
      <c r="Q215" s="611">
        <f t="shared" si="247"/>
        <v>1</v>
      </c>
      <c r="R215" s="611" t="s">
        <v>193</v>
      </c>
      <c r="S215" s="611" t="str">
        <f ca="1">IF(NOT(ISERROR(MATCH(R215,'Tabla Impacto'!$B$221:$B$223,0))),'Tabla Impacto'!$F$223&amp;"Por favor no seleccionar los criterios de impacto(Afectación Económica o presupuestal y Pérdida Reputacional)",R215)</f>
        <v>El riesgo afecta la imagen de la entidad con algunos usuarios de relevancia frente al logro de los objetivos</v>
      </c>
      <c r="T215" s="610" t="str">
        <f ca="1">+IF(OR(S215='[1]Tabla Impacto'!$C$11,S215='[1]Tabla Impacto'!$D$11),"Leve",IF(OR(S215='[1]Tabla Impacto'!$C$12,S215='[1]Tabla Impacto'!$D$12),"Menor",IF(OR(S215='[1]Tabla Impacto'!$C$13,S215='[1]Tabla Impacto'!$D$13),"Moderado",IF(OR(S215='[1]Tabla Impacto'!$C$14,S215='[1]Tabla Impacto'!$D$14),"Mayor",IF(OR(S215='[1]Tabla Impacto'!$C$15,S215='[1]Tabla Impacto'!$D$15),"Catastrófico","")))))</f>
        <v>Moderado</v>
      </c>
      <c r="U215" s="611">
        <f t="shared" ref="U215" ca="1" si="289">IF(T215="","",IF(T215="Leve",0.2,IF(T215="Menor",0.4,IF(T215="Moderado",0.6,IF(T215="Mayor",0.8,IF(T215="Catastrófico",1,))))))</f>
        <v>0.6</v>
      </c>
      <c r="V215" s="252" t="str">
        <f t="shared" ref="V215" ca="1" si="290">IF(OR(AND(P215="Muy Baja",T215="Leve"),AND(P215="Muy Baja",T215="Menor"),AND(P215="Baja",T215="Leve")),"Bajo",IF(OR(AND(P215="Muy baja",T215="Moderado"),AND(P215="Baja",T215="Menor"),AND(P215="Baja",T215="Moderado"),AND(P215="Media",T215="Leve"),AND(P215="Media",T215="Menor"),AND(P215="Media",T215="Moderado"),AND(P215="Alta",T215="Leve"),AND(P215="Alta",T215="Menor")),"Moderado",IF(OR(AND(P215="Muy Baja",T215="Mayor"),AND(P215="Baja",T215="Mayor"),AND(P215="Media",T215="Mayor"),AND(P215="Alta",T215="Moderado"),AND(P215="Alta",T215="Mayor"),AND(P215="Muy Alta",T215="Leve"),AND(P215="Muy Alta",T215="Menor"),AND(P215="Muy Alta",T215="Moderado"),AND(P215="Muy Alta",T215="Mayor")),"Alto",IF(OR(AND(P215="Muy Baja",T215="Catastrófico"),AND(P215="Baja",T215="Catastrófico"),AND(P215="Media",T215="Catastrófico"),AND(P215="Alta",T215="Catastrófico"),AND(P215="Muy Alta",T215="Catastrófico")),"Extremo",""))))</f>
        <v>Alto</v>
      </c>
      <c r="W215" s="194">
        <v>1</v>
      </c>
      <c r="X215" s="192" t="s">
        <v>745</v>
      </c>
      <c r="Y215" s="194" t="str">
        <f t="shared" si="250"/>
        <v>Probabilidad</v>
      </c>
      <c r="Z215" s="188" t="s">
        <v>211</v>
      </c>
      <c r="AA215" s="188" t="s">
        <v>691</v>
      </c>
      <c r="AB215" s="185" t="s">
        <v>490</v>
      </c>
      <c r="AC215" s="188" t="s">
        <v>222</v>
      </c>
      <c r="AD215" s="188" t="s">
        <v>227</v>
      </c>
      <c r="AE215" s="188" t="s">
        <v>231</v>
      </c>
      <c r="AF215" s="602">
        <f t="shared" ref="AF215" si="291">IFERROR(IF(Y215="Probabilidad",(Q215-(+Q215*AB215)),IF(Y215="Impacto",Q215,"")),"")</f>
        <v>0.6</v>
      </c>
      <c r="AG215" s="186" t="str">
        <f t="shared" si="252"/>
        <v>Media</v>
      </c>
      <c r="AH215" s="185">
        <f t="shared" si="253"/>
        <v>0.6</v>
      </c>
      <c r="AI215" s="186" t="str">
        <f t="shared" ca="1" si="254"/>
        <v>Moderado</v>
      </c>
      <c r="AJ215" s="185">
        <f t="shared" ref="AJ215" ca="1" si="292">IFERROR(IF(Y215="Impacto",(U215-(+U215*AB215)),IF(Y215="Probabilidad",U215,"")),"")</f>
        <v>0.6</v>
      </c>
      <c r="AK215" s="187" t="str">
        <f t="shared" ca="1" si="256"/>
        <v>Moderado</v>
      </c>
      <c r="AL215" s="603" t="s">
        <v>258</v>
      </c>
      <c r="AM215" s="189"/>
      <c r="AN215" s="194"/>
      <c r="AO215" s="190"/>
      <c r="AP215" s="190"/>
      <c r="AQ215" s="191"/>
      <c r="AR215" s="194"/>
    </row>
    <row r="216" spans="1:44" s="605" customFormat="1" ht="90" x14ac:dyDescent="0.25">
      <c r="A216" s="252"/>
      <c r="B216" s="246"/>
      <c r="C216" s="251"/>
      <c r="D216" s="264"/>
      <c r="E216" s="253"/>
      <c r="F216" s="254"/>
      <c r="G216" s="254"/>
      <c r="H216" s="255"/>
      <c r="I216" s="249"/>
      <c r="J216" s="249"/>
      <c r="K216" s="249"/>
      <c r="L216" s="249"/>
      <c r="M216" s="253"/>
      <c r="N216" s="251"/>
      <c r="O216" s="256"/>
      <c r="P216" s="610"/>
      <c r="Q216" s="611"/>
      <c r="R216" s="611"/>
      <c r="S216" s="611">
        <f ca="1">IF(NOT(ISERROR(MATCH(R216,_xlfn.ANCHORARRAY(H227),0))),Q229&amp;"Por favor no seleccionar los criterios de impacto",R216)</f>
        <v>0</v>
      </c>
      <c r="T216" s="610"/>
      <c r="U216" s="611"/>
      <c r="V216" s="252"/>
      <c r="W216" s="194">
        <v>2</v>
      </c>
      <c r="X216" s="192" t="s">
        <v>746</v>
      </c>
      <c r="Y216" s="194" t="str">
        <f t="shared" si="250"/>
        <v>Probabilidad</v>
      </c>
      <c r="Z216" s="188" t="s">
        <v>211</v>
      </c>
      <c r="AA216" s="188" t="s">
        <v>691</v>
      </c>
      <c r="AB216" s="185" t="s">
        <v>490</v>
      </c>
      <c r="AC216" s="188" t="s">
        <v>222</v>
      </c>
      <c r="AD216" s="188" t="s">
        <v>227</v>
      </c>
      <c r="AE216" s="188" t="s">
        <v>231</v>
      </c>
      <c r="AF216" s="602">
        <f t="shared" ref="AF216:AF220" si="293">IFERROR(IF(AND(Y215="Probabilidad",Y216="Probabilidad"),(AH215-(+AH215*AB216)),IF(Y216="Probabilidad",(Q215-(+Q215*AB216)),IF(Y216="Impacto",AH215,""))),"")</f>
        <v>0.36</v>
      </c>
      <c r="AG216" s="186" t="str">
        <f t="shared" si="252"/>
        <v>Baja</v>
      </c>
      <c r="AH216" s="185">
        <f t="shared" si="253"/>
        <v>0.36</v>
      </c>
      <c r="AI216" s="186" t="str">
        <f t="shared" ca="1" si="254"/>
        <v>Moderado</v>
      </c>
      <c r="AJ216" s="185">
        <f t="shared" ref="AJ216" ca="1" si="294">IFERROR(IF(AND(Y215="Impacto",Y216="Impacto"),(AJ215-(+AJ215*AB216)),IF(Y216="Impacto",(U215-(+U215*AB216)),IF(Y216="Probabilidad",AJ215,""))),"")</f>
        <v>0.6</v>
      </c>
      <c r="AK216" s="187" t="str">
        <f t="shared" ca="1" si="256"/>
        <v>Moderado</v>
      </c>
      <c r="AL216" s="603" t="s">
        <v>258</v>
      </c>
      <c r="AM216" s="189"/>
      <c r="AN216" s="194"/>
      <c r="AO216" s="190"/>
      <c r="AP216" s="190"/>
      <c r="AQ216" s="191"/>
      <c r="AR216" s="194"/>
    </row>
    <row r="217" spans="1:44" s="605" customFormat="1" ht="69" hidden="1" customHeight="1" x14ac:dyDescent="0.25">
      <c r="A217" s="252"/>
      <c r="B217" s="246"/>
      <c r="C217" s="251"/>
      <c r="D217" s="264"/>
      <c r="E217" s="253"/>
      <c r="F217" s="254"/>
      <c r="G217" s="254"/>
      <c r="H217" s="255"/>
      <c r="I217" s="249"/>
      <c r="J217" s="249"/>
      <c r="K217" s="249"/>
      <c r="L217" s="249"/>
      <c r="M217" s="253"/>
      <c r="N217" s="251"/>
      <c r="O217" s="256"/>
      <c r="P217" s="610"/>
      <c r="Q217" s="611"/>
      <c r="R217" s="611"/>
      <c r="S217" s="611">
        <f ca="1">IF(NOT(ISERROR(MATCH(R217,_xlfn.ANCHORARRAY(H228),0))),Q230&amp;"Por favor no seleccionar los criterios de impacto",R217)</f>
        <v>0</v>
      </c>
      <c r="T217" s="610"/>
      <c r="U217" s="611"/>
      <c r="V217" s="252"/>
      <c r="W217" s="194">
        <v>3</v>
      </c>
      <c r="X217" s="192"/>
      <c r="Y217" s="194" t="str">
        <f t="shared" si="250"/>
        <v/>
      </c>
      <c r="Z217" s="188"/>
      <c r="AA217" s="188"/>
      <c r="AB217" s="185" t="str">
        <f t="shared" si="257"/>
        <v/>
      </c>
      <c r="AC217" s="188"/>
      <c r="AD217" s="188"/>
      <c r="AE217" s="188"/>
      <c r="AF217" s="602" t="str">
        <f t="shared" si="293"/>
        <v/>
      </c>
      <c r="AG217" s="186" t="str">
        <f t="shared" si="252"/>
        <v/>
      </c>
      <c r="AH217" s="185" t="str">
        <f t="shared" si="253"/>
        <v/>
      </c>
      <c r="AI217" s="186" t="str">
        <f t="shared" si="254"/>
        <v/>
      </c>
      <c r="AJ217" s="185" t="str">
        <f t="shared" ref="AJ217:AJ220" si="295">IFERROR(IF(AND(Y216="Impacto",Y217="Impacto"),(AJ216-(+AJ216*AB217)),IF(AND(Y216="Probabilidad",Y217="Impacto"),(AJ215-(+AJ215*AB217)),IF(Y217="Probabilidad",AJ216,""))),"")</f>
        <v/>
      </c>
      <c r="AK217" s="187" t="str">
        <f t="shared" si="256"/>
        <v/>
      </c>
      <c r="AL217" s="603"/>
      <c r="AM217" s="189"/>
      <c r="AN217" s="194"/>
      <c r="AO217" s="190"/>
      <c r="AP217" s="190"/>
      <c r="AQ217" s="191"/>
      <c r="AR217" s="194"/>
    </row>
    <row r="218" spans="1:44" s="605" customFormat="1" ht="69" hidden="1" customHeight="1" x14ac:dyDescent="0.25">
      <c r="A218" s="252"/>
      <c r="B218" s="246"/>
      <c r="C218" s="251"/>
      <c r="D218" s="264"/>
      <c r="E218" s="253"/>
      <c r="F218" s="254"/>
      <c r="G218" s="254"/>
      <c r="H218" s="255"/>
      <c r="I218" s="249"/>
      <c r="J218" s="249"/>
      <c r="K218" s="249"/>
      <c r="L218" s="249"/>
      <c r="M218" s="253"/>
      <c r="N218" s="251"/>
      <c r="O218" s="256"/>
      <c r="P218" s="610"/>
      <c r="Q218" s="611"/>
      <c r="R218" s="611"/>
      <c r="S218" s="611">
        <f ca="1">IF(NOT(ISERROR(MATCH(R218,_xlfn.ANCHORARRAY(H229),0))),Q231&amp;"Por favor no seleccionar los criterios de impacto",R218)</f>
        <v>0</v>
      </c>
      <c r="T218" s="610"/>
      <c r="U218" s="611"/>
      <c r="V218" s="252"/>
      <c r="W218" s="194">
        <v>4</v>
      </c>
      <c r="X218" s="192"/>
      <c r="Y218" s="194" t="str">
        <f t="shared" si="250"/>
        <v/>
      </c>
      <c r="Z218" s="188"/>
      <c r="AA218" s="188"/>
      <c r="AB218" s="185" t="str">
        <f t="shared" si="257"/>
        <v/>
      </c>
      <c r="AC218" s="188"/>
      <c r="AD218" s="188"/>
      <c r="AE218" s="188"/>
      <c r="AF218" s="602" t="str">
        <f t="shared" si="293"/>
        <v/>
      </c>
      <c r="AG218" s="186" t="str">
        <f t="shared" si="252"/>
        <v/>
      </c>
      <c r="AH218" s="185" t="str">
        <f t="shared" si="253"/>
        <v/>
      </c>
      <c r="AI218" s="186" t="str">
        <f t="shared" si="254"/>
        <v/>
      </c>
      <c r="AJ218" s="185" t="str">
        <f t="shared" si="295"/>
        <v/>
      </c>
      <c r="AK218" s="187" t="str">
        <f t="shared" si="256"/>
        <v/>
      </c>
      <c r="AL218" s="603"/>
      <c r="AM218" s="189"/>
      <c r="AN218" s="194"/>
      <c r="AO218" s="190"/>
      <c r="AP218" s="190"/>
      <c r="AQ218" s="191"/>
      <c r="AR218" s="194"/>
    </row>
    <row r="219" spans="1:44" s="605" customFormat="1" ht="69" hidden="1" customHeight="1" x14ac:dyDescent="0.25">
      <c r="A219" s="252"/>
      <c r="B219" s="246"/>
      <c r="C219" s="251"/>
      <c r="D219" s="264"/>
      <c r="E219" s="253"/>
      <c r="F219" s="254"/>
      <c r="G219" s="254"/>
      <c r="H219" s="255"/>
      <c r="I219" s="249"/>
      <c r="J219" s="249"/>
      <c r="K219" s="249"/>
      <c r="L219" s="249"/>
      <c r="M219" s="253"/>
      <c r="N219" s="251"/>
      <c r="O219" s="256"/>
      <c r="P219" s="610"/>
      <c r="Q219" s="611"/>
      <c r="R219" s="611"/>
      <c r="S219" s="611">
        <f ca="1">IF(NOT(ISERROR(MATCH(R219,_xlfn.ANCHORARRAY(H230),0))),Q232&amp;"Por favor no seleccionar los criterios de impacto",R219)</f>
        <v>0</v>
      </c>
      <c r="T219" s="610"/>
      <c r="U219" s="611"/>
      <c r="V219" s="252"/>
      <c r="W219" s="194">
        <v>5</v>
      </c>
      <c r="X219" s="192"/>
      <c r="Y219" s="194" t="str">
        <f t="shared" si="250"/>
        <v/>
      </c>
      <c r="Z219" s="188"/>
      <c r="AA219" s="188"/>
      <c r="AB219" s="185" t="str">
        <f t="shared" si="257"/>
        <v/>
      </c>
      <c r="AC219" s="188"/>
      <c r="AD219" s="188"/>
      <c r="AE219" s="188"/>
      <c r="AF219" s="602" t="str">
        <f t="shared" si="293"/>
        <v/>
      </c>
      <c r="AG219" s="186" t="str">
        <f t="shared" si="252"/>
        <v/>
      </c>
      <c r="AH219" s="185" t="str">
        <f t="shared" si="253"/>
        <v/>
      </c>
      <c r="AI219" s="186" t="str">
        <f t="shared" si="254"/>
        <v/>
      </c>
      <c r="AJ219" s="185" t="str">
        <f t="shared" si="295"/>
        <v/>
      </c>
      <c r="AK219" s="187" t="str">
        <f t="shared" si="256"/>
        <v/>
      </c>
      <c r="AL219" s="603"/>
      <c r="AM219" s="189"/>
      <c r="AN219" s="194"/>
      <c r="AO219" s="190"/>
      <c r="AP219" s="190"/>
      <c r="AQ219" s="191"/>
      <c r="AR219" s="194"/>
    </row>
    <row r="220" spans="1:44" s="605" customFormat="1" ht="69" hidden="1" customHeight="1" x14ac:dyDescent="0.25">
      <c r="A220" s="252"/>
      <c r="B220" s="247"/>
      <c r="C220" s="239"/>
      <c r="D220" s="265"/>
      <c r="E220" s="253"/>
      <c r="F220" s="254"/>
      <c r="G220" s="254"/>
      <c r="H220" s="255"/>
      <c r="I220" s="250"/>
      <c r="J220" s="250"/>
      <c r="K220" s="250"/>
      <c r="L220" s="250"/>
      <c r="M220" s="253"/>
      <c r="N220" s="239"/>
      <c r="O220" s="256"/>
      <c r="P220" s="610"/>
      <c r="Q220" s="611"/>
      <c r="R220" s="611"/>
      <c r="S220" s="611">
        <f ca="1">IF(NOT(ISERROR(MATCH(R220,_xlfn.ANCHORARRAY(H231),0))),Q233&amp;"Por favor no seleccionar los criterios de impacto",R220)</f>
        <v>0</v>
      </c>
      <c r="T220" s="610"/>
      <c r="U220" s="611"/>
      <c r="V220" s="252"/>
      <c r="W220" s="194">
        <v>6</v>
      </c>
      <c r="X220" s="192"/>
      <c r="Y220" s="194" t="str">
        <f t="shared" si="250"/>
        <v/>
      </c>
      <c r="Z220" s="188"/>
      <c r="AA220" s="188"/>
      <c r="AB220" s="185" t="str">
        <f t="shared" si="257"/>
        <v/>
      </c>
      <c r="AC220" s="188"/>
      <c r="AD220" s="188"/>
      <c r="AE220" s="188"/>
      <c r="AF220" s="602" t="str">
        <f t="shared" si="293"/>
        <v/>
      </c>
      <c r="AG220" s="186" t="str">
        <f t="shared" si="252"/>
        <v/>
      </c>
      <c r="AH220" s="185" t="str">
        <f t="shared" si="253"/>
        <v/>
      </c>
      <c r="AI220" s="186" t="str">
        <f t="shared" si="254"/>
        <v/>
      </c>
      <c r="AJ220" s="185" t="str">
        <f t="shared" si="295"/>
        <v/>
      </c>
      <c r="AK220" s="187" t="str">
        <f t="shared" si="256"/>
        <v/>
      </c>
      <c r="AL220" s="603"/>
      <c r="AM220" s="189"/>
      <c r="AN220" s="194"/>
      <c r="AO220" s="190"/>
      <c r="AP220" s="190"/>
      <c r="AQ220" s="191"/>
      <c r="AR220" s="194"/>
    </row>
    <row r="221" spans="1:44" s="605" customFormat="1" ht="252.75" customHeight="1" x14ac:dyDescent="0.25">
      <c r="A221" s="252">
        <v>35</v>
      </c>
      <c r="B221" s="245" t="s">
        <v>747</v>
      </c>
      <c r="C221" s="238" t="s">
        <v>275</v>
      </c>
      <c r="D221" s="268" t="s">
        <v>748</v>
      </c>
      <c r="E221" s="253" t="s">
        <v>243</v>
      </c>
      <c r="F221" s="254" t="s">
        <v>749</v>
      </c>
      <c r="G221" s="254" t="s">
        <v>750</v>
      </c>
      <c r="H221" s="255" t="s">
        <v>751</v>
      </c>
      <c r="I221" s="248" t="s">
        <v>480</v>
      </c>
      <c r="J221" s="248" t="s">
        <v>480</v>
      </c>
      <c r="K221" s="248" t="s">
        <v>480</v>
      </c>
      <c r="L221" s="248" t="s">
        <v>480</v>
      </c>
      <c r="M221" s="253" t="s">
        <v>242</v>
      </c>
      <c r="N221" s="238"/>
      <c r="O221" s="256">
        <v>5001</v>
      </c>
      <c r="P221" s="610" t="str">
        <f t="shared" si="246"/>
        <v>Muy Alta</v>
      </c>
      <c r="Q221" s="611">
        <f t="shared" si="247"/>
        <v>1</v>
      </c>
      <c r="R221" s="611" t="s">
        <v>193</v>
      </c>
      <c r="S221" s="611" t="str">
        <f ca="1">IF(NOT(ISERROR(MATCH(R221,'Tabla Impacto'!$B$221:$B$223,0))),'Tabla Impacto'!$F$223&amp;"Por favor no seleccionar los criterios de impacto(Afectación Económica o presupuestal y Pérdida Reputacional)",R221)</f>
        <v>El riesgo afecta la imagen de la entidad con algunos usuarios de relevancia frente al logro de los objetivos</v>
      </c>
      <c r="T221" s="610" t="str">
        <f ca="1">+IF(OR(S221='[1]Tabla Impacto'!$C$11,S221='[1]Tabla Impacto'!$D$11),"Leve",IF(OR(S221='[1]Tabla Impacto'!$C$12,S221='[1]Tabla Impacto'!$D$12),"Menor",IF(OR(S221='[1]Tabla Impacto'!$C$13,S221='[1]Tabla Impacto'!$D$13),"Moderado",IF(OR(S221='[1]Tabla Impacto'!$C$14,S221='[1]Tabla Impacto'!$D$14),"Mayor",IF(OR(S221='[1]Tabla Impacto'!$C$15,S221='[1]Tabla Impacto'!$D$15),"Catastrófico","")))))</f>
        <v>Moderado</v>
      </c>
      <c r="U221" s="611">
        <f t="shared" ref="U221" ca="1" si="296">IF(T221="","",IF(T221="Leve",0.2,IF(T221="Menor",0.4,IF(T221="Moderado",0.6,IF(T221="Mayor",0.8,IF(T221="Catastrófico",1,))))))</f>
        <v>0.6</v>
      </c>
      <c r="V221" s="252" t="str">
        <f t="shared" ref="V221" ca="1" si="297">IF(OR(AND(P221="Muy Baja",T221="Leve"),AND(P221="Muy Baja",T221="Menor"),AND(P221="Baja",T221="Leve")),"Bajo",IF(OR(AND(P221="Muy baja",T221="Moderado"),AND(P221="Baja",T221="Menor"),AND(P221="Baja",T221="Moderado"),AND(P221="Media",T221="Leve"),AND(P221="Media",T221="Menor"),AND(P221="Media",T221="Moderado"),AND(P221="Alta",T221="Leve"),AND(P221="Alta",T221="Menor")),"Moderado",IF(OR(AND(P221="Muy Baja",T221="Mayor"),AND(P221="Baja",T221="Mayor"),AND(P221="Media",T221="Mayor"),AND(P221="Alta",T221="Moderado"),AND(P221="Alta",T221="Mayor"),AND(P221="Muy Alta",T221="Leve"),AND(P221="Muy Alta",T221="Menor"),AND(P221="Muy Alta",T221="Moderado"),AND(P221="Muy Alta",T221="Mayor")),"Alto",IF(OR(AND(P221="Muy Baja",T221="Catastrófico"),AND(P221="Baja",T221="Catastrófico"),AND(P221="Media",T221="Catastrófico"),AND(P221="Alta",T221="Catastrófico"),AND(P221="Muy Alta",T221="Catastrófico")),"Extremo",""))))</f>
        <v>Alto</v>
      </c>
      <c r="W221" s="194">
        <v>1</v>
      </c>
      <c r="X221" s="192" t="s">
        <v>752</v>
      </c>
      <c r="Y221" s="194" t="str">
        <f t="shared" si="250"/>
        <v>Probabilidad</v>
      </c>
      <c r="Z221" s="188" t="s">
        <v>211</v>
      </c>
      <c r="AA221" s="188" t="s">
        <v>219</v>
      </c>
      <c r="AB221" s="185" t="s">
        <v>490</v>
      </c>
      <c r="AC221" s="188" t="s">
        <v>222</v>
      </c>
      <c r="AD221" s="188" t="s">
        <v>227</v>
      </c>
      <c r="AE221" s="188" t="s">
        <v>231</v>
      </c>
      <c r="AF221" s="602">
        <f t="shared" ref="AF221" si="298">IFERROR(IF(Y221="Probabilidad",(Q221-(+Q221*AB221)),IF(Y221="Impacto",Q221,"")),"")</f>
        <v>0.6</v>
      </c>
      <c r="AG221" s="186" t="str">
        <f t="shared" si="252"/>
        <v>Media</v>
      </c>
      <c r="AH221" s="185">
        <f t="shared" si="253"/>
        <v>0.6</v>
      </c>
      <c r="AI221" s="186" t="str">
        <f t="shared" ca="1" si="254"/>
        <v>Moderado</v>
      </c>
      <c r="AJ221" s="185">
        <f t="shared" ref="AJ221" ca="1" si="299">IFERROR(IF(Y221="Impacto",(U221-(+U221*AB221)),IF(Y221="Probabilidad",U221,"")),"")</f>
        <v>0.6</v>
      </c>
      <c r="AK221" s="187" t="str">
        <f t="shared" ca="1" si="256"/>
        <v>Moderado</v>
      </c>
      <c r="AL221" s="603" t="s">
        <v>258</v>
      </c>
      <c r="AM221" s="189"/>
      <c r="AN221" s="194"/>
      <c r="AO221" s="190"/>
      <c r="AP221" s="190"/>
      <c r="AQ221" s="191"/>
      <c r="AR221" s="194"/>
    </row>
    <row r="222" spans="1:44" s="605" customFormat="1" ht="218.25" customHeight="1" x14ac:dyDescent="0.25">
      <c r="A222" s="252"/>
      <c r="B222" s="246"/>
      <c r="C222" s="251"/>
      <c r="D222" s="264"/>
      <c r="E222" s="253"/>
      <c r="F222" s="254"/>
      <c r="G222" s="254"/>
      <c r="H222" s="255"/>
      <c r="I222" s="249"/>
      <c r="J222" s="249"/>
      <c r="K222" s="249"/>
      <c r="L222" s="249"/>
      <c r="M222" s="253"/>
      <c r="N222" s="251"/>
      <c r="O222" s="256"/>
      <c r="P222" s="610"/>
      <c r="Q222" s="611"/>
      <c r="R222" s="611"/>
      <c r="S222" s="611">
        <f ca="1">IF(NOT(ISERROR(MATCH(R222,_xlfn.ANCHORARRAY(H233),0))),Q235&amp;"Por favor no seleccionar los criterios de impacto",R222)</f>
        <v>0</v>
      </c>
      <c r="T222" s="610"/>
      <c r="U222" s="611"/>
      <c r="V222" s="252"/>
      <c r="W222" s="194">
        <v>2</v>
      </c>
      <c r="X222" s="192" t="s">
        <v>753</v>
      </c>
      <c r="Y222" s="194" t="str">
        <f t="shared" si="250"/>
        <v>Probabilidad</v>
      </c>
      <c r="Z222" s="188" t="s">
        <v>211</v>
      </c>
      <c r="AA222" s="188" t="s">
        <v>219</v>
      </c>
      <c r="AB222" s="185" t="s">
        <v>490</v>
      </c>
      <c r="AC222" s="188" t="s">
        <v>222</v>
      </c>
      <c r="AD222" s="188" t="s">
        <v>227</v>
      </c>
      <c r="AE222" s="188" t="s">
        <v>231</v>
      </c>
      <c r="AF222" s="602">
        <f t="shared" ref="AF222:AF226" si="300">IFERROR(IF(AND(Y221="Probabilidad",Y222="Probabilidad"),(AH221-(+AH221*AB222)),IF(Y222="Probabilidad",(Q221-(+Q221*AB222)),IF(Y222="Impacto",AH221,""))),"")</f>
        <v>0.36</v>
      </c>
      <c r="AG222" s="186" t="str">
        <f t="shared" si="252"/>
        <v>Baja</v>
      </c>
      <c r="AH222" s="185">
        <f t="shared" si="253"/>
        <v>0.36</v>
      </c>
      <c r="AI222" s="186" t="str">
        <f t="shared" ca="1" si="254"/>
        <v>Moderado</v>
      </c>
      <c r="AJ222" s="185">
        <f t="shared" ref="AJ222" ca="1" si="301">IFERROR(IF(AND(Y221="Impacto",Y222="Impacto"),(AJ221-(+AJ221*AB222)),IF(Y222="Impacto",(U221-(+U221*AB222)),IF(Y222="Probabilidad",AJ221,""))),"")</f>
        <v>0.6</v>
      </c>
      <c r="AK222" s="187" t="str">
        <f t="shared" ca="1" si="256"/>
        <v>Moderado</v>
      </c>
      <c r="AL222" s="603" t="s">
        <v>258</v>
      </c>
      <c r="AM222" s="189"/>
      <c r="AN222" s="194"/>
      <c r="AO222" s="190"/>
      <c r="AP222" s="190"/>
      <c r="AQ222" s="191"/>
      <c r="AR222" s="194"/>
    </row>
    <row r="223" spans="1:44" s="605" customFormat="1" ht="69" hidden="1" customHeight="1" x14ac:dyDescent="0.25">
      <c r="A223" s="252"/>
      <c r="B223" s="246"/>
      <c r="C223" s="251"/>
      <c r="D223" s="264"/>
      <c r="E223" s="253"/>
      <c r="F223" s="254"/>
      <c r="G223" s="254"/>
      <c r="H223" s="255"/>
      <c r="I223" s="249"/>
      <c r="J223" s="249"/>
      <c r="K223" s="249"/>
      <c r="L223" s="249"/>
      <c r="M223" s="253"/>
      <c r="N223" s="251"/>
      <c r="O223" s="256"/>
      <c r="P223" s="610"/>
      <c r="Q223" s="611"/>
      <c r="R223" s="611"/>
      <c r="S223" s="611">
        <f ca="1">IF(NOT(ISERROR(MATCH(R223,_xlfn.ANCHORARRAY(H234),0))),Q236&amp;"Por favor no seleccionar los criterios de impacto",R223)</f>
        <v>0</v>
      </c>
      <c r="T223" s="610"/>
      <c r="U223" s="611"/>
      <c r="V223" s="252"/>
      <c r="W223" s="194">
        <v>3</v>
      </c>
      <c r="X223" s="192"/>
      <c r="Y223" s="194" t="str">
        <f t="shared" si="250"/>
        <v/>
      </c>
      <c r="Z223" s="188"/>
      <c r="AA223" s="188"/>
      <c r="AB223" s="185" t="str">
        <f t="shared" si="257"/>
        <v/>
      </c>
      <c r="AC223" s="188"/>
      <c r="AD223" s="188"/>
      <c r="AE223" s="188"/>
      <c r="AF223" s="602" t="str">
        <f t="shared" si="300"/>
        <v/>
      </c>
      <c r="AG223" s="186" t="str">
        <f t="shared" si="252"/>
        <v/>
      </c>
      <c r="AH223" s="185" t="str">
        <f t="shared" si="253"/>
        <v/>
      </c>
      <c r="AI223" s="186" t="str">
        <f t="shared" si="254"/>
        <v/>
      </c>
      <c r="AJ223" s="185" t="str">
        <f t="shared" ref="AJ223:AJ226" si="302">IFERROR(IF(AND(Y222="Impacto",Y223="Impacto"),(AJ222-(+AJ222*AB223)),IF(AND(Y222="Probabilidad",Y223="Impacto"),(AJ221-(+AJ221*AB223)),IF(Y223="Probabilidad",AJ222,""))),"")</f>
        <v/>
      </c>
      <c r="AK223" s="187" t="str">
        <f t="shared" si="256"/>
        <v/>
      </c>
      <c r="AL223" s="603"/>
      <c r="AM223" s="189"/>
      <c r="AN223" s="194"/>
      <c r="AO223" s="190"/>
      <c r="AP223" s="190"/>
      <c r="AQ223" s="191"/>
      <c r="AR223" s="194"/>
    </row>
    <row r="224" spans="1:44" s="605" customFormat="1" ht="69" hidden="1" customHeight="1" x14ac:dyDescent="0.25">
      <c r="A224" s="252"/>
      <c r="B224" s="246"/>
      <c r="C224" s="251"/>
      <c r="D224" s="264"/>
      <c r="E224" s="253"/>
      <c r="F224" s="254"/>
      <c r="G224" s="254"/>
      <c r="H224" s="255"/>
      <c r="I224" s="249"/>
      <c r="J224" s="249"/>
      <c r="K224" s="249"/>
      <c r="L224" s="249"/>
      <c r="M224" s="253"/>
      <c r="N224" s="251"/>
      <c r="O224" s="256"/>
      <c r="P224" s="610"/>
      <c r="Q224" s="611"/>
      <c r="R224" s="611"/>
      <c r="S224" s="611">
        <f ca="1">IF(NOT(ISERROR(MATCH(R224,_xlfn.ANCHORARRAY(H235),0))),Q237&amp;"Por favor no seleccionar los criterios de impacto",R224)</f>
        <v>0</v>
      </c>
      <c r="T224" s="610"/>
      <c r="U224" s="611"/>
      <c r="V224" s="252"/>
      <c r="W224" s="194">
        <v>4</v>
      </c>
      <c r="X224" s="192"/>
      <c r="Y224" s="194" t="str">
        <f t="shared" si="250"/>
        <v/>
      </c>
      <c r="Z224" s="188"/>
      <c r="AA224" s="188"/>
      <c r="AB224" s="185" t="str">
        <f t="shared" si="257"/>
        <v/>
      </c>
      <c r="AC224" s="188"/>
      <c r="AD224" s="188"/>
      <c r="AE224" s="188"/>
      <c r="AF224" s="602" t="str">
        <f t="shared" si="300"/>
        <v/>
      </c>
      <c r="AG224" s="186" t="str">
        <f t="shared" si="252"/>
        <v/>
      </c>
      <c r="AH224" s="185" t="str">
        <f t="shared" si="253"/>
        <v/>
      </c>
      <c r="AI224" s="186" t="str">
        <f t="shared" si="254"/>
        <v/>
      </c>
      <c r="AJ224" s="185" t="str">
        <f t="shared" si="302"/>
        <v/>
      </c>
      <c r="AK224" s="187" t="str">
        <f t="shared" si="256"/>
        <v/>
      </c>
      <c r="AL224" s="603"/>
      <c r="AM224" s="189"/>
      <c r="AN224" s="194"/>
      <c r="AO224" s="190"/>
      <c r="AP224" s="190"/>
      <c r="AQ224" s="191"/>
      <c r="AR224" s="194"/>
    </row>
    <row r="225" spans="1:44" s="605" customFormat="1" ht="69" hidden="1" customHeight="1" x14ac:dyDescent="0.25">
      <c r="A225" s="252"/>
      <c r="B225" s="246"/>
      <c r="C225" s="251"/>
      <c r="D225" s="264"/>
      <c r="E225" s="253"/>
      <c r="F225" s="254"/>
      <c r="G225" s="254"/>
      <c r="H225" s="255"/>
      <c r="I225" s="249"/>
      <c r="J225" s="249"/>
      <c r="K225" s="249"/>
      <c r="L225" s="249"/>
      <c r="M225" s="253"/>
      <c r="N225" s="251"/>
      <c r="O225" s="256"/>
      <c r="P225" s="610"/>
      <c r="Q225" s="611"/>
      <c r="R225" s="611"/>
      <c r="S225" s="611">
        <f ca="1">IF(NOT(ISERROR(MATCH(R225,_xlfn.ANCHORARRAY(H236),0))),Q238&amp;"Por favor no seleccionar los criterios de impacto",R225)</f>
        <v>0</v>
      </c>
      <c r="T225" s="610"/>
      <c r="U225" s="611"/>
      <c r="V225" s="252"/>
      <c r="W225" s="194">
        <v>5</v>
      </c>
      <c r="X225" s="192"/>
      <c r="Y225" s="194" t="str">
        <f t="shared" si="250"/>
        <v/>
      </c>
      <c r="Z225" s="188"/>
      <c r="AA225" s="188"/>
      <c r="AB225" s="185" t="str">
        <f t="shared" si="257"/>
        <v/>
      </c>
      <c r="AC225" s="188"/>
      <c r="AD225" s="188"/>
      <c r="AE225" s="188"/>
      <c r="AF225" s="602" t="str">
        <f t="shared" si="300"/>
        <v/>
      </c>
      <c r="AG225" s="186" t="str">
        <f t="shared" si="252"/>
        <v/>
      </c>
      <c r="AH225" s="185" t="str">
        <f t="shared" si="253"/>
        <v/>
      </c>
      <c r="AI225" s="186" t="str">
        <f t="shared" si="254"/>
        <v/>
      </c>
      <c r="AJ225" s="185" t="str">
        <f t="shared" si="302"/>
        <v/>
      </c>
      <c r="AK225" s="187" t="str">
        <f t="shared" si="256"/>
        <v/>
      </c>
      <c r="AL225" s="603"/>
      <c r="AM225" s="189"/>
      <c r="AN225" s="194"/>
      <c r="AO225" s="190"/>
      <c r="AP225" s="190"/>
      <c r="AQ225" s="191"/>
      <c r="AR225" s="194"/>
    </row>
    <row r="226" spans="1:44" s="605" customFormat="1" ht="69" hidden="1" customHeight="1" x14ac:dyDescent="0.25">
      <c r="A226" s="252"/>
      <c r="B226" s="247"/>
      <c r="C226" s="239"/>
      <c r="D226" s="265"/>
      <c r="E226" s="253"/>
      <c r="F226" s="254"/>
      <c r="G226" s="254"/>
      <c r="H226" s="255"/>
      <c r="I226" s="250"/>
      <c r="J226" s="250"/>
      <c r="K226" s="250"/>
      <c r="L226" s="250"/>
      <c r="M226" s="253"/>
      <c r="N226" s="239"/>
      <c r="O226" s="256"/>
      <c r="P226" s="610"/>
      <c r="Q226" s="611"/>
      <c r="R226" s="611"/>
      <c r="S226" s="611">
        <f ca="1">IF(NOT(ISERROR(MATCH(R226,_xlfn.ANCHORARRAY(H237),0))),Q239&amp;"Por favor no seleccionar los criterios de impacto",R226)</f>
        <v>0</v>
      </c>
      <c r="T226" s="610"/>
      <c r="U226" s="611"/>
      <c r="V226" s="252"/>
      <c r="W226" s="194">
        <v>6</v>
      </c>
      <c r="X226" s="192"/>
      <c r="Y226" s="194" t="str">
        <f t="shared" si="250"/>
        <v/>
      </c>
      <c r="Z226" s="188"/>
      <c r="AA226" s="188"/>
      <c r="AB226" s="185" t="str">
        <f t="shared" si="257"/>
        <v/>
      </c>
      <c r="AC226" s="188"/>
      <c r="AD226" s="188"/>
      <c r="AE226" s="188"/>
      <c r="AF226" s="602" t="str">
        <f t="shared" si="300"/>
        <v/>
      </c>
      <c r="AG226" s="186" t="str">
        <f t="shared" si="252"/>
        <v/>
      </c>
      <c r="AH226" s="185" t="str">
        <f t="shared" si="253"/>
        <v/>
      </c>
      <c r="AI226" s="186" t="str">
        <f t="shared" si="254"/>
        <v/>
      </c>
      <c r="AJ226" s="185" t="str">
        <f t="shared" si="302"/>
        <v/>
      </c>
      <c r="AK226" s="187" t="str">
        <f t="shared" si="256"/>
        <v/>
      </c>
      <c r="AL226" s="603"/>
      <c r="AM226" s="189"/>
      <c r="AN226" s="194"/>
      <c r="AO226" s="190"/>
      <c r="AP226" s="190"/>
      <c r="AQ226" s="191"/>
      <c r="AR226" s="194"/>
    </row>
    <row r="227" spans="1:44" s="605" customFormat="1" ht="229.5" customHeight="1" x14ac:dyDescent="0.25">
      <c r="A227" s="252">
        <v>36</v>
      </c>
      <c r="B227" s="245" t="s">
        <v>754</v>
      </c>
      <c r="C227" s="238" t="s">
        <v>275</v>
      </c>
      <c r="D227" s="268" t="s">
        <v>748</v>
      </c>
      <c r="E227" s="253" t="s">
        <v>243</v>
      </c>
      <c r="F227" s="254" t="s">
        <v>755</v>
      </c>
      <c r="G227" s="254" t="s">
        <v>756</v>
      </c>
      <c r="H227" s="255" t="s">
        <v>757</v>
      </c>
      <c r="I227" s="248" t="s">
        <v>480</v>
      </c>
      <c r="J227" s="248" t="s">
        <v>480</v>
      </c>
      <c r="K227" s="248" t="s">
        <v>480</v>
      </c>
      <c r="L227" s="248" t="s">
        <v>480</v>
      </c>
      <c r="M227" s="253" t="s">
        <v>244</v>
      </c>
      <c r="N227" s="238"/>
      <c r="O227" s="256">
        <v>5001</v>
      </c>
      <c r="P227" s="610" t="str">
        <f t="shared" si="246"/>
        <v>Muy Alta</v>
      </c>
      <c r="Q227" s="611">
        <f t="shared" si="247"/>
        <v>1</v>
      </c>
      <c r="R227" s="611" t="s">
        <v>193</v>
      </c>
      <c r="S227" s="611" t="str">
        <f ca="1">IF(NOT(ISERROR(MATCH(R227,'Tabla Impacto'!$B$221:$B$223,0))),'Tabla Impacto'!$F$223&amp;"Por favor no seleccionar los criterios de impacto(Afectación Económica o presupuestal y Pérdida Reputacional)",R227)</f>
        <v>El riesgo afecta la imagen de la entidad con algunos usuarios de relevancia frente al logro de los objetivos</v>
      </c>
      <c r="T227" s="610" t="str">
        <f ca="1">+IF(OR(S227='[1]Tabla Impacto'!$C$11,S227='[1]Tabla Impacto'!$D$11),"Leve",IF(OR(S227='[1]Tabla Impacto'!$C$12,S227='[1]Tabla Impacto'!$D$12),"Menor",IF(OR(S227='[1]Tabla Impacto'!$C$13,S227='[1]Tabla Impacto'!$D$13),"Moderado",IF(OR(S227='[1]Tabla Impacto'!$C$14,S227='[1]Tabla Impacto'!$D$14),"Mayor",IF(OR(S227='[1]Tabla Impacto'!$C$15,S227='[1]Tabla Impacto'!$D$15),"Catastrófico","")))))</f>
        <v>Moderado</v>
      </c>
      <c r="U227" s="611">
        <f t="shared" ref="U227" ca="1" si="303">IF(T227="","",IF(T227="Leve",0.2,IF(T227="Menor",0.4,IF(T227="Moderado",0.6,IF(T227="Mayor",0.8,IF(T227="Catastrófico",1,))))))</f>
        <v>0.6</v>
      </c>
      <c r="V227" s="252" t="str">
        <f t="shared" ref="V227" ca="1" si="304">IF(OR(AND(P227="Muy Baja",T227="Leve"),AND(P227="Muy Baja",T227="Menor"),AND(P227="Baja",T227="Leve")),"Bajo",IF(OR(AND(P227="Muy baja",T227="Moderado"),AND(P227="Baja",T227="Menor"),AND(P227="Baja",T227="Moderado"),AND(P227="Media",T227="Leve"),AND(P227="Media",T227="Menor"),AND(P227="Media",T227="Moderado"),AND(P227="Alta",T227="Leve"),AND(P227="Alta",T227="Menor")),"Moderado",IF(OR(AND(P227="Muy Baja",T227="Mayor"),AND(P227="Baja",T227="Mayor"),AND(P227="Media",T227="Mayor"),AND(P227="Alta",T227="Moderado"),AND(P227="Alta",T227="Mayor"),AND(P227="Muy Alta",T227="Leve"),AND(P227="Muy Alta",T227="Menor"),AND(P227="Muy Alta",T227="Moderado"),AND(P227="Muy Alta",T227="Mayor")),"Alto",IF(OR(AND(P227="Muy Baja",T227="Catastrófico"),AND(P227="Baja",T227="Catastrófico"),AND(P227="Media",T227="Catastrófico"),AND(P227="Alta",T227="Catastrófico"),AND(P227="Muy Alta",T227="Catastrófico")),"Extremo",""))))</f>
        <v>Alto</v>
      </c>
      <c r="W227" s="194">
        <v>1</v>
      </c>
      <c r="X227" s="192" t="s">
        <v>758</v>
      </c>
      <c r="Y227" s="194" t="str">
        <f t="shared" si="250"/>
        <v>Probabilidad</v>
      </c>
      <c r="Z227" s="188" t="s">
        <v>211</v>
      </c>
      <c r="AA227" s="188" t="s">
        <v>219</v>
      </c>
      <c r="AB227" s="185" t="s">
        <v>490</v>
      </c>
      <c r="AC227" s="188" t="s">
        <v>222</v>
      </c>
      <c r="AD227" s="188" t="s">
        <v>227</v>
      </c>
      <c r="AE227" s="188" t="s">
        <v>231</v>
      </c>
      <c r="AF227" s="602">
        <f t="shared" ref="AF227" si="305">IFERROR(IF(Y227="Probabilidad",(Q227-(+Q227*AB227)),IF(Y227="Impacto",Q227,"")),"")</f>
        <v>0.6</v>
      </c>
      <c r="AG227" s="186" t="str">
        <f t="shared" si="252"/>
        <v>Media</v>
      </c>
      <c r="AH227" s="185">
        <f t="shared" si="253"/>
        <v>0.6</v>
      </c>
      <c r="AI227" s="186" t="str">
        <f t="shared" ca="1" si="254"/>
        <v>Moderado</v>
      </c>
      <c r="AJ227" s="185">
        <f t="shared" ref="AJ227" ca="1" si="306">IFERROR(IF(Y227="Impacto",(U227-(+U227*AB227)),IF(Y227="Probabilidad",U227,"")),"")</f>
        <v>0.6</v>
      </c>
      <c r="AK227" s="187" t="str">
        <f t="shared" ca="1" si="256"/>
        <v>Moderado</v>
      </c>
      <c r="AL227" s="603" t="s">
        <v>258</v>
      </c>
      <c r="AM227" s="189"/>
      <c r="AN227" s="194"/>
      <c r="AO227" s="190"/>
      <c r="AP227" s="190"/>
      <c r="AQ227" s="191"/>
      <c r="AR227" s="194"/>
    </row>
    <row r="228" spans="1:44" s="605" customFormat="1" ht="69" hidden="1" customHeight="1" x14ac:dyDescent="0.25">
      <c r="A228" s="252"/>
      <c r="B228" s="246"/>
      <c r="C228" s="251"/>
      <c r="D228" s="264"/>
      <c r="E228" s="253"/>
      <c r="F228" s="254"/>
      <c r="G228" s="254"/>
      <c r="H228" s="255"/>
      <c r="I228" s="249"/>
      <c r="J228" s="249"/>
      <c r="K228" s="249"/>
      <c r="L228" s="249"/>
      <c r="M228" s="253"/>
      <c r="N228" s="251"/>
      <c r="O228" s="256"/>
      <c r="P228" s="610"/>
      <c r="Q228" s="611"/>
      <c r="R228" s="611"/>
      <c r="S228" s="611">
        <f ca="1">IF(NOT(ISERROR(MATCH(R228,_xlfn.ANCHORARRAY(H239),0))),Q241&amp;"Por favor no seleccionar los criterios de impacto",R228)</f>
        <v>0</v>
      </c>
      <c r="T228" s="610"/>
      <c r="U228" s="611"/>
      <c r="V228" s="252"/>
      <c r="W228" s="194">
        <v>2</v>
      </c>
      <c r="X228" s="192"/>
      <c r="Y228" s="194" t="str">
        <f t="shared" si="250"/>
        <v/>
      </c>
      <c r="Z228" s="188"/>
      <c r="AA228" s="188"/>
      <c r="AB228" s="185" t="str">
        <f t="shared" si="257"/>
        <v/>
      </c>
      <c r="AC228" s="188"/>
      <c r="AD228" s="188"/>
      <c r="AE228" s="188"/>
      <c r="AF228" s="602" t="str">
        <f t="shared" ref="AF228:AF232" si="307">IFERROR(IF(AND(Y227="Probabilidad",Y228="Probabilidad"),(AH227-(+AH227*AB228)),IF(Y228="Probabilidad",(Q227-(+Q227*AB228)),IF(Y228="Impacto",AH227,""))),"")</f>
        <v/>
      </c>
      <c r="AG228" s="186" t="str">
        <f t="shared" si="252"/>
        <v/>
      </c>
      <c r="AH228" s="185" t="str">
        <f t="shared" si="253"/>
        <v/>
      </c>
      <c r="AI228" s="186" t="str">
        <f t="shared" si="254"/>
        <v/>
      </c>
      <c r="AJ228" s="185" t="str">
        <f t="shared" ref="AJ228" si="308">IFERROR(IF(AND(Y227="Impacto",Y228="Impacto"),(AJ227-(+AJ227*AB228)),IF(Y228="Impacto",(U227-(+U227*AB228)),IF(Y228="Probabilidad",AJ227,""))),"")</f>
        <v/>
      </c>
      <c r="AK228" s="187" t="str">
        <f t="shared" si="256"/>
        <v/>
      </c>
      <c r="AL228" s="603"/>
      <c r="AM228" s="189"/>
      <c r="AN228" s="194"/>
      <c r="AO228" s="190"/>
      <c r="AP228" s="190"/>
      <c r="AQ228" s="191"/>
      <c r="AR228" s="194"/>
    </row>
    <row r="229" spans="1:44" s="605" customFormat="1" ht="69" hidden="1" customHeight="1" x14ac:dyDescent="0.25">
      <c r="A229" s="252"/>
      <c r="B229" s="246"/>
      <c r="C229" s="251"/>
      <c r="D229" s="264"/>
      <c r="E229" s="253"/>
      <c r="F229" s="254"/>
      <c r="G229" s="254"/>
      <c r="H229" s="255"/>
      <c r="I229" s="249"/>
      <c r="J229" s="249"/>
      <c r="K229" s="249"/>
      <c r="L229" s="249"/>
      <c r="M229" s="253"/>
      <c r="N229" s="251"/>
      <c r="O229" s="256"/>
      <c r="P229" s="610"/>
      <c r="Q229" s="611"/>
      <c r="R229" s="611"/>
      <c r="S229" s="611">
        <f ca="1">IF(NOT(ISERROR(MATCH(R229,_xlfn.ANCHORARRAY(H240),0))),Q242&amp;"Por favor no seleccionar los criterios de impacto",R229)</f>
        <v>0</v>
      </c>
      <c r="T229" s="610"/>
      <c r="U229" s="611"/>
      <c r="V229" s="252"/>
      <c r="W229" s="194">
        <v>3</v>
      </c>
      <c r="X229" s="192"/>
      <c r="Y229" s="194" t="str">
        <f t="shared" si="250"/>
        <v/>
      </c>
      <c r="Z229" s="188"/>
      <c r="AA229" s="188"/>
      <c r="AB229" s="185" t="str">
        <f t="shared" si="257"/>
        <v/>
      </c>
      <c r="AC229" s="188"/>
      <c r="AD229" s="188"/>
      <c r="AE229" s="188"/>
      <c r="AF229" s="602" t="str">
        <f t="shared" si="307"/>
        <v/>
      </c>
      <c r="AG229" s="186" t="str">
        <f t="shared" si="252"/>
        <v/>
      </c>
      <c r="AH229" s="185" t="str">
        <f t="shared" si="253"/>
        <v/>
      </c>
      <c r="AI229" s="186" t="str">
        <f t="shared" si="254"/>
        <v/>
      </c>
      <c r="AJ229" s="185" t="str">
        <f t="shared" ref="AJ229:AJ232" si="309">IFERROR(IF(AND(Y228="Impacto",Y229="Impacto"),(AJ228-(+AJ228*AB229)),IF(AND(Y228="Probabilidad",Y229="Impacto"),(AJ227-(+AJ227*AB229)),IF(Y229="Probabilidad",AJ228,""))),"")</f>
        <v/>
      </c>
      <c r="AK229" s="187" t="str">
        <f t="shared" si="256"/>
        <v/>
      </c>
      <c r="AL229" s="603"/>
      <c r="AM229" s="189"/>
      <c r="AN229" s="194"/>
      <c r="AO229" s="190"/>
      <c r="AP229" s="190"/>
      <c r="AQ229" s="191"/>
      <c r="AR229" s="194"/>
    </row>
    <row r="230" spans="1:44" s="605" customFormat="1" ht="69" hidden="1" customHeight="1" x14ac:dyDescent="0.25">
      <c r="A230" s="252"/>
      <c r="B230" s="246"/>
      <c r="C230" s="251"/>
      <c r="D230" s="264"/>
      <c r="E230" s="253"/>
      <c r="F230" s="254"/>
      <c r="G230" s="254"/>
      <c r="H230" s="255"/>
      <c r="I230" s="249"/>
      <c r="J230" s="249"/>
      <c r="K230" s="249"/>
      <c r="L230" s="249"/>
      <c r="M230" s="253"/>
      <c r="N230" s="251"/>
      <c r="O230" s="256"/>
      <c r="P230" s="610"/>
      <c r="Q230" s="611"/>
      <c r="R230" s="611"/>
      <c r="S230" s="611">
        <f ca="1">IF(NOT(ISERROR(MATCH(R230,_xlfn.ANCHORARRAY(H241),0))),Q243&amp;"Por favor no seleccionar los criterios de impacto",R230)</f>
        <v>0</v>
      </c>
      <c r="T230" s="610"/>
      <c r="U230" s="611"/>
      <c r="V230" s="252"/>
      <c r="W230" s="194">
        <v>4</v>
      </c>
      <c r="X230" s="192"/>
      <c r="Y230" s="194" t="str">
        <f t="shared" si="250"/>
        <v/>
      </c>
      <c r="Z230" s="188"/>
      <c r="AA230" s="188"/>
      <c r="AB230" s="185" t="str">
        <f t="shared" si="257"/>
        <v/>
      </c>
      <c r="AC230" s="188"/>
      <c r="AD230" s="188"/>
      <c r="AE230" s="188"/>
      <c r="AF230" s="602" t="str">
        <f t="shared" si="307"/>
        <v/>
      </c>
      <c r="AG230" s="186" t="str">
        <f t="shared" si="252"/>
        <v/>
      </c>
      <c r="AH230" s="185" t="str">
        <f t="shared" si="253"/>
        <v/>
      </c>
      <c r="AI230" s="186" t="str">
        <f t="shared" si="254"/>
        <v/>
      </c>
      <c r="AJ230" s="185" t="str">
        <f t="shared" si="309"/>
        <v/>
      </c>
      <c r="AK230" s="187" t="str">
        <f t="shared" si="256"/>
        <v/>
      </c>
      <c r="AL230" s="603"/>
      <c r="AM230" s="189"/>
      <c r="AN230" s="194"/>
      <c r="AO230" s="190"/>
      <c r="AP230" s="190"/>
      <c r="AQ230" s="191"/>
      <c r="AR230" s="194"/>
    </row>
    <row r="231" spans="1:44" s="605" customFormat="1" ht="69" hidden="1" customHeight="1" x14ac:dyDescent="0.25">
      <c r="A231" s="252"/>
      <c r="B231" s="246"/>
      <c r="C231" s="251"/>
      <c r="D231" s="264"/>
      <c r="E231" s="253"/>
      <c r="F231" s="254"/>
      <c r="G231" s="254"/>
      <c r="H231" s="255"/>
      <c r="I231" s="249"/>
      <c r="J231" s="249"/>
      <c r="K231" s="249"/>
      <c r="L231" s="249"/>
      <c r="M231" s="253"/>
      <c r="N231" s="251"/>
      <c r="O231" s="256"/>
      <c r="P231" s="610"/>
      <c r="Q231" s="611"/>
      <c r="R231" s="611"/>
      <c r="S231" s="611">
        <f ca="1">IF(NOT(ISERROR(MATCH(R231,_xlfn.ANCHORARRAY(H242),0))),Q244&amp;"Por favor no seleccionar los criterios de impacto",R231)</f>
        <v>0</v>
      </c>
      <c r="T231" s="610"/>
      <c r="U231" s="611"/>
      <c r="V231" s="252"/>
      <c r="W231" s="194">
        <v>5</v>
      </c>
      <c r="X231" s="192"/>
      <c r="Y231" s="194" t="str">
        <f t="shared" si="250"/>
        <v/>
      </c>
      <c r="Z231" s="188"/>
      <c r="AA231" s="188"/>
      <c r="AB231" s="185" t="str">
        <f t="shared" si="257"/>
        <v/>
      </c>
      <c r="AC231" s="188"/>
      <c r="AD231" s="188"/>
      <c r="AE231" s="188"/>
      <c r="AF231" s="602" t="str">
        <f t="shared" si="307"/>
        <v/>
      </c>
      <c r="AG231" s="186" t="str">
        <f t="shared" si="252"/>
        <v/>
      </c>
      <c r="AH231" s="185" t="str">
        <f t="shared" si="253"/>
        <v/>
      </c>
      <c r="AI231" s="186" t="str">
        <f t="shared" si="254"/>
        <v/>
      </c>
      <c r="AJ231" s="185" t="str">
        <f t="shared" si="309"/>
        <v/>
      </c>
      <c r="AK231" s="187" t="str">
        <f t="shared" si="256"/>
        <v/>
      </c>
      <c r="AL231" s="603"/>
      <c r="AM231" s="189"/>
      <c r="AN231" s="194"/>
      <c r="AO231" s="190"/>
      <c r="AP231" s="190"/>
      <c r="AQ231" s="191"/>
      <c r="AR231" s="194"/>
    </row>
    <row r="232" spans="1:44" s="605" customFormat="1" ht="69" hidden="1" customHeight="1" x14ac:dyDescent="0.25">
      <c r="A232" s="252"/>
      <c r="B232" s="247"/>
      <c r="C232" s="239"/>
      <c r="D232" s="265"/>
      <c r="E232" s="253"/>
      <c r="F232" s="254"/>
      <c r="G232" s="254"/>
      <c r="H232" s="255"/>
      <c r="I232" s="250"/>
      <c r="J232" s="250"/>
      <c r="K232" s="250"/>
      <c r="L232" s="250"/>
      <c r="M232" s="253"/>
      <c r="N232" s="239"/>
      <c r="O232" s="256"/>
      <c r="P232" s="610"/>
      <c r="Q232" s="611"/>
      <c r="R232" s="611"/>
      <c r="S232" s="611">
        <f ca="1">IF(NOT(ISERROR(MATCH(R232,_xlfn.ANCHORARRAY(H243),0))),Q245&amp;"Por favor no seleccionar los criterios de impacto",R232)</f>
        <v>0</v>
      </c>
      <c r="T232" s="610"/>
      <c r="U232" s="611"/>
      <c r="V232" s="252"/>
      <c r="W232" s="194">
        <v>6</v>
      </c>
      <c r="X232" s="192"/>
      <c r="Y232" s="194" t="str">
        <f t="shared" si="250"/>
        <v/>
      </c>
      <c r="Z232" s="188"/>
      <c r="AA232" s="188"/>
      <c r="AB232" s="185" t="str">
        <f t="shared" si="257"/>
        <v/>
      </c>
      <c r="AC232" s="188"/>
      <c r="AD232" s="188"/>
      <c r="AE232" s="188"/>
      <c r="AF232" s="602" t="str">
        <f t="shared" si="307"/>
        <v/>
      </c>
      <c r="AG232" s="186" t="str">
        <f t="shared" si="252"/>
        <v/>
      </c>
      <c r="AH232" s="185" t="str">
        <f t="shared" si="253"/>
        <v/>
      </c>
      <c r="AI232" s="186" t="str">
        <f t="shared" si="254"/>
        <v/>
      </c>
      <c r="AJ232" s="185" t="str">
        <f t="shared" si="309"/>
        <v/>
      </c>
      <c r="AK232" s="187" t="str">
        <f t="shared" si="256"/>
        <v/>
      </c>
      <c r="AL232" s="603"/>
      <c r="AM232" s="189"/>
      <c r="AN232" s="194"/>
      <c r="AO232" s="190"/>
      <c r="AP232" s="190"/>
      <c r="AQ232" s="191"/>
      <c r="AR232" s="194"/>
    </row>
    <row r="233" spans="1:44" s="605" customFormat="1" ht="115.5" customHeight="1" x14ac:dyDescent="0.25">
      <c r="A233" s="252">
        <v>37</v>
      </c>
      <c r="B233" s="245" t="s">
        <v>759</v>
      </c>
      <c r="C233" s="238" t="s">
        <v>276</v>
      </c>
      <c r="D233" s="238" t="s">
        <v>760</v>
      </c>
      <c r="E233" s="253" t="s">
        <v>243</v>
      </c>
      <c r="F233" s="254" t="s">
        <v>761</v>
      </c>
      <c r="G233" s="254" t="s">
        <v>762</v>
      </c>
      <c r="H233" s="255" t="s">
        <v>763</v>
      </c>
      <c r="I233" s="248" t="s">
        <v>480</v>
      </c>
      <c r="J233" s="248" t="s">
        <v>480</v>
      </c>
      <c r="K233" s="248" t="s">
        <v>480</v>
      </c>
      <c r="L233" s="248" t="s">
        <v>480</v>
      </c>
      <c r="M233" s="253" t="s">
        <v>242</v>
      </c>
      <c r="N233" s="238"/>
      <c r="O233" s="256">
        <v>11</v>
      </c>
      <c r="P233" s="610" t="str">
        <f t="shared" si="246"/>
        <v>Baja</v>
      </c>
      <c r="Q233" s="611">
        <f t="shared" si="247"/>
        <v>0.4</v>
      </c>
      <c r="R233" s="611" t="s">
        <v>193</v>
      </c>
      <c r="S233" s="611" t="str">
        <f ca="1">IF(NOT(ISERROR(MATCH(R233,'Tabla Impacto'!$B$221:$B$223,0))),'Tabla Impacto'!$F$223&amp;"Por favor no seleccionar los criterios de impacto(Afectación Económica o presupuestal y Pérdida Reputacional)",R233)</f>
        <v>El riesgo afecta la imagen de la entidad con algunos usuarios de relevancia frente al logro de los objetivos</v>
      </c>
      <c r="T233" s="610" t="str">
        <f ca="1">+IF(OR(S233='[1]Tabla Impacto'!$C$11,S233='[1]Tabla Impacto'!$D$11),"Leve",IF(OR(S233='[1]Tabla Impacto'!$C$12,S233='[1]Tabla Impacto'!$D$12),"Menor",IF(OR(S233='[1]Tabla Impacto'!$C$13,S233='[1]Tabla Impacto'!$D$13),"Moderado",IF(OR(S233='[1]Tabla Impacto'!$C$14,S233='[1]Tabla Impacto'!$D$14),"Mayor",IF(OR(S233='[1]Tabla Impacto'!$C$15,S233='[1]Tabla Impacto'!$D$15),"Catastrófico","")))))</f>
        <v>Moderado</v>
      </c>
      <c r="U233" s="611">
        <f t="shared" ref="U233" ca="1" si="310">IF(T233="","",IF(T233="Leve",0.2,IF(T233="Menor",0.4,IF(T233="Moderado",0.6,IF(T233="Mayor",0.8,IF(T233="Catastrófico",1,))))))</f>
        <v>0.6</v>
      </c>
      <c r="V233" s="252" t="str">
        <f t="shared" ref="V233" ca="1" si="311">IF(OR(AND(P233="Muy Baja",T233="Leve"),AND(P233="Muy Baja",T233="Menor"),AND(P233="Baja",T233="Leve")),"Bajo",IF(OR(AND(P233="Muy baja",T233="Moderado"),AND(P233="Baja",T233="Menor"),AND(P233="Baja",T233="Moderado"),AND(P233="Media",T233="Leve"),AND(P233="Media",T233="Menor"),AND(P233="Media",T233="Moderado"),AND(P233="Alta",T233="Leve"),AND(P233="Alta",T233="Menor")),"Moderado",IF(OR(AND(P233="Muy Baja",T233="Mayor"),AND(P233="Baja",T233="Mayor"),AND(P233="Media",T233="Mayor"),AND(P233="Alta",T233="Moderado"),AND(P233="Alta",T233="Mayor"),AND(P233="Muy Alta",T233="Leve"),AND(P233="Muy Alta",T233="Menor"),AND(P233="Muy Alta",T233="Moderado"),AND(P233="Muy Alta",T233="Mayor")),"Alto",IF(OR(AND(P233="Muy Baja",T233="Catastrófico"),AND(P233="Baja",T233="Catastrófico"),AND(P233="Media",T233="Catastrófico"),AND(P233="Alta",T233="Catastrófico"),AND(P233="Muy Alta",T233="Catastrófico")),"Extremo",""))))</f>
        <v>Moderado</v>
      </c>
      <c r="W233" s="194">
        <v>1</v>
      </c>
      <c r="X233" s="192" t="s">
        <v>764</v>
      </c>
      <c r="Y233" s="194" t="str">
        <f t="shared" si="250"/>
        <v>Probabilidad</v>
      </c>
      <c r="Z233" s="188" t="s">
        <v>211</v>
      </c>
      <c r="AA233" s="188" t="s">
        <v>219</v>
      </c>
      <c r="AB233" s="185" t="str">
        <f t="shared" si="257"/>
        <v>40%</v>
      </c>
      <c r="AC233" s="188" t="s">
        <v>222</v>
      </c>
      <c r="AD233" s="188" t="s">
        <v>227</v>
      </c>
      <c r="AE233" s="188" t="s">
        <v>231</v>
      </c>
      <c r="AF233" s="602">
        <f t="shared" ref="AF233" si="312">IFERROR(IF(Y233="Probabilidad",(Q233-(+Q233*AB233)),IF(Y233="Impacto",Q233,"")),"")</f>
        <v>0.24</v>
      </c>
      <c r="AG233" s="186" t="str">
        <f t="shared" si="252"/>
        <v>Baja</v>
      </c>
      <c r="AH233" s="185">
        <f t="shared" si="253"/>
        <v>0.24</v>
      </c>
      <c r="AI233" s="186" t="str">
        <f t="shared" ca="1" si="254"/>
        <v>Moderado</v>
      </c>
      <c r="AJ233" s="185">
        <f t="shared" ref="AJ233" ca="1" si="313">IFERROR(IF(Y233="Impacto",(U233-(+U233*AB233)),IF(Y233="Probabilidad",U233,"")),"")</f>
        <v>0.6</v>
      </c>
      <c r="AK233" s="187" t="str">
        <f t="shared" ca="1" si="256"/>
        <v>Moderado</v>
      </c>
      <c r="AL233" s="603" t="s">
        <v>258</v>
      </c>
      <c r="AM233" s="189"/>
      <c r="AN233" s="194"/>
      <c r="AO233" s="190"/>
      <c r="AP233" s="190"/>
      <c r="AQ233" s="191"/>
      <c r="AR233" s="194"/>
    </row>
    <row r="234" spans="1:44" s="605" customFormat="1" ht="69" hidden="1" customHeight="1" x14ac:dyDescent="0.25">
      <c r="A234" s="252"/>
      <c r="B234" s="246"/>
      <c r="C234" s="251"/>
      <c r="D234" s="251"/>
      <c r="E234" s="253"/>
      <c r="F234" s="254"/>
      <c r="G234" s="254"/>
      <c r="H234" s="255"/>
      <c r="I234" s="249"/>
      <c r="J234" s="249"/>
      <c r="K234" s="249"/>
      <c r="L234" s="249"/>
      <c r="M234" s="253"/>
      <c r="N234" s="251"/>
      <c r="O234" s="256"/>
      <c r="P234" s="610"/>
      <c r="Q234" s="611"/>
      <c r="R234" s="611"/>
      <c r="S234" s="611">
        <f ca="1">IF(NOT(ISERROR(MATCH(R234,_xlfn.ANCHORARRAY(H245),0))),Q247&amp;"Por favor no seleccionar los criterios de impacto",R234)</f>
        <v>0</v>
      </c>
      <c r="T234" s="610"/>
      <c r="U234" s="611"/>
      <c r="V234" s="252"/>
      <c r="W234" s="194">
        <v>2</v>
      </c>
      <c r="X234" s="192"/>
      <c r="Y234" s="194" t="str">
        <f t="shared" si="250"/>
        <v/>
      </c>
      <c r="Z234" s="188"/>
      <c r="AA234" s="188"/>
      <c r="AB234" s="185" t="str">
        <f t="shared" si="257"/>
        <v/>
      </c>
      <c r="AC234" s="188"/>
      <c r="AD234" s="188"/>
      <c r="AE234" s="188"/>
      <c r="AF234" s="602" t="str">
        <f t="shared" ref="AF234:AF238" si="314">IFERROR(IF(AND(Y233="Probabilidad",Y234="Probabilidad"),(AH233-(+AH233*AB234)),IF(Y234="Probabilidad",(Q233-(+Q233*AB234)),IF(Y234="Impacto",AH233,""))),"")</f>
        <v/>
      </c>
      <c r="AG234" s="186" t="str">
        <f t="shared" si="252"/>
        <v/>
      </c>
      <c r="AH234" s="185" t="str">
        <f t="shared" si="253"/>
        <v/>
      </c>
      <c r="AI234" s="186" t="str">
        <f t="shared" si="254"/>
        <v/>
      </c>
      <c r="AJ234" s="185" t="str">
        <f t="shared" ref="AJ234" si="315">IFERROR(IF(AND(Y233="Impacto",Y234="Impacto"),(AJ233-(+AJ233*AB234)),IF(Y234="Impacto",(U233-(+U233*AB234)),IF(Y234="Probabilidad",AJ233,""))),"")</f>
        <v/>
      </c>
      <c r="AK234" s="187" t="str">
        <f t="shared" si="256"/>
        <v/>
      </c>
      <c r="AL234" s="603"/>
      <c r="AM234" s="189"/>
      <c r="AN234" s="194"/>
      <c r="AO234" s="190"/>
      <c r="AP234" s="190"/>
      <c r="AQ234" s="191"/>
      <c r="AR234" s="194"/>
    </row>
    <row r="235" spans="1:44" s="605" customFormat="1" ht="69" hidden="1" customHeight="1" x14ac:dyDescent="0.25">
      <c r="A235" s="252"/>
      <c r="B235" s="246"/>
      <c r="C235" s="251"/>
      <c r="D235" s="251"/>
      <c r="E235" s="253"/>
      <c r="F235" s="254"/>
      <c r="G235" s="254"/>
      <c r="H235" s="255"/>
      <c r="I235" s="249"/>
      <c r="J235" s="249"/>
      <c r="K235" s="249"/>
      <c r="L235" s="249"/>
      <c r="M235" s="253"/>
      <c r="N235" s="251"/>
      <c r="O235" s="256"/>
      <c r="P235" s="610"/>
      <c r="Q235" s="611"/>
      <c r="R235" s="611"/>
      <c r="S235" s="611">
        <f ca="1">IF(NOT(ISERROR(MATCH(R235,_xlfn.ANCHORARRAY(H246),0))),Q248&amp;"Por favor no seleccionar los criterios de impacto",R235)</f>
        <v>0</v>
      </c>
      <c r="T235" s="610"/>
      <c r="U235" s="611"/>
      <c r="V235" s="252"/>
      <c r="W235" s="194">
        <v>3</v>
      </c>
      <c r="X235" s="192"/>
      <c r="Y235" s="194" t="str">
        <f t="shared" si="250"/>
        <v/>
      </c>
      <c r="Z235" s="188"/>
      <c r="AA235" s="188"/>
      <c r="AB235" s="185" t="str">
        <f t="shared" si="257"/>
        <v/>
      </c>
      <c r="AC235" s="188"/>
      <c r="AD235" s="188"/>
      <c r="AE235" s="188"/>
      <c r="AF235" s="602" t="str">
        <f t="shared" si="314"/>
        <v/>
      </c>
      <c r="AG235" s="186" t="str">
        <f t="shared" si="252"/>
        <v/>
      </c>
      <c r="AH235" s="185" t="str">
        <f t="shared" si="253"/>
        <v/>
      </c>
      <c r="AI235" s="186" t="str">
        <f t="shared" si="254"/>
        <v/>
      </c>
      <c r="AJ235" s="185" t="str">
        <f t="shared" ref="AJ235:AJ238" si="316">IFERROR(IF(AND(Y234="Impacto",Y235="Impacto"),(AJ234-(+AJ234*AB235)),IF(AND(Y234="Probabilidad",Y235="Impacto"),(AJ233-(+AJ233*AB235)),IF(Y235="Probabilidad",AJ234,""))),"")</f>
        <v/>
      </c>
      <c r="AK235" s="187" t="str">
        <f t="shared" si="256"/>
        <v/>
      </c>
      <c r="AL235" s="603"/>
      <c r="AM235" s="189"/>
      <c r="AN235" s="194"/>
      <c r="AO235" s="190"/>
      <c r="AP235" s="190"/>
      <c r="AQ235" s="191"/>
      <c r="AR235" s="194"/>
    </row>
    <row r="236" spans="1:44" s="605" customFormat="1" ht="69" hidden="1" customHeight="1" x14ac:dyDescent="0.25">
      <c r="A236" s="252"/>
      <c r="B236" s="246"/>
      <c r="C236" s="251"/>
      <c r="D236" s="251"/>
      <c r="E236" s="253"/>
      <c r="F236" s="254"/>
      <c r="G236" s="254"/>
      <c r="H236" s="255"/>
      <c r="I236" s="249"/>
      <c r="J236" s="249"/>
      <c r="K236" s="249"/>
      <c r="L236" s="249"/>
      <c r="M236" s="253"/>
      <c r="N236" s="251"/>
      <c r="O236" s="256"/>
      <c r="P236" s="610"/>
      <c r="Q236" s="611"/>
      <c r="R236" s="611"/>
      <c r="S236" s="611">
        <f ca="1">IF(NOT(ISERROR(MATCH(R236,_xlfn.ANCHORARRAY(H247),0))),Q249&amp;"Por favor no seleccionar los criterios de impacto",R236)</f>
        <v>0</v>
      </c>
      <c r="T236" s="610"/>
      <c r="U236" s="611"/>
      <c r="V236" s="252"/>
      <c r="W236" s="194">
        <v>4</v>
      </c>
      <c r="X236" s="192"/>
      <c r="Y236" s="194" t="str">
        <f t="shared" si="250"/>
        <v/>
      </c>
      <c r="Z236" s="188"/>
      <c r="AA236" s="188"/>
      <c r="AB236" s="185" t="str">
        <f t="shared" si="257"/>
        <v/>
      </c>
      <c r="AC236" s="188"/>
      <c r="AD236" s="188"/>
      <c r="AE236" s="188"/>
      <c r="AF236" s="602" t="str">
        <f t="shared" si="314"/>
        <v/>
      </c>
      <c r="AG236" s="186" t="str">
        <f t="shared" si="252"/>
        <v/>
      </c>
      <c r="AH236" s="185" t="str">
        <f t="shared" si="253"/>
        <v/>
      </c>
      <c r="AI236" s="186" t="str">
        <f t="shared" si="254"/>
        <v/>
      </c>
      <c r="AJ236" s="185" t="str">
        <f t="shared" si="316"/>
        <v/>
      </c>
      <c r="AK236" s="187" t="str">
        <f t="shared" si="256"/>
        <v/>
      </c>
      <c r="AL236" s="603"/>
      <c r="AM236" s="189"/>
      <c r="AN236" s="194"/>
      <c r="AO236" s="190"/>
      <c r="AP236" s="190"/>
      <c r="AQ236" s="191"/>
      <c r="AR236" s="194"/>
    </row>
    <row r="237" spans="1:44" s="605" customFormat="1" ht="69" hidden="1" customHeight="1" x14ac:dyDescent="0.25">
      <c r="A237" s="252"/>
      <c r="B237" s="246"/>
      <c r="C237" s="251"/>
      <c r="D237" s="251"/>
      <c r="E237" s="253"/>
      <c r="F237" s="254"/>
      <c r="G237" s="254"/>
      <c r="H237" s="255"/>
      <c r="I237" s="249"/>
      <c r="J237" s="249"/>
      <c r="K237" s="249"/>
      <c r="L237" s="249"/>
      <c r="M237" s="253"/>
      <c r="N237" s="251"/>
      <c r="O237" s="256"/>
      <c r="P237" s="610"/>
      <c r="Q237" s="611"/>
      <c r="R237" s="611"/>
      <c r="S237" s="611">
        <f ca="1">IF(NOT(ISERROR(MATCH(R237,_xlfn.ANCHORARRAY(H248),0))),Q250&amp;"Por favor no seleccionar los criterios de impacto",R237)</f>
        <v>0</v>
      </c>
      <c r="T237" s="610"/>
      <c r="U237" s="611"/>
      <c r="V237" s="252"/>
      <c r="W237" s="194">
        <v>5</v>
      </c>
      <c r="X237" s="192"/>
      <c r="Y237" s="194" t="str">
        <f t="shared" si="250"/>
        <v/>
      </c>
      <c r="Z237" s="188"/>
      <c r="AA237" s="188"/>
      <c r="AB237" s="185" t="str">
        <f t="shared" si="257"/>
        <v/>
      </c>
      <c r="AC237" s="188"/>
      <c r="AD237" s="188"/>
      <c r="AE237" s="188"/>
      <c r="AF237" s="602" t="str">
        <f t="shared" si="314"/>
        <v/>
      </c>
      <c r="AG237" s="186" t="str">
        <f t="shared" si="252"/>
        <v/>
      </c>
      <c r="AH237" s="185" t="str">
        <f t="shared" si="253"/>
        <v/>
      </c>
      <c r="AI237" s="186" t="str">
        <f t="shared" si="254"/>
        <v/>
      </c>
      <c r="AJ237" s="185" t="str">
        <f t="shared" si="316"/>
        <v/>
      </c>
      <c r="AK237" s="187" t="str">
        <f t="shared" si="256"/>
        <v/>
      </c>
      <c r="AL237" s="603"/>
      <c r="AM237" s="189"/>
      <c r="AN237" s="194"/>
      <c r="AO237" s="190"/>
      <c r="AP237" s="190"/>
      <c r="AQ237" s="191"/>
      <c r="AR237" s="194"/>
    </row>
    <row r="238" spans="1:44" s="605" customFormat="1" ht="69" hidden="1" customHeight="1" x14ac:dyDescent="0.25">
      <c r="A238" s="252"/>
      <c r="B238" s="247"/>
      <c r="C238" s="239"/>
      <c r="D238" s="239"/>
      <c r="E238" s="253"/>
      <c r="F238" s="254"/>
      <c r="G238" s="254"/>
      <c r="H238" s="255"/>
      <c r="I238" s="250"/>
      <c r="J238" s="250"/>
      <c r="K238" s="250"/>
      <c r="L238" s="250"/>
      <c r="M238" s="253"/>
      <c r="N238" s="239"/>
      <c r="O238" s="256"/>
      <c r="P238" s="610"/>
      <c r="Q238" s="611"/>
      <c r="R238" s="611"/>
      <c r="S238" s="611">
        <f ca="1">IF(NOT(ISERROR(MATCH(R238,_xlfn.ANCHORARRAY(H249),0))),Q251&amp;"Por favor no seleccionar los criterios de impacto",R238)</f>
        <v>0</v>
      </c>
      <c r="T238" s="610"/>
      <c r="U238" s="611"/>
      <c r="V238" s="252"/>
      <c r="W238" s="194">
        <v>6</v>
      </c>
      <c r="X238" s="192"/>
      <c r="Y238" s="194" t="str">
        <f t="shared" si="250"/>
        <v/>
      </c>
      <c r="Z238" s="188"/>
      <c r="AA238" s="188"/>
      <c r="AB238" s="185" t="str">
        <f t="shared" si="257"/>
        <v/>
      </c>
      <c r="AC238" s="188"/>
      <c r="AD238" s="188"/>
      <c r="AE238" s="188"/>
      <c r="AF238" s="602" t="str">
        <f t="shared" si="314"/>
        <v/>
      </c>
      <c r="AG238" s="186" t="str">
        <f t="shared" si="252"/>
        <v/>
      </c>
      <c r="AH238" s="185" t="str">
        <f t="shared" si="253"/>
        <v/>
      </c>
      <c r="AI238" s="186" t="str">
        <f t="shared" si="254"/>
        <v/>
      </c>
      <c r="AJ238" s="185" t="str">
        <f t="shared" si="316"/>
        <v/>
      </c>
      <c r="AK238" s="187" t="str">
        <f t="shared" si="256"/>
        <v/>
      </c>
      <c r="AL238" s="603"/>
      <c r="AM238" s="189"/>
      <c r="AN238" s="194"/>
      <c r="AO238" s="190"/>
      <c r="AP238" s="190"/>
      <c r="AQ238" s="191"/>
      <c r="AR238" s="194"/>
    </row>
    <row r="239" spans="1:44" s="605" customFormat="1" ht="96" customHeight="1" x14ac:dyDescent="0.25">
      <c r="A239" s="252">
        <v>38</v>
      </c>
      <c r="B239" s="245" t="s">
        <v>767</v>
      </c>
      <c r="C239" s="238" t="s">
        <v>276</v>
      </c>
      <c r="D239" s="238" t="s">
        <v>760</v>
      </c>
      <c r="E239" s="253" t="s">
        <v>239</v>
      </c>
      <c r="F239" s="254" t="s">
        <v>768</v>
      </c>
      <c r="G239" s="254" t="s">
        <v>769</v>
      </c>
      <c r="H239" s="255" t="s">
        <v>770</v>
      </c>
      <c r="I239" s="248" t="s">
        <v>480</v>
      </c>
      <c r="J239" s="248" t="s">
        <v>480</v>
      </c>
      <c r="K239" s="248" t="s">
        <v>480</v>
      </c>
      <c r="L239" s="248" t="s">
        <v>480</v>
      </c>
      <c r="M239" s="253" t="s">
        <v>249</v>
      </c>
      <c r="N239" s="238"/>
      <c r="O239" s="256">
        <v>4</v>
      </c>
      <c r="P239" s="610" t="str">
        <f t="shared" si="246"/>
        <v>Baja</v>
      </c>
      <c r="Q239" s="611">
        <f t="shared" si="247"/>
        <v>0.4</v>
      </c>
      <c r="R239" s="611" t="s">
        <v>192</v>
      </c>
      <c r="S239" s="611" t="str">
        <f ca="1">IF(NOT(ISERROR(MATCH(R239,'Tabla Impacto'!$B$221:$B$223,0))),'Tabla Impacto'!$F$223&amp;"Por favor no seleccionar los criterios de impacto(Afectación Económica o presupuestal y Pérdida Reputacional)",R239)</f>
        <v xml:space="preserve">Entre 50 y 100 SMLMV </v>
      </c>
      <c r="T239" s="610" t="str">
        <f ca="1">+IF(OR(S239='[1]Tabla Impacto'!$C$11,S239='[1]Tabla Impacto'!$D$11),"Leve",IF(OR(S239='[1]Tabla Impacto'!$C$12,S239='[1]Tabla Impacto'!$D$12),"Menor",IF(OR(S239='[1]Tabla Impacto'!$C$13,S239='[1]Tabla Impacto'!$D$13),"Moderado",IF(OR(S239='[1]Tabla Impacto'!$C$14,S239='[1]Tabla Impacto'!$D$14),"Mayor",IF(OR(S239='[1]Tabla Impacto'!$C$15,S239='[1]Tabla Impacto'!$D$15),"Catastrófico","")))))</f>
        <v>Moderado</v>
      </c>
      <c r="U239" s="611">
        <f t="shared" ref="U239" ca="1" si="317">IF(T239="","",IF(T239="Leve",0.2,IF(T239="Menor",0.4,IF(T239="Moderado",0.6,IF(T239="Mayor",0.8,IF(T239="Catastrófico",1,))))))</f>
        <v>0.6</v>
      </c>
      <c r="V239" s="252" t="str">
        <f t="shared" ref="V239" ca="1" si="318">IF(OR(AND(P239="Muy Baja",T239="Leve"),AND(P239="Muy Baja",T239="Menor"),AND(P239="Baja",T239="Leve")),"Bajo",IF(OR(AND(P239="Muy baja",T239="Moderado"),AND(P239="Baja",T239="Menor"),AND(P239="Baja",T239="Moderado"),AND(P239="Media",T239="Leve"),AND(P239="Media",T239="Menor"),AND(P239="Media",T239="Moderado"),AND(P239="Alta",T239="Leve"),AND(P239="Alta",T239="Menor")),"Moderado",IF(OR(AND(P239="Muy Baja",T239="Mayor"),AND(P239="Baja",T239="Mayor"),AND(P239="Media",T239="Mayor"),AND(P239="Alta",T239="Moderado"),AND(P239="Alta",T239="Mayor"),AND(P239="Muy Alta",T239="Leve"),AND(P239="Muy Alta",T239="Menor"),AND(P239="Muy Alta",T239="Moderado"),AND(P239="Muy Alta",T239="Mayor")),"Alto",IF(OR(AND(P239="Muy Baja",T239="Catastrófico"),AND(P239="Baja",T239="Catastrófico"),AND(P239="Media",T239="Catastrófico"),AND(P239="Alta",T239="Catastrófico"),AND(P239="Muy Alta",T239="Catastrófico")),"Extremo",""))))</f>
        <v>Moderado</v>
      </c>
      <c r="W239" s="194">
        <v>1</v>
      </c>
      <c r="X239" s="192" t="s">
        <v>765</v>
      </c>
      <c r="Y239" s="194" t="str">
        <f t="shared" si="250"/>
        <v>Probabilidad</v>
      </c>
      <c r="Z239" s="188" t="s">
        <v>211</v>
      </c>
      <c r="AA239" s="188" t="s">
        <v>219</v>
      </c>
      <c r="AB239" s="185" t="str">
        <f t="shared" si="257"/>
        <v>40%</v>
      </c>
      <c r="AC239" s="188" t="s">
        <v>222</v>
      </c>
      <c r="AD239" s="188" t="s">
        <v>227</v>
      </c>
      <c r="AE239" s="188" t="s">
        <v>231</v>
      </c>
      <c r="AF239" s="602">
        <f t="shared" ref="AF239" si="319">IFERROR(IF(Y239="Probabilidad",(Q239-(+Q239*AB239)),IF(Y239="Impacto",Q239,"")),"")</f>
        <v>0.24</v>
      </c>
      <c r="AG239" s="186" t="str">
        <f t="shared" si="252"/>
        <v>Baja</v>
      </c>
      <c r="AH239" s="185">
        <f t="shared" si="253"/>
        <v>0.24</v>
      </c>
      <c r="AI239" s="186" t="str">
        <f t="shared" ca="1" si="254"/>
        <v>Moderado</v>
      </c>
      <c r="AJ239" s="185">
        <f t="shared" ref="AJ239" ca="1" si="320">IFERROR(IF(Y239="Impacto",(U239-(+U239*AB239)),IF(Y239="Probabilidad",U239,"")),"")</f>
        <v>0.6</v>
      </c>
      <c r="AK239" s="187" t="str">
        <f t="shared" ca="1" si="256"/>
        <v>Moderado</v>
      </c>
      <c r="AL239" s="603" t="s">
        <v>258</v>
      </c>
      <c r="AM239" s="189"/>
      <c r="AN239" s="194"/>
      <c r="AO239" s="190"/>
      <c r="AP239" s="190"/>
      <c r="AQ239" s="191"/>
      <c r="AR239" s="194"/>
    </row>
    <row r="240" spans="1:44" s="605" customFormat="1" ht="93.75" customHeight="1" x14ac:dyDescent="0.25">
      <c r="A240" s="252"/>
      <c r="B240" s="246"/>
      <c r="C240" s="251"/>
      <c r="D240" s="251"/>
      <c r="E240" s="253"/>
      <c r="F240" s="254"/>
      <c r="G240" s="254"/>
      <c r="H240" s="255"/>
      <c r="I240" s="249"/>
      <c r="J240" s="249"/>
      <c r="K240" s="249"/>
      <c r="L240" s="249"/>
      <c r="M240" s="253"/>
      <c r="N240" s="251"/>
      <c r="O240" s="256"/>
      <c r="P240" s="610"/>
      <c r="Q240" s="611"/>
      <c r="R240" s="611"/>
      <c r="S240" s="611">
        <f ca="1">IF(NOT(ISERROR(MATCH(R240,_xlfn.ANCHORARRAY(H251),0))),Q253&amp;"Por favor no seleccionar los criterios de impacto",R240)</f>
        <v>0</v>
      </c>
      <c r="T240" s="610"/>
      <c r="U240" s="611"/>
      <c r="V240" s="252"/>
      <c r="W240" s="194">
        <v>2</v>
      </c>
      <c r="X240" s="192" t="s">
        <v>766</v>
      </c>
      <c r="Y240" s="194" t="str">
        <f t="shared" si="250"/>
        <v>Probabilidad</v>
      </c>
      <c r="Z240" s="188" t="s">
        <v>211</v>
      </c>
      <c r="AA240" s="188" t="s">
        <v>219</v>
      </c>
      <c r="AB240" s="185" t="str">
        <f t="shared" si="257"/>
        <v>40%</v>
      </c>
      <c r="AC240" s="188" t="s">
        <v>222</v>
      </c>
      <c r="AD240" s="188" t="s">
        <v>227</v>
      </c>
      <c r="AE240" s="188" t="s">
        <v>231</v>
      </c>
      <c r="AF240" s="602">
        <f t="shared" ref="AF240:AF244" si="321">IFERROR(IF(AND(Y239="Probabilidad",Y240="Probabilidad"),(AH239-(+AH239*AB240)),IF(Y240="Probabilidad",(Q239-(+Q239*AB240)),IF(Y240="Impacto",AH239,""))),"")</f>
        <v>0.14399999999999999</v>
      </c>
      <c r="AG240" s="186" t="str">
        <f t="shared" si="252"/>
        <v>Muy Baja</v>
      </c>
      <c r="AH240" s="185">
        <f t="shared" si="253"/>
        <v>0.14399999999999999</v>
      </c>
      <c r="AI240" s="186" t="str">
        <f t="shared" ca="1" si="254"/>
        <v>Moderado</v>
      </c>
      <c r="AJ240" s="185">
        <f t="shared" ref="AJ240" ca="1" si="322">IFERROR(IF(AND(Y239="Impacto",Y240="Impacto"),(AJ239-(+AJ239*AB240)),IF(Y240="Impacto",(U239-(+U239*AB240)),IF(Y240="Probabilidad",AJ239,""))),"")</f>
        <v>0.6</v>
      </c>
      <c r="AK240" s="187" t="str">
        <f t="shared" ca="1" si="256"/>
        <v>Moderado</v>
      </c>
      <c r="AL240" s="603" t="s">
        <v>258</v>
      </c>
      <c r="AM240" s="189"/>
      <c r="AN240" s="194"/>
      <c r="AO240" s="190"/>
      <c r="AP240" s="190"/>
      <c r="AQ240" s="191"/>
      <c r="AR240" s="194"/>
    </row>
    <row r="241" spans="1:44" s="605" customFormat="1" ht="69" hidden="1" customHeight="1" x14ac:dyDescent="0.25">
      <c r="A241" s="252"/>
      <c r="B241" s="246"/>
      <c r="C241" s="251"/>
      <c r="D241" s="251"/>
      <c r="E241" s="253"/>
      <c r="F241" s="254"/>
      <c r="G241" s="254"/>
      <c r="H241" s="255"/>
      <c r="I241" s="249"/>
      <c r="J241" s="249"/>
      <c r="K241" s="249"/>
      <c r="L241" s="249"/>
      <c r="M241" s="253"/>
      <c r="N241" s="251"/>
      <c r="O241" s="256"/>
      <c r="P241" s="610"/>
      <c r="Q241" s="611"/>
      <c r="R241" s="611"/>
      <c r="S241" s="611">
        <f ca="1">IF(NOT(ISERROR(MATCH(R241,_xlfn.ANCHORARRAY(H252),0))),Q254&amp;"Por favor no seleccionar los criterios de impacto",R241)</f>
        <v>0</v>
      </c>
      <c r="T241" s="610"/>
      <c r="U241" s="611"/>
      <c r="V241" s="252"/>
      <c r="W241" s="194">
        <v>3</v>
      </c>
      <c r="X241" s="192"/>
      <c r="Y241" s="194" t="str">
        <f t="shared" si="250"/>
        <v/>
      </c>
      <c r="Z241" s="188"/>
      <c r="AA241" s="188"/>
      <c r="AB241" s="185" t="str">
        <f t="shared" si="257"/>
        <v/>
      </c>
      <c r="AC241" s="188"/>
      <c r="AD241" s="188"/>
      <c r="AE241" s="188"/>
      <c r="AF241" s="602" t="str">
        <f t="shared" si="321"/>
        <v/>
      </c>
      <c r="AG241" s="186" t="str">
        <f t="shared" si="252"/>
        <v/>
      </c>
      <c r="AH241" s="185" t="str">
        <f t="shared" si="253"/>
        <v/>
      </c>
      <c r="AI241" s="186" t="str">
        <f t="shared" si="254"/>
        <v/>
      </c>
      <c r="AJ241" s="185" t="str">
        <f t="shared" ref="AJ241:AJ244" si="323">IFERROR(IF(AND(Y240="Impacto",Y241="Impacto"),(AJ240-(+AJ240*AB241)),IF(AND(Y240="Probabilidad",Y241="Impacto"),(AJ239-(+AJ239*AB241)),IF(Y241="Probabilidad",AJ240,""))),"")</f>
        <v/>
      </c>
      <c r="AK241" s="187" t="str">
        <f t="shared" si="256"/>
        <v/>
      </c>
      <c r="AL241" s="603"/>
      <c r="AM241" s="189"/>
      <c r="AN241" s="194"/>
      <c r="AO241" s="190"/>
      <c r="AP241" s="190"/>
      <c r="AQ241" s="191"/>
      <c r="AR241" s="194"/>
    </row>
    <row r="242" spans="1:44" s="605" customFormat="1" ht="69" hidden="1" customHeight="1" x14ac:dyDescent="0.25">
      <c r="A242" s="252"/>
      <c r="B242" s="246"/>
      <c r="C242" s="251"/>
      <c r="D242" s="251"/>
      <c r="E242" s="253"/>
      <c r="F242" s="254"/>
      <c r="G242" s="254"/>
      <c r="H242" s="255"/>
      <c r="I242" s="249"/>
      <c r="J242" s="249"/>
      <c r="K242" s="249"/>
      <c r="L242" s="249"/>
      <c r="M242" s="253"/>
      <c r="N242" s="251"/>
      <c r="O242" s="256"/>
      <c r="P242" s="610"/>
      <c r="Q242" s="611"/>
      <c r="R242" s="611"/>
      <c r="S242" s="611">
        <f ca="1">IF(NOT(ISERROR(MATCH(R242,_xlfn.ANCHORARRAY(H253),0))),Q255&amp;"Por favor no seleccionar los criterios de impacto",R242)</f>
        <v>0</v>
      </c>
      <c r="T242" s="610"/>
      <c r="U242" s="611"/>
      <c r="V242" s="252"/>
      <c r="W242" s="194">
        <v>4</v>
      </c>
      <c r="X242" s="192"/>
      <c r="Y242" s="194" t="str">
        <f t="shared" si="250"/>
        <v/>
      </c>
      <c r="Z242" s="188"/>
      <c r="AA242" s="188"/>
      <c r="AB242" s="185" t="str">
        <f t="shared" si="257"/>
        <v/>
      </c>
      <c r="AC242" s="188"/>
      <c r="AD242" s="188"/>
      <c r="AE242" s="188"/>
      <c r="AF242" s="602" t="str">
        <f t="shared" si="321"/>
        <v/>
      </c>
      <c r="AG242" s="186" t="str">
        <f t="shared" si="252"/>
        <v/>
      </c>
      <c r="AH242" s="185" t="str">
        <f t="shared" si="253"/>
        <v/>
      </c>
      <c r="AI242" s="186" t="str">
        <f t="shared" si="254"/>
        <v/>
      </c>
      <c r="AJ242" s="185" t="str">
        <f t="shared" si="323"/>
        <v/>
      </c>
      <c r="AK242" s="187" t="str">
        <f t="shared" si="256"/>
        <v/>
      </c>
      <c r="AL242" s="603"/>
      <c r="AM242" s="189"/>
      <c r="AN242" s="194"/>
      <c r="AO242" s="190"/>
      <c r="AP242" s="190"/>
      <c r="AQ242" s="191"/>
      <c r="AR242" s="194"/>
    </row>
    <row r="243" spans="1:44" s="605" customFormat="1" ht="69" hidden="1" customHeight="1" x14ac:dyDescent="0.25">
      <c r="A243" s="252"/>
      <c r="B243" s="246"/>
      <c r="C243" s="251"/>
      <c r="D243" s="251"/>
      <c r="E243" s="253"/>
      <c r="F243" s="254"/>
      <c r="G243" s="254"/>
      <c r="H243" s="255"/>
      <c r="I243" s="249"/>
      <c r="J243" s="249"/>
      <c r="K243" s="249"/>
      <c r="L243" s="249"/>
      <c r="M243" s="253"/>
      <c r="N243" s="251"/>
      <c r="O243" s="256"/>
      <c r="P243" s="610"/>
      <c r="Q243" s="611"/>
      <c r="R243" s="611"/>
      <c r="S243" s="611">
        <f ca="1">IF(NOT(ISERROR(MATCH(R243,_xlfn.ANCHORARRAY(H254),0))),Q256&amp;"Por favor no seleccionar los criterios de impacto",R243)</f>
        <v>0</v>
      </c>
      <c r="T243" s="610"/>
      <c r="U243" s="611"/>
      <c r="V243" s="252"/>
      <c r="W243" s="194">
        <v>5</v>
      </c>
      <c r="X243" s="192"/>
      <c r="Y243" s="194" t="str">
        <f t="shared" si="250"/>
        <v/>
      </c>
      <c r="Z243" s="188"/>
      <c r="AA243" s="188"/>
      <c r="AB243" s="185" t="str">
        <f t="shared" si="257"/>
        <v/>
      </c>
      <c r="AC243" s="188"/>
      <c r="AD243" s="188"/>
      <c r="AE243" s="188"/>
      <c r="AF243" s="602" t="str">
        <f t="shared" si="321"/>
        <v/>
      </c>
      <c r="AG243" s="186" t="str">
        <f t="shared" si="252"/>
        <v/>
      </c>
      <c r="AH243" s="185" t="str">
        <f t="shared" si="253"/>
        <v/>
      </c>
      <c r="AI243" s="186" t="str">
        <f t="shared" si="254"/>
        <v/>
      </c>
      <c r="AJ243" s="185" t="str">
        <f t="shared" si="323"/>
        <v/>
      </c>
      <c r="AK243" s="187" t="str">
        <f t="shared" si="256"/>
        <v/>
      </c>
      <c r="AL243" s="603"/>
      <c r="AM243" s="189"/>
      <c r="AN243" s="194"/>
      <c r="AO243" s="190"/>
      <c r="AP243" s="190"/>
      <c r="AQ243" s="191"/>
      <c r="AR243" s="194"/>
    </row>
    <row r="244" spans="1:44" s="605" customFormat="1" ht="69" hidden="1" customHeight="1" x14ac:dyDescent="0.25">
      <c r="A244" s="252"/>
      <c r="B244" s="247"/>
      <c r="C244" s="239"/>
      <c r="D244" s="239"/>
      <c r="E244" s="253"/>
      <c r="F244" s="254"/>
      <c r="G244" s="254"/>
      <c r="H244" s="255"/>
      <c r="I244" s="250"/>
      <c r="J244" s="250"/>
      <c r="K244" s="250"/>
      <c r="L244" s="250"/>
      <c r="M244" s="253"/>
      <c r="N244" s="239"/>
      <c r="O244" s="256"/>
      <c r="P244" s="610"/>
      <c r="Q244" s="611"/>
      <c r="R244" s="611"/>
      <c r="S244" s="611">
        <f ca="1">IF(NOT(ISERROR(MATCH(R244,_xlfn.ANCHORARRAY(H255),0))),Q257&amp;"Por favor no seleccionar los criterios de impacto",R244)</f>
        <v>0</v>
      </c>
      <c r="T244" s="610"/>
      <c r="U244" s="611"/>
      <c r="V244" s="252"/>
      <c r="W244" s="194">
        <v>6</v>
      </c>
      <c r="X244" s="192"/>
      <c r="Y244" s="194" t="str">
        <f t="shared" si="250"/>
        <v/>
      </c>
      <c r="Z244" s="188"/>
      <c r="AA244" s="188"/>
      <c r="AB244" s="185" t="str">
        <f t="shared" si="257"/>
        <v/>
      </c>
      <c r="AC244" s="188"/>
      <c r="AD244" s="188"/>
      <c r="AE244" s="188"/>
      <c r="AF244" s="602" t="str">
        <f t="shared" si="321"/>
        <v/>
      </c>
      <c r="AG244" s="186" t="str">
        <f t="shared" si="252"/>
        <v/>
      </c>
      <c r="AH244" s="185" t="str">
        <f t="shared" si="253"/>
        <v/>
      </c>
      <c r="AI244" s="186" t="str">
        <f t="shared" si="254"/>
        <v/>
      </c>
      <c r="AJ244" s="185" t="str">
        <f t="shared" si="323"/>
        <v/>
      </c>
      <c r="AK244" s="187" t="str">
        <f t="shared" si="256"/>
        <v/>
      </c>
      <c r="AL244" s="603"/>
      <c r="AM244" s="189"/>
      <c r="AN244" s="194"/>
      <c r="AO244" s="190"/>
      <c r="AP244" s="190"/>
      <c r="AQ244" s="191"/>
      <c r="AR244" s="194"/>
    </row>
    <row r="245" spans="1:44" s="605" customFormat="1" ht="111" customHeight="1" x14ac:dyDescent="0.25">
      <c r="A245" s="252">
        <v>39</v>
      </c>
      <c r="B245" s="245" t="s">
        <v>771</v>
      </c>
      <c r="C245" s="238" t="s">
        <v>276</v>
      </c>
      <c r="D245" s="245" t="s">
        <v>772</v>
      </c>
      <c r="E245" s="253" t="s">
        <v>241</v>
      </c>
      <c r="F245" s="254" t="s">
        <v>773</v>
      </c>
      <c r="G245" s="254" t="s">
        <v>774</v>
      </c>
      <c r="H245" s="255" t="s">
        <v>775</v>
      </c>
      <c r="I245" s="248" t="s">
        <v>480</v>
      </c>
      <c r="J245" s="248" t="s">
        <v>480</v>
      </c>
      <c r="K245" s="248" t="s">
        <v>480</v>
      </c>
      <c r="L245" s="248" t="s">
        <v>480</v>
      </c>
      <c r="M245" s="253" t="s">
        <v>242</v>
      </c>
      <c r="N245" s="238"/>
      <c r="O245" s="256">
        <v>4</v>
      </c>
      <c r="P245" s="610" t="str">
        <f t="shared" ref="P245:P287" si="324">IF(O245&lt;=0,"",IF(O245&lt;=2,"Muy Baja",IF(O245&lt;=24,"Baja",IF(O245&lt;=500,"Media",IF(O245&lt;=5000,"Alta","Muy Alta")))))</f>
        <v>Baja</v>
      </c>
      <c r="Q245" s="611">
        <f t="shared" ref="Q245:Q287" si="325">IF(P245="","",IF(P245="Muy Baja",0.2,IF(P245="Baja",0.4,IF(P245="Media",0.6,IF(P245="Alta",0.8,IF(P245="Muy Alta",1,))))))</f>
        <v>0.4</v>
      </c>
      <c r="R245" s="611" t="s">
        <v>193</v>
      </c>
      <c r="S245" s="611" t="str">
        <f ca="1">IF(NOT(ISERROR(MATCH(R245,'Tabla Impacto'!$B$221:$B$223,0))),'Tabla Impacto'!$F$223&amp;"Por favor no seleccionar los criterios de impacto(Afectación Económica o presupuestal y Pérdida Reputacional)",R245)</f>
        <v>El riesgo afecta la imagen de la entidad con algunos usuarios de relevancia frente al logro de los objetivos</v>
      </c>
      <c r="T245" s="610" t="str">
        <f ca="1">+IF(OR(S245='[1]Tabla Impacto'!$C$11,S245='[1]Tabla Impacto'!$D$11),"Leve",IF(OR(S245='[1]Tabla Impacto'!$C$12,S245='[1]Tabla Impacto'!$D$12),"Menor",IF(OR(S245='[1]Tabla Impacto'!$C$13,S245='[1]Tabla Impacto'!$D$13),"Moderado",IF(OR(S245='[1]Tabla Impacto'!$C$14,S245='[1]Tabla Impacto'!$D$14),"Mayor",IF(OR(S245='[1]Tabla Impacto'!$C$15,S245='[1]Tabla Impacto'!$D$15),"Catastrófico","")))))</f>
        <v>Moderado</v>
      </c>
      <c r="U245" s="611">
        <f t="shared" ref="U245" ca="1" si="326">IF(T245="","",IF(T245="Leve",0.2,IF(T245="Menor",0.4,IF(T245="Moderado",0.6,IF(T245="Mayor",0.8,IF(T245="Catastrófico",1,))))))</f>
        <v>0.6</v>
      </c>
      <c r="V245" s="252" t="str">
        <f t="shared" ref="V245" ca="1" si="327">IF(OR(AND(P245="Muy Baja",T245="Leve"),AND(P245="Muy Baja",T245="Menor"),AND(P245="Baja",T245="Leve")),"Bajo",IF(OR(AND(P245="Muy baja",T245="Moderado"),AND(P245="Baja",T245="Menor"),AND(P245="Baja",T245="Moderado"),AND(P245="Media",T245="Leve"),AND(P245="Media",T245="Menor"),AND(P245="Media",T245="Moderado"),AND(P245="Alta",T245="Leve"),AND(P245="Alta",T245="Menor")),"Moderado",IF(OR(AND(P245="Muy Baja",T245="Mayor"),AND(P245="Baja",T245="Mayor"),AND(P245="Media",T245="Mayor"),AND(P245="Alta",T245="Moderado"),AND(P245="Alta",T245="Mayor"),AND(P245="Muy Alta",T245="Leve"),AND(P245="Muy Alta",T245="Menor"),AND(P245="Muy Alta",T245="Moderado"),AND(P245="Muy Alta",T245="Mayor")),"Alto",IF(OR(AND(P245="Muy Baja",T245="Catastrófico"),AND(P245="Baja",T245="Catastrófico"),AND(P245="Media",T245="Catastrófico"),AND(P245="Alta",T245="Catastrófico"),AND(P245="Muy Alta",T245="Catastrófico")),"Extremo",""))))</f>
        <v>Moderado</v>
      </c>
      <c r="W245" s="194">
        <v>1</v>
      </c>
      <c r="X245" s="192" t="s">
        <v>776</v>
      </c>
      <c r="Y245" s="194" t="str">
        <f t="shared" ref="Y245:Y292" si="328">IF(OR(Z245="Preventivo",Z245="Detectivo"),"Probabilidad",IF(Z245="Correctivo","Impacto",""))</f>
        <v>Probabilidad</v>
      </c>
      <c r="Z245" s="188" t="s">
        <v>211</v>
      </c>
      <c r="AA245" s="188" t="s">
        <v>219</v>
      </c>
      <c r="AB245" s="185" t="str">
        <f t="shared" si="257"/>
        <v>40%</v>
      </c>
      <c r="AC245" s="188" t="s">
        <v>222</v>
      </c>
      <c r="AD245" s="188" t="s">
        <v>227</v>
      </c>
      <c r="AE245" s="188" t="s">
        <v>231</v>
      </c>
      <c r="AF245" s="602">
        <f t="shared" ref="AF245" si="329">IFERROR(IF(Y245="Probabilidad",(Q245-(+Q245*AB245)),IF(Y245="Impacto",Q245,"")),"")</f>
        <v>0.24</v>
      </c>
      <c r="AG245" s="186" t="str">
        <f t="shared" ref="AG245:AG292" si="330">IFERROR(IF(AF245="","",IF(AF245&lt;=0.2,"Muy Baja",IF(AF245&lt;=0.4,"Baja",IF(AF245&lt;=0.6,"Media",IF(AF245&lt;=0.8,"Alta","Muy Alta"))))),"")</f>
        <v>Baja</v>
      </c>
      <c r="AH245" s="185">
        <f t="shared" ref="AH245:AH292" si="331">+AF245</f>
        <v>0.24</v>
      </c>
      <c r="AI245" s="186" t="str">
        <f t="shared" ref="AI245:AI292" ca="1" si="332">IFERROR(IF(AJ245="","",IF(AJ245&lt;=0.2,"Leve",IF(AJ245&lt;=0.4,"Menor",IF(AJ245&lt;=0.6,"Moderado",IF(AJ245&lt;=0.8,"Mayor","Catastrófico"))))),"")</f>
        <v>Moderado</v>
      </c>
      <c r="AJ245" s="185">
        <f t="shared" ref="AJ245" ca="1" si="333">IFERROR(IF(Y245="Impacto",(U245-(+U245*AB245)),IF(Y245="Probabilidad",U245,"")),"")</f>
        <v>0.6</v>
      </c>
      <c r="AK245" s="187" t="str">
        <f t="shared" ref="AK245:AK292" ca="1" si="334">IFERROR(IF(OR(AND(AG245="Muy Baja",AI245="Leve"),AND(AG245="Muy Baja",AI245="Menor"),AND(AG245="Baja",AI245="Leve")),"Bajo",IF(OR(AND(AG245="Muy baja",AI245="Moderado"),AND(AG245="Baja",AI245="Menor"),AND(AG245="Baja",AI245="Moderado"),AND(AG245="Media",AI245="Leve"),AND(AG245="Media",AI245="Menor"),AND(AG245="Media",AI245="Moderado"),AND(AG245="Alta",AI245="Leve"),AND(AG245="Alta",AI245="Menor")),"Moderado",IF(OR(AND(AG245="Muy Baja",AI245="Mayor"),AND(AG245="Baja",AI245="Mayor"),AND(AG245="Media",AI245="Mayor"),AND(AG245="Alta",AI245="Moderado"),AND(AG245="Alta",AI245="Mayor"),AND(AG245="Muy Alta",AI245="Leve"),AND(AG245="Muy Alta",AI245="Menor"),AND(AG245="Muy Alta",AI245="Moderado"),AND(AG245="Muy Alta",AI245="Mayor")),"Alto",IF(OR(AND(AG245="Muy Baja",AI245="Catastrófico"),AND(AG245="Baja",AI245="Catastrófico"),AND(AG245="Media",AI245="Catastrófico"),AND(AG245="Alta",AI245="Catastrófico"),AND(AG245="Muy Alta",AI245="Catastrófico")),"Extremo","")))),"")</f>
        <v>Moderado</v>
      </c>
      <c r="AL245" s="603" t="s">
        <v>258</v>
      </c>
      <c r="AM245" s="189"/>
      <c r="AN245" s="194"/>
      <c r="AO245" s="190"/>
      <c r="AP245" s="190"/>
      <c r="AQ245" s="191"/>
      <c r="AR245" s="194"/>
    </row>
    <row r="246" spans="1:44" s="605" customFormat="1" ht="111" customHeight="1" x14ac:dyDescent="0.25">
      <c r="A246" s="252"/>
      <c r="B246" s="246"/>
      <c r="C246" s="251"/>
      <c r="D246" s="246"/>
      <c r="E246" s="253"/>
      <c r="F246" s="254"/>
      <c r="G246" s="254"/>
      <c r="H246" s="255"/>
      <c r="I246" s="249"/>
      <c r="J246" s="249"/>
      <c r="K246" s="249"/>
      <c r="L246" s="249"/>
      <c r="M246" s="253"/>
      <c r="N246" s="251"/>
      <c r="O246" s="256"/>
      <c r="P246" s="610"/>
      <c r="Q246" s="611"/>
      <c r="R246" s="611"/>
      <c r="S246" s="611">
        <f ca="1">IF(NOT(ISERROR(MATCH(R246,_xlfn.ANCHORARRAY(H257),0))),Q259&amp;"Por favor no seleccionar los criterios de impacto",R246)</f>
        <v>0</v>
      </c>
      <c r="T246" s="610"/>
      <c r="U246" s="611"/>
      <c r="V246" s="252"/>
      <c r="W246" s="194">
        <v>2</v>
      </c>
      <c r="X246" s="192" t="s">
        <v>777</v>
      </c>
      <c r="Y246" s="194" t="str">
        <f t="shared" si="328"/>
        <v>Probabilidad</v>
      </c>
      <c r="Z246" s="188" t="s">
        <v>211</v>
      </c>
      <c r="AA246" s="188" t="s">
        <v>219</v>
      </c>
      <c r="AB246" s="185" t="str">
        <f t="shared" si="257"/>
        <v>40%</v>
      </c>
      <c r="AC246" s="188" t="s">
        <v>222</v>
      </c>
      <c r="AD246" s="188" t="s">
        <v>227</v>
      </c>
      <c r="AE246" s="188" t="s">
        <v>231</v>
      </c>
      <c r="AF246" s="602">
        <f t="shared" ref="AF246:AF250" si="335">IFERROR(IF(AND(Y245="Probabilidad",Y246="Probabilidad"),(AH245-(+AH245*AB246)),IF(Y246="Probabilidad",(Q245-(+Q245*AB246)),IF(Y246="Impacto",AH245,""))),"")</f>
        <v>0.14399999999999999</v>
      </c>
      <c r="AG246" s="186" t="str">
        <f t="shared" si="330"/>
        <v>Muy Baja</v>
      </c>
      <c r="AH246" s="185">
        <f t="shared" si="331"/>
        <v>0.14399999999999999</v>
      </c>
      <c r="AI246" s="186" t="str">
        <f t="shared" ca="1" si="332"/>
        <v>Moderado</v>
      </c>
      <c r="AJ246" s="185">
        <f t="shared" ref="AJ246" ca="1" si="336">IFERROR(IF(AND(Y245="Impacto",Y246="Impacto"),(AJ245-(+AJ245*AB246)),IF(Y246="Impacto",(U245-(+U245*AB246)),IF(Y246="Probabilidad",AJ245,""))),"")</f>
        <v>0.6</v>
      </c>
      <c r="AK246" s="187" t="str">
        <f t="shared" ca="1" si="334"/>
        <v>Moderado</v>
      </c>
      <c r="AL246" s="603" t="s">
        <v>258</v>
      </c>
      <c r="AM246" s="189"/>
      <c r="AN246" s="194"/>
      <c r="AO246" s="190"/>
      <c r="AP246" s="190"/>
      <c r="AQ246" s="191"/>
      <c r="AR246" s="194"/>
    </row>
    <row r="247" spans="1:44" s="605" customFormat="1" ht="69" hidden="1" customHeight="1" x14ac:dyDescent="0.25">
      <c r="A247" s="252"/>
      <c r="B247" s="246"/>
      <c r="C247" s="251"/>
      <c r="D247" s="246"/>
      <c r="E247" s="253"/>
      <c r="F247" s="254"/>
      <c r="G247" s="254"/>
      <c r="H247" s="255"/>
      <c r="I247" s="249"/>
      <c r="J247" s="249"/>
      <c r="K247" s="249"/>
      <c r="L247" s="249"/>
      <c r="M247" s="253"/>
      <c r="N247" s="251"/>
      <c r="O247" s="256"/>
      <c r="P247" s="610"/>
      <c r="Q247" s="611"/>
      <c r="R247" s="611"/>
      <c r="S247" s="611">
        <f ca="1">IF(NOT(ISERROR(MATCH(R247,_xlfn.ANCHORARRAY(H258),0))),Q260&amp;"Por favor no seleccionar los criterios de impacto",R247)</f>
        <v>0</v>
      </c>
      <c r="T247" s="610"/>
      <c r="U247" s="611"/>
      <c r="V247" s="252"/>
      <c r="W247" s="194">
        <v>3</v>
      </c>
      <c r="X247" s="192"/>
      <c r="Y247" s="194" t="str">
        <f t="shared" si="328"/>
        <v/>
      </c>
      <c r="Z247" s="188"/>
      <c r="AA247" s="188"/>
      <c r="AB247" s="185" t="str">
        <f t="shared" ref="AB245:AB296" si="337">IF(AND(Z247="Preventivo",AA247="Automático"),"50%",IF(AND(Z247="Preventivo",AA247="Manual"),"40%",IF(AND(Z247="Detectivo",AA247="Automático"),"40%",IF(AND(Z247="Detectivo",AA247="Manual"),"30%",IF(AND(Z247="Correctivo",AA247="Automático"),"35%",IF(AND(Z247="Correctivo",AA247="Manual"),"25%",""))))))</f>
        <v/>
      </c>
      <c r="AC247" s="188"/>
      <c r="AD247" s="188"/>
      <c r="AE247" s="188"/>
      <c r="AF247" s="602" t="str">
        <f t="shared" si="335"/>
        <v/>
      </c>
      <c r="AG247" s="186" t="str">
        <f t="shared" si="330"/>
        <v/>
      </c>
      <c r="AH247" s="185" t="str">
        <f t="shared" si="331"/>
        <v/>
      </c>
      <c r="AI247" s="186" t="str">
        <f t="shared" si="332"/>
        <v/>
      </c>
      <c r="AJ247" s="185" t="str">
        <f t="shared" ref="AJ247:AJ250" si="338">IFERROR(IF(AND(Y246="Impacto",Y247="Impacto"),(AJ246-(+AJ246*AB247)),IF(AND(Y246="Probabilidad",Y247="Impacto"),(AJ245-(+AJ245*AB247)),IF(Y247="Probabilidad",AJ246,""))),"")</f>
        <v/>
      </c>
      <c r="AK247" s="187" t="str">
        <f t="shared" si="334"/>
        <v/>
      </c>
      <c r="AL247" s="603"/>
      <c r="AM247" s="189"/>
      <c r="AN247" s="194"/>
      <c r="AO247" s="190"/>
      <c r="AP247" s="190"/>
      <c r="AQ247" s="191"/>
      <c r="AR247" s="194"/>
    </row>
    <row r="248" spans="1:44" s="605" customFormat="1" ht="69" hidden="1" customHeight="1" x14ac:dyDescent="0.25">
      <c r="A248" s="252"/>
      <c r="B248" s="246"/>
      <c r="C248" s="251"/>
      <c r="D248" s="246"/>
      <c r="E248" s="253"/>
      <c r="F248" s="254"/>
      <c r="G248" s="254"/>
      <c r="H248" s="255"/>
      <c r="I248" s="249"/>
      <c r="J248" s="249"/>
      <c r="K248" s="249"/>
      <c r="L248" s="249"/>
      <c r="M248" s="253"/>
      <c r="N248" s="251"/>
      <c r="O248" s="256"/>
      <c r="P248" s="610"/>
      <c r="Q248" s="611"/>
      <c r="R248" s="611"/>
      <c r="S248" s="611">
        <f ca="1">IF(NOT(ISERROR(MATCH(R248,_xlfn.ANCHORARRAY(H259),0))),Q261&amp;"Por favor no seleccionar los criterios de impacto",R248)</f>
        <v>0</v>
      </c>
      <c r="T248" s="610"/>
      <c r="U248" s="611"/>
      <c r="V248" s="252"/>
      <c r="W248" s="194">
        <v>4</v>
      </c>
      <c r="X248" s="192"/>
      <c r="Y248" s="194" t="str">
        <f t="shared" si="328"/>
        <v/>
      </c>
      <c r="Z248" s="188"/>
      <c r="AA248" s="188"/>
      <c r="AB248" s="185" t="str">
        <f t="shared" si="337"/>
        <v/>
      </c>
      <c r="AC248" s="188"/>
      <c r="AD248" s="188"/>
      <c r="AE248" s="188"/>
      <c r="AF248" s="602" t="str">
        <f t="shared" si="335"/>
        <v/>
      </c>
      <c r="AG248" s="186" t="str">
        <f t="shared" si="330"/>
        <v/>
      </c>
      <c r="AH248" s="185" t="str">
        <f t="shared" si="331"/>
        <v/>
      </c>
      <c r="AI248" s="186" t="str">
        <f t="shared" si="332"/>
        <v/>
      </c>
      <c r="AJ248" s="185" t="str">
        <f t="shared" si="338"/>
        <v/>
      </c>
      <c r="AK248" s="187" t="str">
        <f t="shared" si="334"/>
        <v/>
      </c>
      <c r="AL248" s="603"/>
      <c r="AM248" s="189"/>
      <c r="AN248" s="194"/>
      <c r="AO248" s="190"/>
      <c r="AP248" s="190"/>
      <c r="AQ248" s="191"/>
      <c r="AR248" s="194"/>
    </row>
    <row r="249" spans="1:44" s="605" customFormat="1" ht="69" hidden="1" customHeight="1" x14ac:dyDescent="0.25">
      <c r="A249" s="252"/>
      <c r="B249" s="246"/>
      <c r="C249" s="251"/>
      <c r="D249" s="246"/>
      <c r="E249" s="253"/>
      <c r="F249" s="254"/>
      <c r="G249" s="254"/>
      <c r="H249" s="255"/>
      <c r="I249" s="249"/>
      <c r="J249" s="249"/>
      <c r="K249" s="249"/>
      <c r="L249" s="249"/>
      <c r="M249" s="253"/>
      <c r="N249" s="251"/>
      <c r="O249" s="256"/>
      <c r="P249" s="610"/>
      <c r="Q249" s="611"/>
      <c r="R249" s="611"/>
      <c r="S249" s="611">
        <f ca="1">IF(NOT(ISERROR(MATCH(R249,_xlfn.ANCHORARRAY(H260),0))),Q262&amp;"Por favor no seleccionar los criterios de impacto",R249)</f>
        <v>0</v>
      </c>
      <c r="T249" s="610"/>
      <c r="U249" s="611"/>
      <c r="V249" s="252"/>
      <c r="W249" s="194">
        <v>5</v>
      </c>
      <c r="X249" s="192"/>
      <c r="Y249" s="194" t="str">
        <f t="shared" si="328"/>
        <v/>
      </c>
      <c r="Z249" s="188"/>
      <c r="AA249" s="188"/>
      <c r="AB249" s="185" t="str">
        <f t="shared" si="337"/>
        <v/>
      </c>
      <c r="AC249" s="188"/>
      <c r="AD249" s="188"/>
      <c r="AE249" s="188"/>
      <c r="AF249" s="602" t="str">
        <f t="shared" si="335"/>
        <v/>
      </c>
      <c r="AG249" s="186" t="str">
        <f t="shared" si="330"/>
        <v/>
      </c>
      <c r="AH249" s="185" t="str">
        <f t="shared" si="331"/>
        <v/>
      </c>
      <c r="AI249" s="186" t="str">
        <f t="shared" si="332"/>
        <v/>
      </c>
      <c r="AJ249" s="185" t="str">
        <f t="shared" si="338"/>
        <v/>
      </c>
      <c r="AK249" s="187" t="str">
        <f t="shared" si="334"/>
        <v/>
      </c>
      <c r="AL249" s="603"/>
      <c r="AM249" s="189"/>
      <c r="AN249" s="194"/>
      <c r="AO249" s="190"/>
      <c r="AP249" s="190"/>
      <c r="AQ249" s="191"/>
      <c r="AR249" s="194"/>
    </row>
    <row r="250" spans="1:44" s="605" customFormat="1" ht="69" hidden="1" customHeight="1" x14ac:dyDescent="0.25">
      <c r="A250" s="252"/>
      <c r="B250" s="247"/>
      <c r="C250" s="239"/>
      <c r="D250" s="247"/>
      <c r="E250" s="253"/>
      <c r="F250" s="254"/>
      <c r="G250" s="254"/>
      <c r="H250" s="255"/>
      <c r="I250" s="250"/>
      <c r="J250" s="250"/>
      <c r="K250" s="250"/>
      <c r="L250" s="250"/>
      <c r="M250" s="253"/>
      <c r="N250" s="239"/>
      <c r="O250" s="256"/>
      <c r="P250" s="610"/>
      <c r="Q250" s="611"/>
      <c r="R250" s="611"/>
      <c r="S250" s="611">
        <f ca="1">IF(NOT(ISERROR(MATCH(R250,_xlfn.ANCHORARRAY(H261),0))),Q263&amp;"Por favor no seleccionar los criterios de impacto",R250)</f>
        <v>0</v>
      </c>
      <c r="T250" s="610"/>
      <c r="U250" s="611"/>
      <c r="V250" s="252"/>
      <c r="W250" s="194">
        <v>6</v>
      </c>
      <c r="X250" s="192"/>
      <c r="Y250" s="194" t="str">
        <f t="shared" si="328"/>
        <v/>
      </c>
      <c r="Z250" s="188"/>
      <c r="AA250" s="188"/>
      <c r="AB250" s="185" t="str">
        <f t="shared" si="337"/>
        <v/>
      </c>
      <c r="AC250" s="188"/>
      <c r="AD250" s="188"/>
      <c r="AE250" s="188"/>
      <c r="AF250" s="602" t="str">
        <f t="shared" si="335"/>
        <v/>
      </c>
      <c r="AG250" s="186" t="str">
        <f t="shared" si="330"/>
        <v/>
      </c>
      <c r="AH250" s="185" t="str">
        <f t="shared" si="331"/>
        <v/>
      </c>
      <c r="AI250" s="186" t="str">
        <f t="shared" si="332"/>
        <v/>
      </c>
      <c r="AJ250" s="185" t="str">
        <f t="shared" si="338"/>
        <v/>
      </c>
      <c r="AK250" s="187" t="str">
        <f t="shared" si="334"/>
        <v/>
      </c>
      <c r="AL250" s="603"/>
      <c r="AM250" s="189"/>
      <c r="AN250" s="194"/>
      <c r="AO250" s="190"/>
      <c r="AP250" s="190"/>
      <c r="AQ250" s="191"/>
      <c r="AR250" s="194"/>
    </row>
    <row r="251" spans="1:44" s="605" customFormat="1" ht="152.25" customHeight="1" x14ac:dyDescent="0.25">
      <c r="A251" s="252">
        <v>40</v>
      </c>
      <c r="B251" s="245" t="s">
        <v>778</v>
      </c>
      <c r="C251" s="238" t="s">
        <v>276</v>
      </c>
      <c r="D251" s="238" t="s">
        <v>779</v>
      </c>
      <c r="E251" s="253" t="s">
        <v>243</v>
      </c>
      <c r="F251" s="254" t="s">
        <v>780</v>
      </c>
      <c r="G251" s="254" t="s">
        <v>781</v>
      </c>
      <c r="H251" s="255" t="s">
        <v>782</v>
      </c>
      <c r="I251" s="248" t="s">
        <v>480</v>
      </c>
      <c r="J251" s="248" t="s">
        <v>480</v>
      </c>
      <c r="K251" s="248" t="s">
        <v>480</v>
      </c>
      <c r="L251" s="248" t="s">
        <v>480</v>
      </c>
      <c r="M251" s="253" t="s">
        <v>242</v>
      </c>
      <c r="N251" s="238"/>
      <c r="O251" s="256">
        <v>4</v>
      </c>
      <c r="P251" s="610" t="str">
        <f t="shared" si="324"/>
        <v>Baja</v>
      </c>
      <c r="Q251" s="611">
        <f t="shared" si="325"/>
        <v>0.4</v>
      </c>
      <c r="R251" s="611" t="s">
        <v>187</v>
      </c>
      <c r="S251" s="611" t="str">
        <f ca="1">IF(NOT(ISERROR(MATCH(R251,'Tabla Impacto'!$B$221:$B$223,0))),'Tabla Impacto'!$F$223&amp;"Por favor no seleccionar los criterios de impacto(Afectación Económica o presupuestal y Pérdida Reputacional)",R251)</f>
        <v>El riesgo afecta la imagen de alguna área de la organización</v>
      </c>
      <c r="T251" s="610" t="str">
        <f ca="1">+IF(OR(S251='[1]Tabla Impacto'!$C$11,S251='[1]Tabla Impacto'!$D$11),"Leve",IF(OR(S251='[1]Tabla Impacto'!$C$12,S251='[1]Tabla Impacto'!$D$12),"Menor",IF(OR(S251='[1]Tabla Impacto'!$C$13,S251='[1]Tabla Impacto'!$D$13),"Moderado",IF(OR(S251='[1]Tabla Impacto'!$C$14,S251='[1]Tabla Impacto'!$D$14),"Mayor",IF(OR(S251='[1]Tabla Impacto'!$C$15,S251='[1]Tabla Impacto'!$D$15),"Catastrófico","")))))</f>
        <v>Leve</v>
      </c>
      <c r="U251" s="611">
        <f t="shared" ref="U251" ca="1" si="339">IF(T251="","",IF(T251="Leve",0.2,IF(T251="Menor",0.4,IF(T251="Moderado",0.6,IF(T251="Mayor",0.8,IF(T251="Catastrófico",1,))))))</f>
        <v>0.2</v>
      </c>
      <c r="V251" s="252" t="str">
        <f t="shared" ref="V251" ca="1" si="340">IF(OR(AND(P251="Muy Baja",T251="Leve"),AND(P251="Muy Baja",T251="Menor"),AND(P251="Baja",T251="Leve")),"Bajo",IF(OR(AND(P251="Muy baja",T251="Moderado"),AND(P251="Baja",T251="Menor"),AND(P251="Baja",T251="Moderado"),AND(P251="Media",T251="Leve"),AND(P251="Media",T251="Menor"),AND(P251="Media",T251="Moderado"),AND(P251="Alta",T251="Leve"),AND(P251="Alta",T251="Menor")),"Moderado",IF(OR(AND(P251="Muy Baja",T251="Mayor"),AND(P251="Baja",T251="Mayor"),AND(P251="Media",T251="Mayor"),AND(P251="Alta",T251="Moderado"),AND(P251="Alta",T251="Mayor"),AND(P251="Muy Alta",T251="Leve"),AND(P251="Muy Alta",T251="Menor"),AND(P251="Muy Alta",T251="Moderado"),AND(P251="Muy Alta",T251="Mayor")),"Alto",IF(OR(AND(P251="Muy Baja",T251="Catastrófico"),AND(P251="Baja",T251="Catastrófico"),AND(P251="Media",T251="Catastrófico"),AND(P251="Alta",T251="Catastrófico"),AND(P251="Muy Alta",T251="Catastrófico")),"Extremo",""))))</f>
        <v>Bajo</v>
      </c>
      <c r="W251" s="194">
        <v>1</v>
      </c>
      <c r="X251" s="192" t="s">
        <v>783</v>
      </c>
      <c r="Y251" s="194" t="str">
        <f t="shared" si="328"/>
        <v>Probabilidad</v>
      </c>
      <c r="Z251" s="188" t="s">
        <v>211</v>
      </c>
      <c r="AA251" s="188" t="s">
        <v>219</v>
      </c>
      <c r="AB251" s="185" t="str">
        <f t="shared" si="337"/>
        <v>40%</v>
      </c>
      <c r="AC251" s="188" t="s">
        <v>222</v>
      </c>
      <c r="AD251" s="188" t="s">
        <v>227</v>
      </c>
      <c r="AE251" s="188" t="s">
        <v>231</v>
      </c>
      <c r="AF251" s="602">
        <f t="shared" ref="AF251" si="341">IFERROR(IF(Y251="Probabilidad",(Q251-(+Q251*AB251)),IF(Y251="Impacto",Q251,"")),"")</f>
        <v>0.24</v>
      </c>
      <c r="AG251" s="186" t="str">
        <f t="shared" si="330"/>
        <v>Baja</v>
      </c>
      <c r="AH251" s="185">
        <f t="shared" si="331"/>
        <v>0.24</v>
      </c>
      <c r="AI251" s="186" t="str">
        <f t="shared" ca="1" si="332"/>
        <v>Leve</v>
      </c>
      <c r="AJ251" s="185">
        <f t="shared" ref="AJ251" ca="1" si="342">IFERROR(IF(Y251="Impacto",(U251-(+U251*AB251)),IF(Y251="Probabilidad",U251,"")),"")</f>
        <v>0.2</v>
      </c>
      <c r="AK251" s="187" t="str">
        <f t="shared" ca="1" si="334"/>
        <v>Bajo</v>
      </c>
      <c r="AL251" s="603" t="s">
        <v>258</v>
      </c>
      <c r="AM251" s="189"/>
      <c r="AN251" s="194"/>
      <c r="AO251" s="190"/>
      <c r="AP251" s="190"/>
      <c r="AQ251" s="191"/>
      <c r="AR251" s="194"/>
    </row>
    <row r="252" spans="1:44" s="605" customFormat="1" ht="156.75" customHeight="1" x14ac:dyDescent="0.25">
      <c r="A252" s="252"/>
      <c r="B252" s="246"/>
      <c r="C252" s="251"/>
      <c r="D252" s="246"/>
      <c r="E252" s="253"/>
      <c r="F252" s="254"/>
      <c r="G252" s="254"/>
      <c r="H252" s="255"/>
      <c r="I252" s="249"/>
      <c r="J252" s="249"/>
      <c r="K252" s="249"/>
      <c r="L252" s="249"/>
      <c r="M252" s="253"/>
      <c r="N252" s="251"/>
      <c r="O252" s="256"/>
      <c r="P252" s="610"/>
      <c r="Q252" s="611"/>
      <c r="R252" s="611"/>
      <c r="S252" s="611">
        <f ca="1">IF(NOT(ISERROR(MATCH(R252,_xlfn.ANCHORARRAY(H263),0))),Q265&amp;"Por favor no seleccionar los criterios de impacto",R252)</f>
        <v>0</v>
      </c>
      <c r="T252" s="610"/>
      <c r="U252" s="611"/>
      <c r="V252" s="252"/>
      <c r="W252" s="194">
        <v>2</v>
      </c>
      <c r="X252" s="192" t="s">
        <v>784</v>
      </c>
      <c r="Y252" s="194" t="str">
        <f t="shared" si="328"/>
        <v>Probabilidad</v>
      </c>
      <c r="Z252" s="188" t="s">
        <v>211</v>
      </c>
      <c r="AA252" s="188" t="s">
        <v>219</v>
      </c>
      <c r="AB252" s="185" t="str">
        <f t="shared" si="337"/>
        <v>40%</v>
      </c>
      <c r="AC252" s="188" t="s">
        <v>222</v>
      </c>
      <c r="AD252" s="188" t="s">
        <v>227</v>
      </c>
      <c r="AE252" s="188" t="s">
        <v>231</v>
      </c>
      <c r="AF252" s="602">
        <f t="shared" ref="AF252:AF256" si="343">IFERROR(IF(AND(Y251="Probabilidad",Y252="Probabilidad"),(AH251-(+AH251*AB252)),IF(Y252="Probabilidad",(Q251-(+Q251*AB252)),IF(Y252="Impacto",AH251,""))),"")</f>
        <v>0.14399999999999999</v>
      </c>
      <c r="AG252" s="186" t="str">
        <f t="shared" si="330"/>
        <v>Muy Baja</v>
      </c>
      <c r="AH252" s="185">
        <f t="shared" si="331"/>
        <v>0.14399999999999999</v>
      </c>
      <c r="AI252" s="186" t="str">
        <f t="shared" ca="1" si="332"/>
        <v>Leve</v>
      </c>
      <c r="AJ252" s="185">
        <f t="shared" ref="AJ252" ca="1" si="344">IFERROR(IF(AND(Y251="Impacto",Y252="Impacto"),(AJ251-(+AJ251*AB252)),IF(Y252="Impacto",(U251-(+U251*AB252)),IF(Y252="Probabilidad",AJ251,""))),"")</f>
        <v>0.2</v>
      </c>
      <c r="AK252" s="187" t="str">
        <f t="shared" ca="1" si="334"/>
        <v>Bajo</v>
      </c>
      <c r="AL252" s="603" t="s">
        <v>258</v>
      </c>
      <c r="AM252" s="189"/>
      <c r="AN252" s="194"/>
      <c r="AO252" s="190"/>
      <c r="AP252" s="190"/>
      <c r="AQ252" s="191"/>
      <c r="AR252" s="194"/>
    </row>
    <row r="253" spans="1:44" s="605" customFormat="1" ht="69" hidden="1" customHeight="1" x14ac:dyDescent="0.25">
      <c r="A253" s="252"/>
      <c r="B253" s="246"/>
      <c r="C253" s="251"/>
      <c r="D253" s="246"/>
      <c r="E253" s="253"/>
      <c r="F253" s="254"/>
      <c r="G253" s="254"/>
      <c r="H253" s="255"/>
      <c r="I253" s="249"/>
      <c r="J253" s="249"/>
      <c r="K253" s="249"/>
      <c r="L253" s="249"/>
      <c r="M253" s="253"/>
      <c r="N253" s="251"/>
      <c r="O253" s="256"/>
      <c r="P253" s="610"/>
      <c r="Q253" s="611"/>
      <c r="R253" s="611"/>
      <c r="S253" s="611">
        <f ca="1">IF(NOT(ISERROR(MATCH(R253,_xlfn.ANCHORARRAY(H264),0))),Q266&amp;"Por favor no seleccionar los criterios de impacto",R253)</f>
        <v>0</v>
      </c>
      <c r="T253" s="610"/>
      <c r="U253" s="611"/>
      <c r="V253" s="252"/>
      <c r="W253" s="194">
        <v>3</v>
      </c>
      <c r="X253" s="192"/>
      <c r="Y253" s="194" t="str">
        <f t="shared" si="328"/>
        <v/>
      </c>
      <c r="Z253" s="188"/>
      <c r="AA253" s="188"/>
      <c r="AB253" s="185" t="str">
        <f t="shared" si="337"/>
        <v/>
      </c>
      <c r="AC253" s="188"/>
      <c r="AD253" s="188"/>
      <c r="AE253" s="188"/>
      <c r="AF253" s="602" t="str">
        <f t="shared" si="343"/>
        <v/>
      </c>
      <c r="AG253" s="186" t="str">
        <f t="shared" si="330"/>
        <v/>
      </c>
      <c r="AH253" s="185" t="str">
        <f t="shared" si="331"/>
        <v/>
      </c>
      <c r="AI253" s="186" t="str">
        <f t="shared" si="332"/>
        <v/>
      </c>
      <c r="AJ253" s="185" t="str">
        <f t="shared" ref="AJ253:AJ256" si="345">IFERROR(IF(AND(Y252="Impacto",Y253="Impacto"),(AJ252-(+AJ252*AB253)),IF(AND(Y252="Probabilidad",Y253="Impacto"),(AJ251-(+AJ251*AB253)),IF(Y253="Probabilidad",AJ252,""))),"")</f>
        <v/>
      </c>
      <c r="AK253" s="187" t="str">
        <f t="shared" si="334"/>
        <v/>
      </c>
      <c r="AL253" s="603"/>
      <c r="AM253" s="189"/>
      <c r="AN253" s="194"/>
      <c r="AO253" s="190"/>
      <c r="AP253" s="190"/>
      <c r="AQ253" s="191"/>
      <c r="AR253" s="194"/>
    </row>
    <row r="254" spans="1:44" s="605" customFormat="1" ht="69" hidden="1" customHeight="1" x14ac:dyDescent="0.25">
      <c r="A254" s="252"/>
      <c r="B254" s="246"/>
      <c r="C254" s="251"/>
      <c r="D254" s="246"/>
      <c r="E254" s="253"/>
      <c r="F254" s="254"/>
      <c r="G254" s="254"/>
      <c r="H254" s="255"/>
      <c r="I254" s="249"/>
      <c r="J254" s="249"/>
      <c r="K254" s="249"/>
      <c r="L254" s="249"/>
      <c r="M254" s="253"/>
      <c r="N254" s="251"/>
      <c r="O254" s="256"/>
      <c r="P254" s="610"/>
      <c r="Q254" s="611"/>
      <c r="R254" s="611"/>
      <c r="S254" s="611">
        <f ca="1">IF(NOT(ISERROR(MATCH(R254,_xlfn.ANCHORARRAY(H265),0))),Q267&amp;"Por favor no seleccionar los criterios de impacto",R254)</f>
        <v>0</v>
      </c>
      <c r="T254" s="610"/>
      <c r="U254" s="611"/>
      <c r="V254" s="252"/>
      <c r="W254" s="194">
        <v>4</v>
      </c>
      <c r="X254" s="192"/>
      <c r="Y254" s="194" t="str">
        <f t="shared" si="328"/>
        <v/>
      </c>
      <c r="Z254" s="188"/>
      <c r="AA254" s="188"/>
      <c r="AB254" s="185" t="str">
        <f t="shared" si="337"/>
        <v/>
      </c>
      <c r="AC254" s="188"/>
      <c r="AD254" s="188"/>
      <c r="AE254" s="188"/>
      <c r="AF254" s="602" t="str">
        <f t="shared" si="343"/>
        <v/>
      </c>
      <c r="AG254" s="186" t="str">
        <f t="shared" si="330"/>
        <v/>
      </c>
      <c r="AH254" s="185" t="str">
        <f t="shared" si="331"/>
        <v/>
      </c>
      <c r="AI254" s="186" t="str">
        <f t="shared" si="332"/>
        <v/>
      </c>
      <c r="AJ254" s="185" t="str">
        <f t="shared" si="345"/>
        <v/>
      </c>
      <c r="AK254" s="187" t="str">
        <f t="shared" si="334"/>
        <v/>
      </c>
      <c r="AL254" s="603"/>
      <c r="AM254" s="189"/>
      <c r="AN254" s="194"/>
      <c r="AO254" s="190"/>
      <c r="AP254" s="190"/>
      <c r="AQ254" s="191"/>
      <c r="AR254" s="194"/>
    </row>
    <row r="255" spans="1:44" s="605" customFormat="1" ht="69" hidden="1" customHeight="1" x14ac:dyDescent="0.25">
      <c r="A255" s="252"/>
      <c r="B255" s="246"/>
      <c r="C255" s="251"/>
      <c r="D255" s="246"/>
      <c r="E255" s="253"/>
      <c r="F255" s="254"/>
      <c r="G255" s="254"/>
      <c r="H255" s="255"/>
      <c r="I255" s="249"/>
      <c r="J255" s="249"/>
      <c r="K255" s="249"/>
      <c r="L255" s="249"/>
      <c r="M255" s="253"/>
      <c r="N255" s="251"/>
      <c r="O255" s="256"/>
      <c r="P255" s="610"/>
      <c r="Q255" s="611"/>
      <c r="R255" s="611"/>
      <c r="S255" s="611">
        <f ca="1">IF(NOT(ISERROR(MATCH(R255,_xlfn.ANCHORARRAY(H266),0))),Q268&amp;"Por favor no seleccionar los criterios de impacto",R255)</f>
        <v>0</v>
      </c>
      <c r="T255" s="610"/>
      <c r="U255" s="611"/>
      <c r="V255" s="252"/>
      <c r="W255" s="194">
        <v>5</v>
      </c>
      <c r="X255" s="192"/>
      <c r="Y255" s="194" t="str">
        <f t="shared" si="328"/>
        <v/>
      </c>
      <c r="Z255" s="188"/>
      <c r="AA255" s="188"/>
      <c r="AB255" s="185" t="str">
        <f t="shared" si="337"/>
        <v/>
      </c>
      <c r="AC255" s="188"/>
      <c r="AD255" s="188"/>
      <c r="AE255" s="188"/>
      <c r="AF255" s="602" t="str">
        <f t="shared" si="343"/>
        <v/>
      </c>
      <c r="AG255" s="186" t="str">
        <f t="shared" si="330"/>
        <v/>
      </c>
      <c r="AH255" s="185" t="str">
        <f t="shared" si="331"/>
        <v/>
      </c>
      <c r="AI255" s="186" t="str">
        <f t="shared" si="332"/>
        <v/>
      </c>
      <c r="AJ255" s="185" t="str">
        <f t="shared" si="345"/>
        <v/>
      </c>
      <c r="AK255" s="187" t="str">
        <f t="shared" si="334"/>
        <v/>
      </c>
      <c r="AL255" s="603"/>
      <c r="AM255" s="189"/>
      <c r="AN255" s="194"/>
      <c r="AO255" s="190"/>
      <c r="AP255" s="190"/>
      <c r="AQ255" s="191"/>
      <c r="AR255" s="194"/>
    </row>
    <row r="256" spans="1:44" s="605" customFormat="1" ht="69" hidden="1" customHeight="1" x14ac:dyDescent="0.25">
      <c r="A256" s="252"/>
      <c r="B256" s="247"/>
      <c r="C256" s="239"/>
      <c r="D256" s="247"/>
      <c r="E256" s="253"/>
      <c r="F256" s="254"/>
      <c r="G256" s="254"/>
      <c r="H256" s="255"/>
      <c r="I256" s="250"/>
      <c r="J256" s="250"/>
      <c r="K256" s="250"/>
      <c r="L256" s="250"/>
      <c r="M256" s="253"/>
      <c r="N256" s="239"/>
      <c r="O256" s="256"/>
      <c r="P256" s="610"/>
      <c r="Q256" s="611"/>
      <c r="R256" s="611"/>
      <c r="S256" s="611">
        <f ca="1">IF(NOT(ISERROR(MATCH(R256,_xlfn.ANCHORARRAY(H267),0))),Q269&amp;"Por favor no seleccionar los criterios de impacto",R256)</f>
        <v>0</v>
      </c>
      <c r="T256" s="610"/>
      <c r="U256" s="611"/>
      <c r="V256" s="252"/>
      <c r="W256" s="194">
        <v>6</v>
      </c>
      <c r="X256" s="192"/>
      <c r="Y256" s="194" t="str">
        <f t="shared" si="328"/>
        <v/>
      </c>
      <c r="Z256" s="188"/>
      <c r="AA256" s="188"/>
      <c r="AB256" s="185" t="str">
        <f t="shared" si="337"/>
        <v/>
      </c>
      <c r="AC256" s="188"/>
      <c r="AD256" s="188"/>
      <c r="AE256" s="188"/>
      <c r="AF256" s="602" t="str">
        <f t="shared" si="343"/>
        <v/>
      </c>
      <c r="AG256" s="186" t="str">
        <f t="shared" si="330"/>
        <v/>
      </c>
      <c r="AH256" s="185" t="str">
        <f t="shared" si="331"/>
        <v/>
      </c>
      <c r="AI256" s="186" t="str">
        <f t="shared" si="332"/>
        <v/>
      </c>
      <c r="AJ256" s="185" t="str">
        <f t="shared" si="345"/>
        <v/>
      </c>
      <c r="AK256" s="187" t="str">
        <f t="shared" si="334"/>
        <v/>
      </c>
      <c r="AL256" s="603"/>
      <c r="AM256" s="189"/>
      <c r="AN256" s="194"/>
      <c r="AO256" s="190"/>
      <c r="AP256" s="190"/>
      <c r="AQ256" s="191"/>
      <c r="AR256" s="194"/>
    </row>
    <row r="257" spans="1:44" s="605" customFormat="1" ht="141" customHeight="1" x14ac:dyDescent="0.25">
      <c r="A257" s="252">
        <v>41</v>
      </c>
      <c r="B257" s="268" t="s">
        <v>785</v>
      </c>
      <c r="C257" s="263" t="s">
        <v>276</v>
      </c>
      <c r="D257" s="263" t="s">
        <v>779</v>
      </c>
      <c r="E257" s="505" t="s">
        <v>243</v>
      </c>
      <c r="F257" s="506" t="s">
        <v>786</v>
      </c>
      <c r="G257" s="506" t="s">
        <v>787</v>
      </c>
      <c r="H257" s="507" t="s">
        <v>788</v>
      </c>
      <c r="I257" s="248" t="s">
        <v>480</v>
      </c>
      <c r="J257" s="248" t="s">
        <v>480</v>
      </c>
      <c r="K257" s="248" t="s">
        <v>480</v>
      </c>
      <c r="L257" s="248" t="s">
        <v>480</v>
      </c>
      <c r="M257" s="253" t="s">
        <v>242</v>
      </c>
      <c r="N257" s="238"/>
      <c r="O257" s="256">
        <v>4</v>
      </c>
      <c r="P257" s="610" t="str">
        <f t="shared" si="324"/>
        <v>Baja</v>
      </c>
      <c r="Q257" s="611">
        <f t="shared" si="325"/>
        <v>0.4</v>
      </c>
      <c r="R257" s="611" t="s">
        <v>193</v>
      </c>
      <c r="S257" s="611" t="str">
        <f ca="1">IF(NOT(ISERROR(MATCH(R257,'Tabla Impacto'!$B$221:$B$223,0))),'Tabla Impacto'!$F$223&amp;"Por favor no seleccionar los criterios de impacto(Afectación Económica o presupuestal y Pérdida Reputacional)",R257)</f>
        <v>El riesgo afecta la imagen de la entidad con algunos usuarios de relevancia frente al logro de los objetivos</v>
      </c>
      <c r="T257" s="610" t="str">
        <f ca="1">+IF(OR(S257='[1]Tabla Impacto'!$C$11,S257='[1]Tabla Impacto'!$D$11),"Leve",IF(OR(S257='[1]Tabla Impacto'!$C$12,S257='[1]Tabla Impacto'!$D$12),"Menor",IF(OR(S257='[1]Tabla Impacto'!$C$13,S257='[1]Tabla Impacto'!$D$13),"Moderado",IF(OR(S257='[1]Tabla Impacto'!$C$14,S257='[1]Tabla Impacto'!$D$14),"Mayor",IF(OR(S257='[1]Tabla Impacto'!$C$15,S257='[1]Tabla Impacto'!$D$15),"Catastrófico","")))))</f>
        <v>Moderado</v>
      </c>
      <c r="U257" s="611">
        <f t="shared" ref="U257" ca="1" si="346">IF(T257="","",IF(T257="Leve",0.2,IF(T257="Menor",0.4,IF(T257="Moderado",0.6,IF(T257="Mayor",0.8,IF(T257="Catastrófico",1,))))))</f>
        <v>0.6</v>
      </c>
      <c r="V257" s="252" t="str">
        <f t="shared" ref="V257" ca="1" si="347">IF(OR(AND(P257="Muy Baja",T257="Leve"),AND(P257="Muy Baja",T257="Menor"),AND(P257="Baja",T257="Leve")),"Bajo",IF(OR(AND(P257="Muy baja",T257="Moderado"),AND(P257="Baja",T257="Menor"),AND(P257="Baja",T257="Moderado"),AND(P257="Media",T257="Leve"),AND(P257="Media",T257="Menor"),AND(P257="Media",T257="Moderado"),AND(P257="Alta",T257="Leve"),AND(P257="Alta",T257="Menor")),"Moderado",IF(OR(AND(P257="Muy Baja",T257="Mayor"),AND(P257="Baja",T257="Mayor"),AND(P257="Media",T257="Mayor"),AND(P257="Alta",T257="Moderado"),AND(P257="Alta",T257="Mayor"),AND(P257="Muy Alta",T257="Leve"),AND(P257="Muy Alta",T257="Menor"),AND(P257="Muy Alta",T257="Moderado"),AND(P257="Muy Alta",T257="Mayor")),"Alto",IF(OR(AND(P257="Muy Baja",T257="Catastrófico"),AND(P257="Baja",T257="Catastrófico"),AND(P257="Media",T257="Catastrófico"),AND(P257="Alta",T257="Catastrófico"),AND(P257="Muy Alta",T257="Catastrófico")),"Extremo",""))))</f>
        <v>Moderado</v>
      </c>
      <c r="W257" s="194">
        <v>1</v>
      </c>
      <c r="X257" s="196" t="s">
        <v>789</v>
      </c>
      <c r="Y257" s="194" t="str">
        <f t="shared" si="328"/>
        <v>Probabilidad</v>
      </c>
      <c r="Z257" s="508" t="s">
        <v>211</v>
      </c>
      <c r="AA257" s="508" t="s">
        <v>219</v>
      </c>
      <c r="AB257" s="509" t="str">
        <f t="shared" si="337"/>
        <v>40%</v>
      </c>
      <c r="AC257" s="508" t="s">
        <v>222</v>
      </c>
      <c r="AD257" s="508" t="s">
        <v>227</v>
      </c>
      <c r="AE257" s="508" t="s">
        <v>231</v>
      </c>
      <c r="AF257" s="602">
        <f t="shared" ref="AF257" si="348">IFERROR(IF(Y257="Probabilidad",(Q257-(+Q257*AB257)),IF(Y257="Impacto",Q257,"")),"")</f>
        <v>0.24</v>
      </c>
      <c r="AG257" s="186" t="str">
        <f t="shared" si="330"/>
        <v>Baja</v>
      </c>
      <c r="AH257" s="185">
        <f t="shared" si="331"/>
        <v>0.24</v>
      </c>
      <c r="AI257" s="186" t="str">
        <f t="shared" ca="1" si="332"/>
        <v>Moderado</v>
      </c>
      <c r="AJ257" s="185">
        <f t="shared" ref="AJ257" ca="1" si="349">IFERROR(IF(Y257="Impacto",(U257-(+U257*AB257)),IF(Y257="Probabilidad",U257,"")),"")</f>
        <v>0.6</v>
      </c>
      <c r="AK257" s="187" t="str">
        <f t="shared" ca="1" si="334"/>
        <v>Moderado</v>
      </c>
      <c r="AL257" s="603" t="s">
        <v>258</v>
      </c>
      <c r="AM257" s="189"/>
      <c r="AN257" s="194"/>
      <c r="AO257" s="190"/>
      <c r="AP257" s="190"/>
      <c r="AQ257" s="191"/>
      <c r="AR257" s="194"/>
    </row>
    <row r="258" spans="1:44" s="605" customFormat="1" ht="174" customHeight="1" x14ac:dyDescent="0.25">
      <c r="A258" s="252"/>
      <c r="B258" s="264"/>
      <c r="C258" s="266"/>
      <c r="D258" s="264"/>
      <c r="E258" s="505"/>
      <c r="F258" s="506"/>
      <c r="G258" s="506"/>
      <c r="H258" s="507"/>
      <c r="I258" s="249"/>
      <c r="J258" s="249"/>
      <c r="K258" s="249"/>
      <c r="L258" s="249"/>
      <c r="M258" s="253"/>
      <c r="N258" s="251"/>
      <c r="O258" s="256"/>
      <c r="P258" s="610"/>
      <c r="Q258" s="611"/>
      <c r="R258" s="611"/>
      <c r="S258" s="611">
        <f ca="1">IF(NOT(ISERROR(MATCH(R258,_xlfn.ANCHORARRAY(H269),0))),Q271&amp;"Por favor no seleccionar los criterios de impacto",R258)</f>
        <v>0</v>
      </c>
      <c r="T258" s="610"/>
      <c r="U258" s="611"/>
      <c r="V258" s="252"/>
      <c r="W258" s="194">
        <v>2</v>
      </c>
      <c r="X258" s="196" t="s">
        <v>790</v>
      </c>
      <c r="Y258" s="194" t="str">
        <f t="shared" si="328"/>
        <v>Probabilidad</v>
      </c>
      <c r="Z258" s="508" t="s">
        <v>211</v>
      </c>
      <c r="AA258" s="508" t="s">
        <v>219</v>
      </c>
      <c r="AB258" s="509" t="str">
        <f t="shared" si="337"/>
        <v>40%</v>
      </c>
      <c r="AC258" s="508" t="s">
        <v>222</v>
      </c>
      <c r="AD258" s="508" t="s">
        <v>227</v>
      </c>
      <c r="AE258" s="508" t="s">
        <v>231</v>
      </c>
      <c r="AF258" s="602">
        <f t="shared" ref="AF258:AF262" si="350">IFERROR(IF(AND(Y257="Probabilidad",Y258="Probabilidad"),(AH257-(+AH257*AB258)),IF(Y258="Probabilidad",(Q257-(+Q257*AB258)),IF(Y258="Impacto",AH257,""))),"")</f>
        <v>0.14399999999999999</v>
      </c>
      <c r="AG258" s="186" t="str">
        <f t="shared" si="330"/>
        <v>Muy Baja</v>
      </c>
      <c r="AH258" s="185">
        <f t="shared" si="331"/>
        <v>0.14399999999999999</v>
      </c>
      <c r="AI258" s="186" t="str">
        <f t="shared" ca="1" si="332"/>
        <v>Moderado</v>
      </c>
      <c r="AJ258" s="185">
        <f t="shared" ref="AJ258" ca="1" si="351">IFERROR(IF(AND(Y257="Impacto",Y258="Impacto"),(AJ257-(+AJ257*AB258)),IF(Y258="Impacto",(U257-(+U257*AB258)),IF(Y258="Probabilidad",AJ257,""))),"")</f>
        <v>0.6</v>
      </c>
      <c r="AK258" s="187" t="str">
        <f t="shared" ca="1" si="334"/>
        <v>Moderado</v>
      </c>
      <c r="AL258" s="603" t="s">
        <v>258</v>
      </c>
      <c r="AM258" s="189"/>
      <c r="AN258" s="194"/>
      <c r="AO258" s="190"/>
      <c r="AP258" s="190"/>
      <c r="AQ258" s="191"/>
      <c r="AR258" s="194"/>
    </row>
    <row r="259" spans="1:44" s="605" customFormat="1" ht="69" hidden="1" customHeight="1" x14ac:dyDescent="0.25">
      <c r="A259" s="252"/>
      <c r="B259" s="264"/>
      <c r="C259" s="266"/>
      <c r="D259" s="264"/>
      <c r="E259" s="505"/>
      <c r="F259" s="506"/>
      <c r="G259" s="506"/>
      <c r="H259" s="507"/>
      <c r="I259" s="249"/>
      <c r="J259" s="249"/>
      <c r="K259" s="249"/>
      <c r="L259" s="249"/>
      <c r="M259" s="253"/>
      <c r="N259" s="251"/>
      <c r="O259" s="256"/>
      <c r="P259" s="610"/>
      <c r="Q259" s="611"/>
      <c r="R259" s="611"/>
      <c r="S259" s="611">
        <f ca="1">IF(NOT(ISERROR(MATCH(R259,_xlfn.ANCHORARRAY(H270),0))),Q272&amp;"Por favor no seleccionar los criterios de impacto",R259)</f>
        <v>0</v>
      </c>
      <c r="T259" s="610"/>
      <c r="U259" s="611"/>
      <c r="V259" s="252"/>
      <c r="W259" s="194">
        <v>3</v>
      </c>
      <c r="X259" s="192"/>
      <c r="Y259" s="194" t="str">
        <f t="shared" si="328"/>
        <v/>
      </c>
      <c r="Z259" s="188"/>
      <c r="AA259" s="188"/>
      <c r="AB259" s="185" t="str">
        <f t="shared" si="337"/>
        <v/>
      </c>
      <c r="AC259" s="188"/>
      <c r="AD259" s="188"/>
      <c r="AE259" s="188"/>
      <c r="AF259" s="602" t="str">
        <f t="shared" si="350"/>
        <v/>
      </c>
      <c r="AG259" s="186" t="str">
        <f t="shared" si="330"/>
        <v/>
      </c>
      <c r="AH259" s="185" t="str">
        <f t="shared" si="331"/>
        <v/>
      </c>
      <c r="AI259" s="186" t="str">
        <f t="shared" si="332"/>
        <v/>
      </c>
      <c r="AJ259" s="185" t="str">
        <f t="shared" ref="AJ259:AJ262" si="352">IFERROR(IF(AND(Y258="Impacto",Y259="Impacto"),(AJ258-(+AJ258*AB259)),IF(AND(Y258="Probabilidad",Y259="Impacto"),(AJ257-(+AJ257*AB259)),IF(Y259="Probabilidad",AJ258,""))),"")</f>
        <v/>
      </c>
      <c r="AK259" s="187" t="str">
        <f t="shared" si="334"/>
        <v/>
      </c>
      <c r="AL259" s="603"/>
      <c r="AM259" s="189"/>
      <c r="AN259" s="194"/>
      <c r="AO259" s="190"/>
      <c r="AP259" s="190"/>
      <c r="AQ259" s="191"/>
      <c r="AR259" s="194"/>
    </row>
    <row r="260" spans="1:44" s="605" customFormat="1" ht="69" hidden="1" customHeight="1" x14ac:dyDescent="0.25">
      <c r="A260" s="252"/>
      <c r="B260" s="264"/>
      <c r="C260" s="266"/>
      <c r="D260" s="264"/>
      <c r="E260" s="505"/>
      <c r="F260" s="506"/>
      <c r="G260" s="506"/>
      <c r="H260" s="507"/>
      <c r="I260" s="249"/>
      <c r="J260" s="249"/>
      <c r="K260" s="249"/>
      <c r="L260" s="249"/>
      <c r="M260" s="253"/>
      <c r="N260" s="251"/>
      <c r="O260" s="256"/>
      <c r="P260" s="610"/>
      <c r="Q260" s="611"/>
      <c r="R260" s="611"/>
      <c r="S260" s="611">
        <f ca="1">IF(NOT(ISERROR(MATCH(R260,_xlfn.ANCHORARRAY(H271),0))),Q273&amp;"Por favor no seleccionar los criterios de impacto",R260)</f>
        <v>0</v>
      </c>
      <c r="T260" s="610"/>
      <c r="U260" s="611"/>
      <c r="V260" s="252"/>
      <c r="W260" s="194">
        <v>4</v>
      </c>
      <c r="X260" s="192"/>
      <c r="Y260" s="194" t="str">
        <f t="shared" si="328"/>
        <v/>
      </c>
      <c r="Z260" s="188"/>
      <c r="AA260" s="188"/>
      <c r="AB260" s="185" t="str">
        <f t="shared" si="337"/>
        <v/>
      </c>
      <c r="AC260" s="188"/>
      <c r="AD260" s="188"/>
      <c r="AE260" s="188"/>
      <c r="AF260" s="602" t="str">
        <f t="shared" si="350"/>
        <v/>
      </c>
      <c r="AG260" s="186" t="str">
        <f t="shared" si="330"/>
        <v/>
      </c>
      <c r="AH260" s="185" t="str">
        <f t="shared" si="331"/>
        <v/>
      </c>
      <c r="AI260" s="186" t="str">
        <f t="shared" si="332"/>
        <v/>
      </c>
      <c r="AJ260" s="185" t="str">
        <f t="shared" si="352"/>
        <v/>
      </c>
      <c r="AK260" s="187" t="str">
        <f t="shared" si="334"/>
        <v/>
      </c>
      <c r="AL260" s="603"/>
      <c r="AM260" s="189"/>
      <c r="AN260" s="194"/>
      <c r="AO260" s="190"/>
      <c r="AP260" s="190"/>
      <c r="AQ260" s="191"/>
      <c r="AR260" s="194"/>
    </row>
    <row r="261" spans="1:44" s="605" customFormat="1" ht="69" hidden="1" customHeight="1" x14ac:dyDescent="0.25">
      <c r="A261" s="252"/>
      <c r="B261" s="264"/>
      <c r="C261" s="266"/>
      <c r="D261" s="264"/>
      <c r="E261" s="505"/>
      <c r="F261" s="506"/>
      <c r="G261" s="506"/>
      <c r="H261" s="507"/>
      <c r="I261" s="249"/>
      <c r="J261" s="249"/>
      <c r="K261" s="249"/>
      <c r="L261" s="249"/>
      <c r="M261" s="253"/>
      <c r="N261" s="251"/>
      <c r="O261" s="256"/>
      <c r="P261" s="610"/>
      <c r="Q261" s="611"/>
      <c r="R261" s="611"/>
      <c r="S261" s="611">
        <f ca="1">IF(NOT(ISERROR(MATCH(R261,_xlfn.ANCHORARRAY(H272),0))),Q274&amp;"Por favor no seleccionar los criterios de impacto",R261)</f>
        <v>0</v>
      </c>
      <c r="T261" s="610"/>
      <c r="U261" s="611"/>
      <c r="V261" s="252"/>
      <c r="W261" s="194">
        <v>5</v>
      </c>
      <c r="X261" s="192"/>
      <c r="Y261" s="194" t="str">
        <f t="shared" si="328"/>
        <v/>
      </c>
      <c r="Z261" s="188"/>
      <c r="AA261" s="188"/>
      <c r="AB261" s="185" t="str">
        <f t="shared" si="337"/>
        <v/>
      </c>
      <c r="AC261" s="188"/>
      <c r="AD261" s="188"/>
      <c r="AE261" s="188"/>
      <c r="AF261" s="602" t="str">
        <f t="shared" si="350"/>
        <v/>
      </c>
      <c r="AG261" s="186" t="str">
        <f t="shared" si="330"/>
        <v/>
      </c>
      <c r="AH261" s="185" t="str">
        <f t="shared" si="331"/>
        <v/>
      </c>
      <c r="AI261" s="186" t="str">
        <f t="shared" si="332"/>
        <v/>
      </c>
      <c r="AJ261" s="185" t="str">
        <f t="shared" si="352"/>
        <v/>
      </c>
      <c r="AK261" s="187" t="str">
        <f t="shared" si="334"/>
        <v/>
      </c>
      <c r="AL261" s="603"/>
      <c r="AM261" s="189"/>
      <c r="AN261" s="194"/>
      <c r="AO261" s="190"/>
      <c r="AP261" s="190"/>
      <c r="AQ261" s="191"/>
      <c r="AR261" s="194"/>
    </row>
    <row r="262" spans="1:44" s="605" customFormat="1" ht="69" hidden="1" customHeight="1" x14ac:dyDescent="0.25">
      <c r="A262" s="252"/>
      <c r="B262" s="265"/>
      <c r="C262" s="267"/>
      <c r="D262" s="265"/>
      <c r="E262" s="505"/>
      <c r="F262" s="506"/>
      <c r="G262" s="506"/>
      <c r="H262" s="507"/>
      <c r="I262" s="250"/>
      <c r="J262" s="250"/>
      <c r="K262" s="250"/>
      <c r="L262" s="250"/>
      <c r="M262" s="253"/>
      <c r="N262" s="239"/>
      <c r="O262" s="256"/>
      <c r="P262" s="610"/>
      <c r="Q262" s="611"/>
      <c r="R262" s="611"/>
      <c r="S262" s="611">
        <f ca="1">IF(NOT(ISERROR(MATCH(R262,_xlfn.ANCHORARRAY(H273),0))),Q275&amp;"Por favor no seleccionar los criterios de impacto",R262)</f>
        <v>0</v>
      </c>
      <c r="T262" s="610"/>
      <c r="U262" s="611"/>
      <c r="V262" s="252"/>
      <c r="W262" s="194">
        <v>6</v>
      </c>
      <c r="X262" s="192"/>
      <c r="Y262" s="194" t="str">
        <f t="shared" si="328"/>
        <v/>
      </c>
      <c r="Z262" s="188"/>
      <c r="AA262" s="188"/>
      <c r="AB262" s="185" t="str">
        <f t="shared" si="337"/>
        <v/>
      </c>
      <c r="AC262" s="188"/>
      <c r="AD262" s="188"/>
      <c r="AE262" s="188"/>
      <c r="AF262" s="602" t="str">
        <f t="shared" si="350"/>
        <v/>
      </c>
      <c r="AG262" s="186" t="str">
        <f t="shared" si="330"/>
        <v/>
      </c>
      <c r="AH262" s="185" t="str">
        <f t="shared" si="331"/>
        <v/>
      </c>
      <c r="AI262" s="186" t="str">
        <f t="shared" si="332"/>
        <v/>
      </c>
      <c r="AJ262" s="185" t="str">
        <f t="shared" si="352"/>
        <v/>
      </c>
      <c r="AK262" s="187" t="str">
        <f t="shared" si="334"/>
        <v/>
      </c>
      <c r="AL262" s="603"/>
      <c r="AM262" s="189"/>
      <c r="AN262" s="194"/>
      <c r="AO262" s="190"/>
      <c r="AP262" s="190"/>
      <c r="AQ262" s="191"/>
      <c r="AR262" s="194"/>
    </row>
    <row r="263" spans="1:44" s="605" customFormat="1" ht="152.25" customHeight="1" x14ac:dyDescent="0.25">
      <c r="A263" s="252">
        <v>42</v>
      </c>
      <c r="B263" s="268" t="s">
        <v>791</v>
      </c>
      <c r="C263" s="238" t="s">
        <v>277</v>
      </c>
      <c r="D263" s="238" t="s">
        <v>792</v>
      </c>
      <c r="E263" s="253" t="s">
        <v>243</v>
      </c>
      <c r="F263" s="254" t="s">
        <v>793</v>
      </c>
      <c r="G263" s="254" t="s">
        <v>794</v>
      </c>
      <c r="H263" s="255" t="s">
        <v>795</v>
      </c>
      <c r="I263" s="248" t="s">
        <v>480</v>
      </c>
      <c r="J263" s="248" t="s">
        <v>480</v>
      </c>
      <c r="K263" s="248" t="s">
        <v>480</v>
      </c>
      <c r="L263" s="248" t="s">
        <v>480</v>
      </c>
      <c r="M263" s="253" t="s">
        <v>242</v>
      </c>
      <c r="N263" s="238"/>
      <c r="O263" s="256">
        <v>4000</v>
      </c>
      <c r="P263" s="610" t="str">
        <f t="shared" si="324"/>
        <v>Alta</v>
      </c>
      <c r="Q263" s="611">
        <f t="shared" si="325"/>
        <v>0.8</v>
      </c>
      <c r="R263" s="611" t="s">
        <v>190</v>
      </c>
      <c r="S263" s="611" t="str">
        <f ca="1">IF(NOT(ISERROR(MATCH(R263,'Tabla Impacto'!$B$221:$B$223,0))),'Tabla Impacto'!$F$223&amp;"Por favor no seleccionar los criterios de impacto(Afectación Económica o presupuestal y Pérdida Reputacional)",R263)</f>
        <v>El riesgo afecta la imagen de la entidad internamente, de conocimiento general, nivel interno, de junta dircetiva y accionistas y/o de provedores</v>
      </c>
      <c r="T263" s="610" t="str">
        <f ca="1">+IF(OR(S263='[1]Tabla Impacto'!$C$11,S263='[1]Tabla Impacto'!$D$11),"Leve",IF(OR(S263='[1]Tabla Impacto'!$C$12,S263='[1]Tabla Impacto'!$D$12),"Menor",IF(OR(S263='[1]Tabla Impacto'!$C$13,S263='[1]Tabla Impacto'!$D$13),"Moderado",IF(OR(S263='[1]Tabla Impacto'!$C$14,S263='[1]Tabla Impacto'!$D$14),"Mayor",IF(OR(S263='[1]Tabla Impacto'!$C$15,S263='[1]Tabla Impacto'!$D$15),"Catastrófico","")))))</f>
        <v>Menor</v>
      </c>
      <c r="U263" s="611">
        <f t="shared" ref="U263" ca="1" si="353">IF(T263="","",IF(T263="Leve",0.2,IF(T263="Menor",0.4,IF(T263="Moderado",0.6,IF(T263="Mayor",0.8,IF(T263="Catastrófico",1,))))))</f>
        <v>0.4</v>
      </c>
      <c r="V263" s="252" t="str">
        <f t="shared" ref="V263" ca="1" si="354">IF(OR(AND(P263="Muy Baja",T263="Leve"),AND(P263="Muy Baja",T263="Menor"),AND(P263="Baja",T263="Leve")),"Bajo",IF(OR(AND(P263="Muy baja",T263="Moderado"),AND(P263="Baja",T263="Menor"),AND(P263="Baja",T263="Moderado"),AND(P263="Media",T263="Leve"),AND(P263="Media",T263="Menor"),AND(P263="Media",T263="Moderado"),AND(P263="Alta",T263="Leve"),AND(P263="Alta",T263="Menor")),"Moderado",IF(OR(AND(P263="Muy Baja",T263="Mayor"),AND(P263="Baja",T263="Mayor"),AND(P263="Media",T263="Mayor"),AND(P263="Alta",T263="Moderado"),AND(P263="Alta",T263="Mayor"),AND(P263="Muy Alta",T263="Leve"),AND(P263="Muy Alta",T263="Menor"),AND(P263="Muy Alta",T263="Moderado"),AND(P263="Muy Alta",T263="Mayor")),"Alto",IF(OR(AND(P263="Muy Baja",T263="Catastrófico"),AND(P263="Baja",T263="Catastrófico"),AND(P263="Media",T263="Catastrófico"),AND(P263="Alta",T263="Catastrófico"),AND(P263="Muy Alta",T263="Catastrófico")),"Extremo",""))))</f>
        <v>Moderado</v>
      </c>
      <c r="W263" s="194">
        <v>1</v>
      </c>
      <c r="X263" s="195" t="s">
        <v>796</v>
      </c>
      <c r="Y263" s="194" t="str">
        <f t="shared" si="328"/>
        <v>Probabilidad</v>
      </c>
      <c r="Z263" s="188" t="s">
        <v>211</v>
      </c>
      <c r="AA263" s="188" t="s">
        <v>219</v>
      </c>
      <c r="AB263" s="185" t="str">
        <f>IF(AND(Z263="Preventivo",AA263="Automático"),"50%",IF(AND(Z263="Preventivo",AA263="Manual"),"40%",IF(AND(Z263="Detectivo",AA263="Automático"),"40%",IF(AND(Z263="Detectivo",AA263="Manual"),"30%",IF(AND(Z263="Correctivo",AA263="Automático"),"35%",IF(AND(Z263="Correctivo",AA263="Manual"),"25%",""))))))</f>
        <v>40%</v>
      </c>
      <c r="AC263" s="188" t="s">
        <v>222</v>
      </c>
      <c r="AD263" s="188" t="s">
        <v>227</v>
      </c>
      <c r="AE263" s="188" t="s">
        <v>231</v>
      </c>
      <c r="AF263" s="602">
        <f t="shared" ref="AF263" si="355">IFERROR(IF(Y263="Probabilidad",(Q263-(+Q263*AB263)),IF(Y263="Impacto",Q263,"")),"")</f>
        <v>0.48</v>
      </c>
      <c r="AG263" s="186" t="str">
        <f t="shared" si="330"/>
        <v>Media</v>
      </c>
      <c r="AH263" s="185">
        <f t="shared" si="331"/>
        <v>0.48</v>
      </c>
      <c r="AI263" s="186" t="str">
        <f t="shared" ca="1" si="332"/>
        <v>Menor</v>
      </c>
      <c r="AJ263" s="185">
        <f t="shared" ref="AJ263" ca="1" si="356">IFERROR(IF(Y263="Impacto",(U263-(+U263*AB263)),IF(Y263="Probabilidad",U263,"")),"")</f>
        <v>0.4</v>
      </c>
      <c r="AK263" s="187" t="str">
        <f t="shared" ca="1" si="334"/>
        <v>Moderado</v>
      </c>
      <c r="AL263" s="603" t="s">
        <v>258</v>
      </c>
      <c r="AM263" s="189"/>
      <c r="AN263" s="194"/>
      <c r="AO263" s="190"/>
      <c r="AP263" s="190"/>
      <c r="AQ263" s="191"/>
      <c r="AR263" s="194"/>
    </row>
    <row r="264" spans="1:44" s="605" customFormat="1" ht="113.25" customHeight="1" x14ac:dyDescent="0.25">
      <c r="A264" s="252"/>
      <c r="B264" s="264"/>
      <c r="C264" s="251"/>
      <c r="D264" s="251"/>
      <c r="E264" s="253"/>
      <c r="F264" s="254"/>
      <c r="G264" s="254"/>
      <c r="H264" s="255"/>
      <c r="I264" s="249"/>
      <c r="J264" s="249"/>
      <c r="K264" s="249"/>
      <c r="L264" s="249"/>
      <c r="M264" s="253"/>
      <c r="N264" s="251"/>
      <c r="O264" s="256"/>
      <c r="P264" s="610"/>
      <c r="Q264" s="611"/>
      <c r="R264" s="611"/>
      <c r="S264" s="611">
        <f ca="1">IF(NOT(ISERROR(MATCH(R264,_xlfn.ANCHORARRAY(H275),0))),Q277&amp;"Por favor no seleccionar los criterios de impacto",R264)</f>
        <v>0</v>
      </c>
      <c r="T264" s="610"/>
      <c r="U264" s="611"/>
      <c r="V264" s="252"/>
      <c r="W264" s="194">
        <v>2</v>
      </c>
      <c r="X264" s="193" t="s">
        <v>797</v>
      </c>
      <c r="Y264" s="194" t="str">
        <f t="shared" si="328"/>
        <v>Probabilidad</v>
      </c>
      <c r="Z264" s="188" t="s">
        <v>211</v>
      </c>
      <c r="AA264" s="188" t="s">
        <v>219</v>
      </c>
      <c r="AB264" s="185" t="str">
        <f>IF(AND(Z264="Preventivo",AA264="Automático"),"50%",IF(AND(Z264="Preventivo",AA264="Manual"),"40%",IF(AND(Z264="Detectivo",AA264="Automático"),"40%",IF(AND(Z264="Detectivo",AA264="Manual"),"30%",IF(AND(Z264="Correctivo",AA264="Automático"),"35%",IF(AND(Z264="Correctivo",AA264="Manual"),"25%",""))))))</f>
        <v>40%</v>
      </c>
      <c r="AC264" s="188" t="s">
        <v>225</v>
      </c>
      <c r="AD264" s="188" t="s">
        <v>227</v>
      </c>
      <c r="AE264" s="188" t="s">
        <v>231</v>
      </c>
      <c r="AF264" s="602">
        <f t="shared" ref="AF264:AF268" si="357">IFERROR(IF(AND(Y263="Probabilidad",Y264="Probabilidad"),(AH263-(+AH263*AB264)),IF(Y264="Probabilidad",(Q263-(+Q263*AB264)),IF(Y264="Impacto",AH263,""))),"")</f>
        <v>0.28799999999999998</v>
      </c>
      <c r="AG264" s="186" t="str">
        <f t="shared" si="330"/>
        <v>Baja</v>
      </c>
      <c r="AH264" s="185">
        <f t="shared" si="331"/>
        <v>0.28799999999999998</v>
      </c>
      <c r="AI264" s="186" t="str">
        <f t="shared" ca="1" si="332"/>
        <v>Menor</v>
      </c>
      <c r="AJ264" s="185">
        <f t="shared" ref="AJ264" ca="1" si="358">IFERROR(IF(AND(Y263="Impacto",Y264="Impacto"),(AJ263-(+AJ263*AB264)),IF(Y264="Impacto",(U263-(+U263*AB264)),IF(Y264="Probabilidad",AJ263,""))),"")</f>
        <v>0.4</v>
      </c>
      <c r="AK264" s="187" t="str">
        <f t="shared" ca="1" si="334"/>
        <v>Moderado</v>
      </c>
      <c r="AL264" s="603" t="s">
        <v>258</v>
      </c>
      <c r="AM264" s="189"/>
      <c r="AN264" s="194"/>
      <c r="AO264" s="190"/>
      <c r="AP264" s="190"/>
      <c r="AQ264" s="191"/>
      <c r="AR264" s="194"/>
    </row>
    <row r="265" spans="1:44" s="605" customFormat="1" ht="113.25" customHeight="1" x14ac:dyDescent="0.25">
      <c r="A265" s="252"/>
      <c r="B265" s="264"/>
      <c r="C265" s="251"/>
      <c r="D265" s="251"/>
      <c r="E265" s="253"/>
      <c r="F265" s="254"/>
      <c r="G265" s="254"/>
      <c r="H265" s="255"/>
      <c r="I265" s="249"/>
      <c r="J265" s="249"/>
      <c r="K265" s="249"/>
      <c r="L265" s="249"/>
      <c r="M265" s="253"/>
      <c r="N265" s="251"/>
      <c r="O265" s="256"/>
      <c r="P265" s="610"/>
      <c r="Q265" s="611"/>
      <c r="R265" s="611"/>
      <c r="S265" s="611">
        <f ca="1">IF(NOT(ISERROR(MATCH(R265,_xlfn.ANCHORARRAY(H276),0))),Q278&amp;"Por favor no seleccionar los criterios de impacto",R265)</f>
        <v>0</v>
      </c>
      <c r="T265" s="610"/>
      <c r="U265" s="611"/>
      <c r="V265" s="252"/>
      <c r="W265" s="194">
        <v>3</v>
      </c>
      <c r="X265" s="195" t="s">
        <v>798</v>
      </c>
      <c r="Y265" s="194" t="str">
        <f t="shared" si="328"/>
        <v>Probabilidad</v>
      </c>
      <c r="Z265" s="188" t="s">
        <v>211</v>
      </c>
      <c r="AA265" s="188" t="s">
        <v>219</v>
      </c>
      <c r="AB265" s="185" t="str">
        <f>IF(AND(Z265="Preventivo",AA265="Automático"),"50%",IF(AND(Z265="Preventivo",AA265="Manual"),"40%",IF(AND(Z265="Detectivo",AA265="Automático"),"40%",IF(AND(Z265="Detectivo",AA265="Manual"),"30%",IF(AND(Z265="Correctivo",AA265="Automático"),"35%",IF(AND(Z265="Correctivo",AA265="Manual"),"25%",""))))))</f>
        <v>40%</v>
      </c>
      <c r="AC265" s="188" t="s">
        <v>222</v>
      </c>
      <c r="AD265" s="188" t="s">
        <v>227</v>
      </c>
      <c r="AE265" s="188" t="s">
        <v>231</v>
      </c>
      <c r="AF265" s="602">
        <f t="shared" si="357"/>
        <v>0.17279999999999998</v>
      </c>
      <c r="AG265" s="186" t="str">
        <f t="shared" si="330"/>
        <v>Muy Baja</v>
      </c>
      <c r="AH265" s="185">
        <f t="shared" si="331"/>
        <v>0.17279999999999998</v>
      </c>
      <c r="AI265" s="186" t="str">
        <f t="shared" ca="1" si="332"/>
        <v>Menor</v>
      </c>
      <c r="AJ265" s="185">
        <f t="shared" ref="AJ265:AJ268" ca="1" si="359">IFERROR(IF(AND(Y264="Impacto",Y265="Impacto"),(AJ264-(+AJ264*AB265)),IF(AND(Y264="Probabilidad",Y265="Impacto"),(AJ263-(+AJ263*AB265)),IF(Y265="Probabilidad",AJ264,""))),"")</f>
        <v>0.4</v>
      </c>
      <c r="AK265" s="187" t="str">
        <f t="shared" ca="1" si="334"/>
        <v>Bajo</v>
      </c>
      <c r="AL265" s="603" t="s">
        <v>258</v>
      </c>
      <c r="AM265" s="189"/>
      <c r="AN265" s="194"/>
      <c r="AO265" s="190"/>
      <c r="AP265" s="190"/>
      <c r="AQ265" s="191"/>
      <c r="AR265" s="194"/>
    </row>
    <row r="266" spans="1:44" s="605" customFormat="1" ht="101.25" x14ac:dyDescent="0.25">
      <c r="A266" s="252"/>
      <c r="B266" s="264"/>
      <c r="C266" s="251"/>
      <c r="D266" s="251"/>
      <c r="E266" s="253"/>
      <c r="F266" s="254"/>
      <c r="G266" s="254"/>
      <c r="H266" s="255"/>
      <c r="I266" s="249"/>
      <c r="J266" s="249"/>
      <c r="K266" s="249"/>
      <c r="L266" s="249"/>
      <c r="M266" s="253"/>
      <c r="N266" s="251"/>
      <c r="O266" s="256"/>
      <c r="P266" s="610"/>
      <c r="Q266" s="611"/>
      <c r="R266" s="611"/>
      <c r="S266" s="611">
        <f ca="1">IF(NOT(ISERROR(MATCH(R266,_xlfn.ANCHORARRAY(H277),0))),Q279&amp;"Por favor no seleccionar los criterios de impacto",R266)</f>
        <v>0</v>
      </c>
      <c r="T266" s="610"/>
      <c r="U266" s="611"/>
      <c r="V266" s="252"/>
      <c r="W266" s="194">
        <v>4</v>
      </c>
      <c r="X266" s="195" t="s">
        <v>799</v>
      </c>
      <c r="Y266" s="194" t="str">
        <f t="shared" si="328"/>
        <v>Probabilidad</v>
      </c>
      <c r="Z266" s="188" t="s">
        <v>211</v>
      </c>
      <c r="AA266" s="188" t="s">
        <v>219</v>
      </c>
      <c r="AB266" s="185" t="str">
        <f>IF(AND(Z266="Preventivo",AA266="Automático"),"50%",IF(AND(Z266="Preventivo",AA266="Manual"),"40%",IF(AND(Z266="Detectivo",AA266="Automático"),"40%",IF(AND(Z266="Detectivo",AA266="Manual"),"30%",IF(AND(Z266="Correctivo",AA266="Automático"),"35%",IF(AND(Z266="Correctivo",AA266="Manual"),"25%",""))))))</f>
        <v>40%</v>
      </c>
      <c r="AC266" s="188" t="s">
        <v>222</v>
      </c>
      <c r="AD266" s="188" t="s">
        <v>227</v>
      </c>
      <c r="AE266" s="188" t="s">
        <v>231</v>
      </c>
      <c r="AF266" s="602">
        <f t="shared" si="357"/>
        <v>0.10367999999999998</v>
      </c>
      <c r="AG266" s="186" t="str">
        <f t="shared" si="330"/>
        <v>Muy Baja</v>
      </c>
      <c r="AH266" s="185">
        <f t="shared" si="331"/>
        <v>0.10367999999999998</v>
      </c>
      <c r="AI266" s="186" t="str">
        <f t="shared" ca="1" si="332"/>
        <v>Menor</v>
      </c>
      <c r="AJ266" s="185">
        <f t="shared" ca="1" si="359"/>
        <v>0.4</v>
      </c>
      <c r="AK266" s="187" t="str">
        <f t="shared" ca="1" si="334"/>
        <v>Bajo</v>
      </c>
      <c r="AL266" s="603" t="s">
        <v>258</v>
      </c>
      <c r="AM266" s="189"/>
      <c r="AN266" s="194"/>
      <c r="AO266" s="190"/>
      <c r="AP266" s="190"/>
      <c r="AQ266" s="191"/>
      <c r="AR266" s="194"/>
    </row>
    <row r="267" spans="1:44" s="605" customFormat="1" ht="69" hidden="1" customHeight="1" x14ac:dyDescent="0.25">
      <c r="A267" s="252"/>
      <c r="B267" s="264"/>
      <c r="C267" s="251"/>
      <c r="D267" s="251"/>
      <c r="E267" s="253"/>
      <c r="F267" s="254"/>
      <c r="G267" s="254"/>
      <c r="H267" s="255"/>
      <c r="I267" s="249"/>
      <c r="J267" s="249"/>
      <c r="K267" s="249"/>
      <c r="L267" s="249"/>
      <c r="M267" s="253"/>
      <c r="N267" s="251"/>
      <c r="O267" s="256"/>
      <c r="P267" s="610"/>
      <c r="Q267" s="611"/>
      <c r="R267" s="611"/>
      <c r="S267" s="611">
        <f ca="1">IF(NOT(ISERROR(MATCH(R267,_xlfn.ANCHORARRAY(H278),0))),Q280&amp;"Por favor no seleccionar los criterios de impacto",R267)</f>
        <v>0</v>
      </c>
      <c r="T267" s="610"/>
      <c r="U267" s="611"/>
      <c r="V267" s="252"/>
      <c r="W267" s="194">
        <v>5</v>
      </c>
      <c r="X267" s="192"/>
      <c r="Y267" s="194" t="str">
        <f t="shared" si="328"/>
        <v/>
      </c>
      <c r="Z267" s="188"/>
      <c r="AA267" s="188"/>
      <c r="AB267" s="185" t="str">
        <f t="shared" si="337"/>
        <v/>
      </c>
      <c r="AC267" s="188"/>
      <c r="AD267" s="188"/>
      <c r="AE267" s="188"/>
      <c r="AF267" s="602" t="str">
        <f t="shared" si="357"/>
        <v/>
      </c>
      <c r="AG267" s="186" t="str">
        <f t="shared" si="330"/>
        <v/>
      </c>
      <c r="AH267" s="185" t="str">
        <f t="shared" si="331"/>
        <v/>
      </c>
      <c r="AI267" s="186" t="str">
        <f t="shared" si="332"/>
        <v/>
      </c>
      <c r="AJ267" s="185" t="str">
        <f t="shared" si="359"/>
        <v/>
      </c>
      <c r="AK267" s="187" t="str">
        <f t="shared" si="334"/>
        <v/>
      </c>
      <c r="AL267" s="603"/>
      <c r="AM267" s="189"/>
      <c r="AN267" s="194"/>
      <c r="AO267" s="190"/>
      <c r="AP267" s="190"/>
      <c r="AQ267" s="191"/>
      <c r="AR267" s="194"/>
    </row>
    <row r="268" spans="1:44" s="605" customFormat="1" ht="69" hidden="1" customHeight="1" x14ac:dyDescent="0.25">
      <c r="A268" s="252"/>
      <c r="B268" s="265"/>
      <c r="C268" s="239"/>
      <c r="D268" s="239"/>
      <c r="E268" s="253"/>
      <c r="F268" s="254"/>
      <c r="G268" s="254"/>
      <c r="H268" s="255"/>
      <c r="I268" s="250"/>
      <c r="J268" s="250"/>
      <c r="K268" s="250"/>
      <c r="L268" s="250"/>
      <c r="M268" s="253"/>
      <c r="N268" s="239"/>
      <c r="O268" s="256"/>
      <c r="P268" s="610"/>
      <c r="Q268" s="611"/>
      <c r="R268" s="611"/>
      <c r="S268" s="611">
        <f ca="1">IF(NOT(ISERROR(MATCH(R268,_xlfn.ANCHORARRAY(H279),0))),Q281&amp;"Por favor no seleccionar los criterios de impacto",R268)</f>
        <v>0</v>
      </c>
      <c r="T268" s="610"/>
      <c r="U268" s="611"/>
      <c r="V268" s="252"/>
      <c r="W268" s="194">
        <v>6</v>
      </c>
      <c r="X268" s="192"/>
      <c r="Y268" s="194" t="str">
        <f t="shared" si="328"/>
        <v/>
      </c>
      <c r="Z268" s="188"/>
      <c r="AA268" s="188"/>
      <c r="AB268" s="185" t="str">
        <f t="shared" si="337"/>
        <v/>
      </c>
      <c r="AC268" s="188"/>
      <c r="AD268" s="188"/>
      <c r="AE268" s="188"/>
      <c r="AF268" s="602" t="str">
        <f t="shared" si="357"/>
        <v/>
      </c>
      <c r="AG268" s="186" t="str">
        <f t="shared" si="330"/>
        <v/>
      </c>
      <c r="AH268" s="185" t="str">
        <f t="shared" si="331"/>
        <v/>
      </c>
      <c r="AI268" s="186" t="str">
        <f t="shared" si="332"/>
        <v/>
      </c>
      <c r="AJ268" s="185" t="str">
        <f t="shared" si="359"/>
        <v/>
      </c>
      <c r="AK268" s="187" t="str">
        <f t="shared" si="334"/>
        <v/>
      </c>
      <c r="AL268" s="603"/>
      <c r="AM268" s="189"/>
      <c r="AN268" s="194"/>
      <c r="AO268" s="190"/>
      <c r="AP268" s="190"/>
      <c r="AQ268" s="191"/>
      <c r="AR268" s="194"/>
    </row>
    <row r="269" spans="1:44" s="605" customFormat="1" ht="161.25" customHeight="1" x14ac:dyDescent="0.25">
      <c r="A269" s="252">
        <v>43</v>
      </c>
      <c r="B269" s="268" t="s">
        <v>800</v>
      </c>
      <c r="C269" s="263" t="s">
        <v>277</v>
      </c>
      <c r="D269" s="263" t="s">
        <v>801</v>
      </c>
      <c r="E269" s="505" t="s">
        <v>243</v>
      </c>
      <c r="F269" s="506" t="s">
        <v>802</v>
      </c>
      <c r="G269" s="506" t="s">
        <v>803</v>
      </c>
      <c r="H269" s="507" t="s">
        <v>804</v>
      </c>
      <c r="I269" s="248" t="s">
        <v>480</v>
      </c>
      <c r="J269" s="248" t="s">
        <v>480</v>
      </c>
      <c r="K269" s="248" t="s">
        <v>480</v>
      </c>
      <c r="L269" s="248" t="s">
        <v>480</v>
      </c>
      <c r="M269" s="253" t="s">
        <v>242</v>
      </c>
      <c r="N269" s="238"/>
      <c r="O269" s="256">
        <v>365</v>
      </c>
      <c r="P269" s="610" t="str">
        <f t="shared" si="324"/>
        <v>Media</v>
      </c>
      <c r="Q269" s="611">
        <f t="shared" si="325"/>
        <v>0.6</v>
      </c>
      <c r="R269" s="611" t="s">
        <v>187</v>
      </c>
      <c r="S269" s="611" t="str">
        <f ca="1">IF(NOT(ISERROR(MATCH(R269,'Tabla Impacto'!$B$221:$B$223,0))),'Tabla Impacto'!$F$223&amp;"Por favor no seleccionar los criterios de impacto(Afectación Económica o presupuestal y Pérdida Reputacional)",R269)</f>
        <v>El riesgo afecta la imagen de alguna área de la organización</v>
      </c>
      <c r="T269" s="610" t="str">
        <f ca="1">+IF(OR(S269='[1]Tabla Impacto'!$C$11,S269='[1]Tabla Impacto'!$D$11),"Leve",IF(OR(S269='[1]Tabla Impacto'!$C$12,S269='[1]Tabla Impacto'!$D$12),"Menor",IF(OR(S269='[1]Tabla Impacto'!$C$13,S269='[1]Tabla Impacto'!$D$13),"Moderado",IF(OR(S269='[1]Tabla Impacto'!$C$14,S269='[1]Tabla Impacto'!$D$14),"Mayor",IF(OR(S269='[1]Tabla Impacto'!$C$15,S269='[1]Tabla Impacto'!$D$15),"Catastrófico","")))))</f>
        <v>Leve</v>
      </c>
      <c r="U269" s="611">
        <f t="shared" ref="U269" ca="1" si="360">IF(T269="","",IF(T269="Leve",0.2,IF(T269="Menor",0.4,IF(T269="Moderado",0.6,IF(T269="Mayor",0.8,IF(T269="Catastrófico",1,))))))</f>
        <v>0.2</v>
      </c>
      <c r="V269" s="252" t="str">
        <f t="shared" ref="V269" ca="1" si="361">IF(OR(AND(P269="Muy Baja",T269="Leve"),AND(P269="Muy Baja",T269="Menor"),AND(P269="Baja",T269="Leve")),"Bajo",IF(OR(AND(P269="Muy baja",T269="Moderado"),AND(P269="Baja",T269="Menor"),AND(P269="Baja",T269="Moderado"),AND(P269="Media",T269="Leve"),AND(P269="Media",T269="Menor"),AND(P269="Media",T269="Moderado"),AND(P269="Alta",T269="Leve"),AND(P269="Alta",T269="Menor")),"Moderado",IF(OR(AND(P269="Muy Baja",T269="Mayor"),AND(P269="Baja",T269="Mayor"),AND(P269="Media",T269="Mayor"),AND(P269="Alta",T269="Moderado"),AND(P269="Alta",T269="Mayor"),AND(P269="Muy Alta",T269="Leve"),AND(P269="Muy Alta",T269="Menor"),AND(P269="Muy Alta",T269="Moderado"),AND(P269="Muy Alta",T269="Mayor")),"Alto",IF(OR(AND(P269="Muy Baja",T269="Catastrófico"),AND(P269="Baja",T269="Catastrófico"),AND(P269="Media",T269="Catastrófico"),AND(P269="Alta",T269="Catastrófico"),AND(P269="Muy Alta",T269="Catastrófico")),"Extremo",""))))</f>
        <v>Moderado</v>
      </c>
      <c r="W269" s="194">
        <v>1</v>
      </c>
      <c r="X269" s="192" t="s">
        <v>805</v>
      </c>
      <c r="Y269" s="194" t="str">
        <f t="shared" si="328"/>
        <v>Probabilidad</v>
      </c>
      <c r="Z269" s="188" t="s">
        <v>211</v>
      </c>
      <c r="AA269" s="188" t="s">
        <v>219</v>
      </c>
      <c r="AB269" s="185" t="str">
        <f>IF(AND(Z269="Preventivo",AA269="Automático"),"50%",IF(AND(Z269="Preventivo",AA269="Manual"),"40%",IF(AND(Z269="Detectivo",AA269="Automático"),"40%",IF(AND(Z269="Detectivo",AA269="Manual"),"30%",IF(AND(Z269="Correctivo",AA269="Automático"),"35%",IF(AND(Z269="Correctivo",AA269="Manual"),"25%",""))))))</f>
        <v>40%</v>
      </c>
      <c r="AC269" s="188" t="s">
        <v>222</v>
      </c>
      <c r="AD269" s="188" t="s">
        <v>227</v>
      </c>
      <c r="AE269" s="188" t="s">
        <v>231</v>
      </c>
      <c r="AF269" s="602">
        <f t="shared" ref="AF269" si="362">IFERROR(IF(Y269="Probabilidad",(Q269-(+Q269*AB269)),IF(Y269="Impacto",Q269,"")),"")</f>
        <v>0.36</v>
      </c>
      <c r="AG269" s="186" t="str">
        <f t="shared" si="330"/>
        <v>Baja</v>
      </c>
      <c r="AH269" s="185">
        <f t="shared" si="331"/>
        <v>0.36</v>
      </c>
      <c r="AI269" s="186" t="str">
        <f t="shared" ca="1" si="332"/>
        <v>Leve</v>
      </c>
      <c r="AJ269" s="185">
        <f t="shared" ref="AJ269" ca="1" si="363">IFERROR(IF(Y269="Impacto",(U269-(+U269*AB269)),IF(Y269="Probabilidad",U269,"")),"")</f>
        <v>0.2</v>
      </c>
      <c r="AK269" s="187" t="str">
        <f t="shared" ca="1" si="334"/>
        <v>Bajo</v>
      </c>
      <c r="AL269" s="603" t="s">
        <v>258</v>
      </c>
      <c r="AM269" s="189"/>
      <c r="AN269" s="194"/>
      <c r="AO269" s="190"/>
      <c r="AP269" s="190"/>
      <c r="AQ269" s="191"/>
      <c r="AR269" s="194"/>
    </row>
    <row r="270" spans="1:44" s="605" customFormat="1" ht="69" hidden="1" customHeight="1" x14ac:dyDescent="0.25">
      <c r="A270" s="252"/>
      <c r="B270" s="264"/>
      <c r="C270" s="266"/>
      <c r="D270" s="266"/>
      <c r="E270" s="505"/>
      <c r="F270" s="506"/>
      <c r="G270" s="506"/>
      <c r="H270" s="507"/>
      <c r="I270" s="249"/>
      <c r="J270" s="249"/>
      <c r="K270" s="249"/>
      <c r="L270" s="249"/>
      <c r="M270" s="253"/>
      <c r="N270" s="251"/>
      <c r="O270" s="256"/>
      <c r="P270" s="610"/>
      <c r="Q270" s="611"/>
      <c r="R270" s="611"/>
      <c r="S270" s="611">
        <f ca="1">IF(NOT(ISERROR(MATCH(R270,_xlfn.ANCHORARRAY(H281),0))),Q283&amp;"Por favor no seleccionar los criterios de impacto",R270)</f>
        <v>0</v>
      </c>
      <c r="T270" s="610"/>
      <c r="U270" s="611"/>
      <c r="V270" s="252"/>
      <c r="W270" s="194">
        <v>2</v>
      </c>
      <c r="X270" s="192"/>
      <c r="Y270" s="194" t="str">
        <f t="shared" si="328"/>
        <v/>
      </c>
      <c r="Z270" s="188"/>
      <c r="AA270" s="188"/>
      <c r="AB270" s="185" t="str">
        <f t="shared" si="337"/>
        <v/>
      </c>
      <c r="AC270" s="188"/>
      <c r="AD270" s="188"/>
      <c r="AE270" s="188"/>
      <c r="AF270" s="602" t="str">
        <f t="shared" ref="AF270:AF274" si="364">IFERROR(IF(AND(Y269="Probabilidad",Y270="Probabilidad"),(AH269-(+AH269*AB270)),IF(Y270="Probabilidad",(Q269-(+Q269*AB270)),IF(Y270="Impacto",AH269,""))),"")</f>
        <v/>
      </c>
      <c r="AG270" s="186" t="str">
        <f t="shared" si="330"/>
        <v/>
      </c>
      <c r="AH270" s="185" t="str">
        <f t="shared" si="331"/>
        <v/>
      </c>
      <c r="AI270" s="186" t="str">
        <f t="shared" si="332"/>
        <v/>
      </c>
      <c r="AJ270" s="185" t="str">
        <f t="shared" ref="AJ270" si="365">IFERROR(IF(AND(Y269="Impacto",Y270="Impacto"),(AJ269-(+AJ269*AB270)),IF(Y270="Impacto",(U269-(+U269*AB270)),IF(Y270="Probabilidad",AJ269,""))),"")</f>
        <v/>
      </c>
      <c r="AK270" s="187" t="str">
        <f t="shared" si="334"/>
        <v/>
      </c>
      <c r="AL270" s="603"/>
      <c r="AM270" s="189"/>
      <c r="AN270" s="194"/>
      <c r="AO270" s="190"/>
      <c r="AP270" s="190"/>
      <c r="AQ270" s="191"/>
      <c r="AR270" s="194"/>
    </row>
    <row r="271" spans="1:44" s="605" customFormat="1" ht="69" hidden="1" customHeight="1" x14ac:dyDescent="0.25">
      <c r="A271" s="252"/>
      <c r="B271" s="264"/>
      <c r="C271" s="266"/>
      <c r="D271" s="266"/>
      <c r="E271" s="505"/>
      <c r="F271" s="506"/>
      <c r="G271" s="506"/>
      <c r="H271" s="507"/>
      <c r="I271" s="249"/>
      <c r="J271" s="249"/>
      <c r="K271" s="249"/>
      <c r="L271" s="249"/>
      <c r="M271" s="253"/>
      <c r="N271" s="251"/>
      <c r="O271" s="256"/>
      <c r="P271" s="610"/>
      <c r="Q271" s="611"/>
      <c r="R271" s="611"/>
      <c r="S271" s="611">
        <f ca="1">IF(NOT(ISERROR(MATCH(R271,_xlfn.ANCHORARRAY(H282),0))),Q284&amp;"Por favor no seleccionar los criterios de impacto",R271)</f>
        <v>0</v>
      </c>
      <c r="T271" s="610"/>
      <c r="U271" s="611"/>
      <c r="V271" s="252"/>
      <c r="W271" s="194">
        <v>3</v>
      </c>
      <c r="X271" s="192"/>
      <c r="Y271" s="194" t="str">
        <f t="shared" si="328"/>
        <v/>
      </c>
      <c r="Z271" s="188"/>
      <c r="AA271" s="188"/>
      <c r="AB271" s="185" t="str">
        <f t="shared" si="337"/>
        <v/>
      </c>
      <c r="AC271" s="188"/>
      <c r="AD271" s="188"/>
      <c r="AE271" s="188"/>
      <c r="AF271" s="602" t="str">
        <f t="shared" si="364"/>
        <v/>
      </c>
      <c r="AG271" s="186" t="str">
        <f t="shared" si="330"/>
        <v/>
      </c>
      <c r="AH271" s="185" t="str">
        <f t="shared" si="331"/>
        <v/>
      </c>
      <c r="AI271" s="186" t="str">
        <f t="shared" si="332"/>
        <v/>
      </c>
      <c r="AJ271" s="185" t="str">
        <f t="shared" ref="AJ271:AJ274" si="366">IFERROR(IF(AND(Y270="Impacto",Y271="Impacto"),(AJ270-(+AJ270*AB271)),IF(AND(Y270="Probabilidad",Y271="Impacto"),(AJ269-(+AJ269*AB271)),IF(Y271="Probabilidad",AJ270,""))),"")</f>
        <v/>
      </c>
      <c r="AK271" s="187" t="str">
        <f t="shared" si="334"/>
        <v/>
      </c>
      <c r="AL271" s="603"/>
      <c r="AM271" s="189"/>
      <c r="AN271" s="194"/>
      <c r="AO271" s="190"/>
      <c r="AP271" s="190"/>
      <c r="AQ271" s="191"/>
      <c r="AR271" s="194"/>
    </row>
    <row r="272" spans="1:44" s="605" customFormat="1" ht="69" hidden="1" customHeight="1" x14ac:dyDescent="0.25">
      <c r="A272" s="252"/>
      <c r="B272" s="264"/>
      <c r="C272" s="266"/>
      <c r="D272" s="266"/>
      <c r="E272" s="505"/>
      <c r="F272" s="506"/>
      <c r="G272" s="506"/>
      <c r="H272" s="507"/>
      <c r="I272" s="249"/>
      <c r="J272" s="249"/>
      <c r="K272" s="249"/>
      <c r="L272" s="249"/>
      <c r="M272" s="253"/>
      <c r="N272" s="251"/>
      <c r="O272" s="256"/>
      <c r="P272" s="610"/>
      <c r="Q272" s="611"/>
      <c r="R272" s="611"/>
      <c r="S272" s="611">
        <f ca="1">IF(NOT(ISERROR(MATCH(R272,_xlfn.ANCHORARRAY(H283),0))),Q285&amp;"Por favor no seleccionar los criterios de impacto",R272)</f>
        <v>0</v>
      </c>
      <c r="T272" s="610"/>
      <c r="U272" s="611"/>
      <c r="V272" s="252"/>
      <c r="W272" s="194">
        <v>4</v>
      </c>
      <c r="X272" s="192"/>
      <c r="Y272" s="194" t="str">
        <f t="shared" si="328"/>
        <v/>
      </c>
      <c r="Z272" s="188"/>
      <c r="AA272" s="188"/>
      <c r="AB272" s="185" t="str">
        <f t="shared" si="337"/>
        <v/>
      </c>
      <c r="AC272" s="188"/>
      <c r="AD272" s="188"/>
      <c r="AE272" s="188"/>
      <c r="AF272" s="602" t="str">
        <f t="shared" si="364"/>
        <v/>
      </c>
      <c r="AG272" s="186" t="str">
        <f t="shared" si="330"/>
        <v/>
      </c>
      <c r="AH272" s="185" t="str">
        <f t="shared" si="331"/>
        <v/>
      </c>
      <c r="AI272" s="186" t="str">
        <f t="shared" si="332"/>
        <v/>
      </c>
      <c r="AJ272" s="185" t="str">
        <f t="shared" si="366"/>
        <v/>
      </c>
      <c r="AK272" s="187" t="str">
        <f t="shared" si="334"/>
        <v/>
      </c>
      <c r="AL272" s="603"/>
      <c r="AM272" s="189"/>
      <c r="AN272" s="194"/>
      <c r="AO272" s="190"/>
      <c r="AP272" s="190"/>
      <c r="AQ272" s="191"/>
      <c r="AR272" s="194"/>
    </row>
    <row r="273" spans="1:44" s="605" customFormat="1" ht="69" hidden="1" customHeight="1" x14ac:dyDescent="0.25">
      <c r="A273" s="252"/>
      <c r="B273" s="264"/>
      <c r="C273" s="266"/>
      <c r="D273" s="266"/>
      <c r="E273" s="505"/>
      <c r="F273" s="506"/>
      <c r="G273" s="506"/>
      <c r="H273" s="507"/>
      <c r="I273" s="249"/>
      <c r="J273" s="249"/>
      <c r="K273" s="249"/>
      <c r="L273" s="249"/>
      <c r="M273" s="253"/>
      <c r="N273" s="251"/>
      <c r="O273" s="256"/>
      <c r="P273" s="610"/>
      <c r="Q273" s="611"/>
      <c r="R273" s="611"/>
      <c r="S273" s="611">
        <f ca="1">IF(NOT(ISERROR(MATCH(R273,_xlfn.ANCHORARRAY(H284),0))),Q286&amp;"Por favor no seleccionar los criterios de impacto",R273)</f>
        <v>0</v>
      </c>
      <c r="T273" s="610"/>
      <c r="U273" s="611"/>
      <c r="V273" s="252"/>
      <c r="W273" s="194">
        <v>5</v>
      </c>
      <c r="X273" s="192"/>
      <c r="Y273" s="194" t="str">
        <f t="shared" si="328"/>
        <v/>
      </c>
      <c r="Z273" s="188"/>
      <c r="AA273" s="188"/>
      <c r="AB273" s="185" t="str">
        <f t="shared" si="337"/>
        <v/>
      </c>
      <c r="AC273" s="188"/>
      <c r="AD273" s="188"/>
      <c r="AE273" s="188"/>
      <c r="AF273" s="602" t="str">
        <f t="shared" si="364"/>
        <v/>
      </c>
      <c r="AG273" s="186" t="str">
        <f t="shared" si="330"/>
        <v/>
      </c>
      <c r="AH273" s="185" t="str">
        <f t="shared" si="331"/>
        <v/>
      </c>
      <c r="AI273" s="186" t="str">
        <f t="shared" si="332"/>
        <v/>
      </c>
      <c r="AJ273" s="185" t="str">
        <f t="shared" si="366"/>
        <v/>
      </c>
      <c r="AK273" s="187" t="str">
        <f t="shared" si="334"/>
        <v/>
      </c>
      <c r="AL273" s="603"/>
      <c r="AM273" s="189"/>
      <c r="AN273" s="194"/>
      <c r="AO273" s="190"/>
      <c r="AP273" s="190"/>
      <c r="AQ273" s="191"/>
      <c r="AR273" s="194"/>
    </row>
    <row r="274" spans="1:44" s="605" customFormat="1" ht="69" hidden="1" customHeight="1" x14ac:dyDescent="0.25">
      <c r="A274" s="252"/>
      <c r="B274" s="265"/>
      <c r="C274" s="267"/>
      <c r="D274" s="267"/>
      <c r="E274" s="505"/>
      <c r="F274" s="506"/>
      <c r="G274" s="506"/>
      <c r="H274" s="507"/>
      <c r="I274" s="250"/>
      <c r="J274" s="250"/>
      <c r="K274" s="250"/>
      <c r="L274" s="250"/>
      <c r="M274" s="253"/>
      <c r="N274" s="239"/>
      <c r="O274" s="256"/>
      <c r="P274" s="610"/>
      <c r="Q274" s="611"/>
      <c r="R274" s="611"/>
      <c r="S274" s="611">
        <f ca="1">IF(NOT(ISERROR(MATCH(R274,_xlfn.ANCHORARRAY(H285),0))),Q287&amp;"Por favor no seleccionar los criterios de impacto",R274)</f>
        <v>0</v>
      </c>
      <c r="T274" s="610"/>
      <c r="U274" s="611"/>
      <c r="V274" s="252"/>
      <c r="W274" s="194">
        <v>6</v>
      </c>
      <c r="X274" s="192"/>
      <c r="Y274" s="194" t="str">
        <f t="shared" si="328"/>
        <v/>
      </c>
      <c r="Z274" s="188"/>
      <c r="AA274" s="188"/>
      <c r="AB274" s="185" t="str">
        <f t="shared" si="337"/>
        <v/>
      </c>
      <c r="AC274" s="188"/>
      <c r="AD274" s="188"/>
      <c r="AE274" s="188"/>
      <c r="AF274" s="602" t="str">
        <f t="shared" si="364"/>
        <v/>
      </c>
      <c r="AG274" s="186" t="str">
        <f t="shared" si="330"/>
        <v/>
      </c>
      <c r="AH274" s="185" t="str">
        <f t="shared" si="331"/>
        <v/>
      </c>
      <c r="AI274" s="186" t="str">
        <f t="shared" si="332"/>
        <v/>
      </c>
      <c r="AJ274" s="185" t="str">
        <f t="shared" si="366"/>
        <v/>
      </c>
      <c r="AK274" s="187" t="str">
        <f t="shared" si="334"/>
        <v/>
      </c>
      <c r="AL274" s="603"/>
      <c r="AM274" s="189"/>
      <c r="AN274" s="194"/>
      <c r="AO274" s="190"/>
      <c r="AP274" s="190"/>
      <c r="AQ274" s="191"/>
      <c r="AR274" s="194"/>
    </row>
    <row r="275" spans="1:44" s="605" customFormat="1" ht="366" customHeight="1" x14ac:dyDescent="0.25">
      <c r="A275" s="252">
        <v>44</v>
      </c>
      <c r="B275" s="268" t="s">
        <v>806</v>
      </c>
      <c r="C275" s="263" t="s">
        <v>277</v>
      </c>
      <c r="D275" s="263" t="s">
        <v>807</v>
      </c>
      <c r="E275" s="505" t="s">
        <v>243</v>
      </c>
      <c r="F275" s="506" t="s">
        <v>719</v>
      </c>
      <c r="G275" s="506" t="s">
        <v>808</v>
      </c>
      <c r="H275" s="507" t="s">
        <v>809</v>
      </c>
      <c r="I275" s="248" t="s">
        <v>688</v>
      </c>
      <c r="J275" s="248" t="s">
        <v>688</v>
      </c>
      <c r="K275" s="248" t="s">
        <v>688</v>
      </c>
      <c r="L275" s="248" t="s">
        <v>688</v>
      </c>
      <c r="M275" s="616" t="s">
        <v>247</v>
      </c>
      <c r="N275" s="238"/>
      <c r="O275" s="256">
        <v>365</v>
      </c>
      <c r="P275" s="610" t="str">
        <f t="shared" si="324"/>
        <v>Media</v>
      </c>
      <c r="Q275" s="611">
        <f t="shared" si="325"/>
        <v>0.6</v>
      </c>
      <c r="R275" s="611" t="s">
        <v>193</v>
      </c>
      <c r="S275" s="611" t="str">
        <f ca="1">IF(NOT(ISERROR(MATCH(R275,'Tabla Impacto'!$B$221:$B$223,0))),'Tabla Impacto'!$F$223&amp;"Por favor no seleccionar los criterios de impacto(Afectación Económica o presupuestal y Pérdida Reputacional)",R275)</f>
        <v>El riesgo afecta la imagen de la entidad con algunos usuarios de relevancia frente al logro de los objetivos</v>
      </c>
      <c r="T275" s="610" t="str">
        <f ca="1">+IF(OR(S275='[1]Tabla Impacto'!$C$11,S275='[1]Tabla Impacto'!$D$11),"Leve",IF(OR(S275='[1]Tabla Impacto'!$C$12,S275='[1]Tabla Impacto'!$D$12),"Menor",IF(OR(S275='[1]Tabla Impacto'!$C$13,S275='[1]Tabla Impacto'!$D$13),"Moderado",IF(OR(S275='[1]Tabla Impacto'!$C$14,S275='[1]Tabla Impacto'!$D$14),"Mayor",IF(OR(S275='[1]Tabla Impacto'!$C$15,S275='[1]Tabla Impacto'!$D$15),"Catastrófico","")))))</f>
        <v>Moderado</v>
      </c>
      <c r="U275" s="611">
        <f t="shared" ref="U275" ca="1" si="367">IF(T275="","",IF(T275="Leve",0.2,IF(T275="Menor",0.4,IF(T275="Moderado",0.6,IF(T275="Mayor",0.8,IF(T275="Catastrófico",1,))))))</f>
        <v>0.6</v>
      </c>
      <c r="V275" s="252" t="str">
        <f t="shared" ref="V275" ca="1" si="368">IF(OR(AND(P275="Muy Baja",T275="Leve"),AND(P275="Muy Baja",T275="Menor"),AND(P275="Baja",T275="Leve")),"Bajo",IF(OR(AND(P275="Muy baja",T275="Moderado"),AND(P275="Baja",T275="Menor"),AND(P275="Baja",T275="Moderado"),AND(P275="Media",T275="Leve"),AND(P275="Media",T275="Menor"),AND(P275="Media",T275="Moderado"),AND(P275="Alta",T275="Leve"),AND(P275="Alta",T275="Menor")),"Moderado",IF(OR(AND(P275="Muy Baja",T275="Mayor"),AND(P275="Baja",T275="Mayor"),AND(P275="Media",T275="Mayor"),AND(P275="Alta",T275="Moderado"),AND(P275="Alta",T275="Mayor"),AND(P275="Muy Alta",T275="Leve"),AND(P275="Muy Alta",T275="Menor"),AND(P275="Muy Alta",T275="Moderado"),AND(P275="Muy Alta",T275="Mayor")),"Alto",IF(OR(AND(P275="Muy Baja",T275="Catastrófico"),AND(P275="Baja",T275="Catastrófico"),AND(P275="Media",T275="Catastrófico"),AND(P275="Alta",T275="Catastrófico"),AND(P275="Muy Alta",T275="Catastrófico")),"Extremo",""))))</f>
        <v>Moderado</v>
      </c>
      <c r="W275" s="194">
        <v>1</v>
      </c>
      <c r="X275" s="192" t="s">
        <v>810</v>
      </c>
      <c r="Y275" s="194" t="str">
        <f t="shared" si="328"/>
        <v>Probabilidad</v>
      </c>
      <c r="Z275" s="188" t="s">
        <v>211</v>
      </c>
      <c r="AA275" s="188" t="s">
        <v>219</v>
      </c>
      <c r="AB275" s="185" t="str">
        <f>IF(AND(Z275="Preventivo",AA275="Automático"),"50%",IF(AND(Z275="Preventivo",AA275="Manual"),"40%",IF(AND(Z275="Detectivo",AA275="Automático"),"40%",IF(AND(Z275="Detectivo",AA275="Manual"),"30%",IF(AND(Z275="Correctivo",AA275="Automático"),"35%",IF(AND(Z275="Correctivo",AA275="Manual"),"25%",""))))))</f>
        <v>40%</v>
      </c>
      <c r="AC275" s="188" t="s">
        <v>222</v>
      </c>
      <c r="AD275" s="188" t="s">
        <v>227</v>
      </c>
      <c r="AE275" s="188" t="s">
        <v>231</v>
      </c>
      <c r="AF275" s="602">
        <f t="shared" ref="AF275" si="369">IFERROR(IF(Y275="Probabilidad",(Q275-(+Q275*AB275)),IF(Y275="Impacto",Q275,"")),"")</f>
        <v>0.36</v>
      </c>
      <c r="AG275" s="186" t="str">
        <f t="shared" si="330"/>
        <v>Baja</v>
      </c>
      <c r="AH275" s="185">
        <f t="shared" si="331"/>
        <v>0.36</v>
      </c>
      <c r="AI275" s="186" t="str">
        <f t="shared" ca="1" si="332"/>
        <v>Moderado</v>
      </c>
      <c r="AJ275" s="185">
        <f t="shared" ref="AJ275" ca="1" si="370">IFERROR(IF(Y275="Impacto",(U275-(+U275*AB275)),IF(Y275="Probabilidad",U275,"")),"")</f>
        <v>0.6</v>
      </c>
      <c r="AK275" s="187" t="str">
        <f t="shared" ca="1" si="334"/>
        <v>Moderado</v>
      </c>
      <c r="AL275" s="603" t="s">
        <v>258</v>
      </c>
      <c r="AM275" s="189"/>
      <c r="AN275" s="194"/>
      <c r="AO275" s="190"/>
      <c r="AP275" s="190"/>
      <c r="AQ275" s="191"/>
      <c r="AR275" s="194"/>
    </row>
    <row r="276" spans="1:44" s="605" customFormat="1" ht="69" hidden="1" customHeight="1" x14ac:dyDescent="0.25">
      <c r="A276" s="252"/>
      <c r="B276" s="264"/>
      <c r="C276" s="266"/>
      <c r="D276" s="266"/>
      <c r="E276" s="505"/>
      <c r="F276" s="506"/>
      <c r="G276" s="506"/>
      <c r="H276" s="507"/>
      <c r="I276" s="249"/>
      <c r="J276" s="249"/>
      <c r="K276" s="249"/>
      <c r="L276" s="249"/>
      <c r="M276" s="616"/>
      <c r="N276" s="251"/>
      <c r="O276" s="256"/>
      <c r="P276" s="610"/>
      <c r="Q276" s="611"/>
      <c r="R276" s="611"/>
      <c r="S276" s="611">
        <f ca="1">IF(NOT(ISERROR(MATCH(R276,_xlfn.ANCHORARRAY(H287),0))),Q289&amp;"Por favor no seleccionar los criterios de impacto",R276)</f>
        <v>0</v>
      </c>
      <c r="T276" s="610"/>
      <c r="U276" s="611"/>
      <c r="V276" s="252"/>
      <c r="W276" s="194">
        <v>2</v>
      </c>
      <c r="X276" s="192"/>
      <c r="Y276" s="194" t="str">
        <f t="shared" si="328"/>
        <v/>
      </c>
      <c r="Z276" s="188"/>
      <c r="AA276" s="188"/>
      <c r="AB276" s="185" t="str">
        <f t="shared" si="337"/>
        <v/>
      </c>
      <c r="AC276" s="188"/>
      <c r="AD276" s="188"/>
      <c r="AE276" s="188"/>
      <c r="AF276" s="602" t="str">
        <f t="shared" ref="AF276:AF280" si="371">IFERROR(IF(AND(Y275="Probabilidad",Y276="Probabilidad"),(AH275-(+AH275*AB276)),IF(Y276="Probabilidad",(Q275-(+Q275*AB276)),IF(Y276="Impacto",AH275,""))),"")</f>
        <v/>
      </c>
      <c r="AG276" s="186" t="str">
        <f t="shared" si="330"/>
        <v/>
      </c>
      <c r="AH276" s="185" t="str">
        <f t="shared" si="331"/>
        <v/>
      </c>
      <c r="AI276" s="186" t="str">
        <f t="shared" si="332"/>
        <v/>
      </c>
      <c r="AJ276" s="185" t="str">
        <f t="shared" ref="AJ276" si="372">IFERROR(IF(AND(Y275="Impacto",Y276="Impacto"),(AJ275-(+AJ275*AB276)),IF(Y276="Impacto",(U275-(+U275*AB276)),IF(Y276="Probabilidad",AJ275,""))),"")</f>
        <v/>
      </c>
      <c r="AK276" s="187" t="str">
        <f t="shared" si="334"/>
        <v/>
      </c>
      <c r="AL276" s="603"/>
      <c r="AM276" s="189"/>
      <c r="AN276" s="194"/>
      <c r="AO276" s="190"/>
      <c r="AP276" s="190"/>
      <c r="AQ276" s="191"/>
      <c r="AR276" s="194"/>
    </row>
    <row r="277" spans="1:44" s="605" customFormat="1" ht="69" hidden="1" customHeight="1" x14ac:dyDescent="0.25">
      <c r="A277" s="252"/>
      <c r="B277" s="264"/>
      <c r="C277" s="266"/>
      <c r="D277" s="266"/>
      <c r="E277" s="505"/>
      <c r="F277" s="506"/>
      <c r="G277" s="506"/>
      <c r="H277" s="507"/>
      <c r="I277" s="249"/>
      <c r="J277" s="249"/>
      <c r="K277" s="249"/>
      <c r="L277" s="249"/>
      <c r="M277" s="616"/>
      <c r="N277" s="251"/>
      <c r="O277" s="256"/>
      <c r="P277" s="610"/>
      <c r="Q277" s="611"/>
      <c r="R277" s="611"/>
      <c r="S277" s="611">
        <f ca="1">IF(NOT(ISERROR(MATCH(R277,_xlfn.ANCHORARRAY(H288),0))),Q290&amp;"Por favor no seleccionar los criterios de impacto",R277)</f>
        <v>0</v>
      </c>
      <c r="T277" s="610"/>
      <c r="U277" s="611"/>
      <c r="V277" s="252"/>
      <c r="W277" s="194">
        <v>3</v>
      </c>
      <c r="X277" s="192"/>
      <c r="Y277" s="194" t="str">
        <f t="shared" si="328"/>
        <v/>
      </c>
      <c r="Z277" s="188"/>
      <c r="AA277" s="188"/>
      <c r="AB277" s="185" t="str">
        <f t="shared" si="337"/>
        <v/>
      </c>
      <c r="AC277" s="188"/>
      <c r="AD277" s="188"/>
      <c r="AE277" s="188"/>
      <c r="AF277" s="602" t="str">
        <f t="shared" si="371"/>
        <v/>
      </c>
      <c r="AG277" s="186" t="str">
        <f t="shared" si="330"/>
        <v/>
      </c>
      <c r="AH277" s="185" t="str">
        <f t="shared" si="331"/>
        <v/>
      </c>
      <c r="AI277" s="186" t="str">
        <f t="shared" si="332"/>
        <v/>
      </c>
      <c r="AJ277" s="185" t="str">
        <f t="shared" ref="AJ277:AJ280" si="373">IFERROR(IF(AND(Y276="Impacto",Y277="Impacto"),(AJ276-(+AJ276*AB277)),IF(AND(Y276="Probabilidad",Y277="Impacto"),(AJ275-(+AJ275*AB277)),IF(Y277="Probabilidad",AJ276,""))),"")</f>
        <v/>
      </c>
      <c r="AK277" s="187" t="str">
        <f t="shared" si="334"/>
        <v/>
      </c>
      <c r="AL277" s="603"/>
      <c r="AM277" s="189"/>
      <c r="AN277" s="194"/>
      <c r="AO277" s="190"/>
      <c r="AP277" s="190"/>
      <c r="AQ277" s="191"/>
      <c r="AR277" s="194"/>
    </row>
    <row r="278" spans="1:44" s="605" customFormat="1" ht="69" hidden="1" customHeight="1" x14ac:dyDescent="0.25">
      <c r="A278" s="252"/>
      <c r="B278" s="264"/>
      <c r="C278" s="266"/>
      <c r="D278" s="266"/>
      <c r="E278" s="505"/>
      <c r="F278" s="506"/>
      <c r="G278" s="506"/>
      <c r="H278" s="507"/>
      <c r="I278" s="249"/>
      <c r="J278" s="249"/>
      <c r="K278" s="249"/>
      <c r="L278" s="249"/>
      <c r="M278" s="616"/>
      <c r="N278" s="251"/>
      <c r="O278" s="256"/>
      <c r="P278" s="610"/>
      <c r="Q278" s="611"/>
      <c r="R278" s="611"/>
      <c r="S278" s="611">
        <f ca="1">IF(NOT(ISERROR(MATCH(R278,_xlfn.ANCHORARRAY(H289),0))),Q291&amp;"Por favor no seleccionar los criterios de impacto",R278)</f>
        <v>0</v>
      </c>
      <c r="T278" s="610"/>
      <c r="U278" s="611"/>
      <c r="V278" s="252"/>
      <c r="W278" s="194">
        <v>4</v>
      </c>
      <c r="X278" s="192"/>
      <c r="Y278" s="194" t="str">
        <f t="shared" si="328"/>
        <v/>
      </c>
      <c r="Z278" s="188"/>
      <c r="AA278" s="188"/>
      <c r="AB278" s="185" t="str">
        <f t="shared" si="337"/>
        <v/>
      </c>
      <c r="AC278" s="188"/>
      <c r="AD278" s="188"/>
      <c r="AE278" s="188"/>
      <c r="AF278" s="602" t="str">
        <f t="shared" si="371"/>
        <v/>
      </c>
      <c r="AG278" s="186" t="str">
        <f t="shared" si="330"/>
        <v/>
      </c>
      <c r="AH278" s="185" t="str">
        <f t="shared" si="331"/>
        <v/>
      </c>
      <c r="AI278" s="186" t="str">
        <f t="shared" si="332"/>
        <v/>
      </c>
      <c r="AJ278" s="185" t="str">
        <f t="shared" si="373"/>
        <v/>
      </c>
      <c r="AK278" s="187" t="str">
        <f t="shared" si="334"/>
        <v/>
      </c>
      <c r="AL278" s="603"/>
      <c r="AM278" s="189"/>
      <c r="AN278" s="194"/>
      <c r="AO278" s="190"/>
      <c r="AP278" s="190"/>
      <c r="AQ278" s="191"/>
      <c r="AR278" s="194"/>
    </row>
    <row r="279" spans="1:44" s="605" customFormat="1" ht="69" hidden="1" customHeight="1" x14ac:dyDescent="0.25">
      <c r="A279" s="252"/>
      <c r="B279" s="264"/>
      <c r="C279" s="266"/>
      <c r="D279" s="266"/>
      <c r="E279" s="505"/>
      <c r="F279" s="506"/>
      <c r="G279" s="506"/>
      <c r="H279" s="507"/>
      <c r="I279" s="249"/>
      <c r="J279" s="249"/>
      <c r="K279" s="249"/>
      <c r="L279" s="249"/>
      <c r="M279" s="616"/>
      <c r="N279" s="251"/>
      <c r="O279" s="256"/>
      <c r="P279" s="610"/>
      <c r="Q279" s="611"/>
      <c r="R279" s="611"/>
      <c r="S279" s="611">
        <f ca="1">IF(NOT(ISERROR(MATCH(R279,_xlfn.ANCHORARRAY(H290),0))),Q292&amp;"Por favor no seleccionar los criterios de impacto",R279)</f>
        <v>0</v>
      </c>
      <c r="T279" s="610"/>
      <c r="U279" s="611"/>
      <c r="V279" s="252"/>
      <c r="W279" s="194">
        <v>5</v>
      </c>
      <c r="X279" s="192"/>
      <c r="Y279" s="194" t="str">
        <f t="shared" si="328"/>
        <v/>
      </c>
      <c r="Z279" s="188"/>
      <c r="AA279" s="188"/>
      <c r="AB279" s="185" t="str">
        <f t="shared" si="337"/>
        <v/>
      </c>
      <c r="AC279" s="188"/>
      <c r="AD279" s="188"/>
      <c r="AE279" s="188"/>
      <c r="AF279" s="602" t="str">
        <f t="shared" si="371"/>
        <v/>
      </c>
      <c r="AG279" s="186" t="str">
        <f t="shared" si="330"/>
        <v/>
      </c>
      <c r="AH279" s="185" t="str">
        <f t="shared" si="331"/>
        <v/>
      </c>
      <c r="AI279" s="186" t="str">
        <f t="shared" si="332"/>
        <v/>
      </c>
      <c r="AJ279" s="185" t="str">
        <f t="shared" si="373"/>
        <v/>
      </c>
      <c r="AK279" s="187" t="str">
        <f t="shared" si="334"/>
        <v/>
      </c>
      <c r="AL279" s="603"/>
      <c r="AM279" s="189"/>
      <c r="AN279" s="194"/>
      <c r="AO279" s="190"/>
      <c r="AP279" s="190"/>
      <c r="AQ279" s="191"/>
      <c r="AR279" s="194"/>
    </row>
    <row r="280" spans="1:44" s="605" customFormat="1" ht="69" hidden="1" customHeight="1" x14ac:dyDescent="0.25">
      <c r="A280" s="252"/>
      <c r="B280" s="265"/>
      <c r="C280" s="267"/>
      <c r="D280" s="267"/>
      <c r="E280" s="505"/>
      <c r="F280" s="506"/>
      <c r="G280" s="506"/>
      <c r="H280" s="507"/>
      <c r="I280" s="250"/>
      <c r="J280" s="250"/>
      <c r="K280" s="250"/>
      <c r="L280" s="250"/>
      <c r="M280" s="616"/>
      <c r="N280" s="239"/>
      <c r="O280" s="256"/>
      <c r="P280" s="610"/>
      <c r="Q280" s="611"/>
      <c r="R280" s="611"/>
      <c r="S280" s="611">
        <f ca="1">IF(NOT(ISERROR(MATCH(R280,_xlfn.ANCHORARRAY(H291),0))),Q293&amp;"Por favor no seleccionar los criterios de impacto",R280)</f>
        <v>0</v>
      </c>
      <c r="T280" s="610"/>
      <c r="U280" s="611"/>
      <c r="V280" s="252"/>
      <c r="W280" s="194">
        <v>6</v>
      </c>
      <c r="X280" s="192"/>
      <c r="Y280" s="194" t="str">
        <f t="shared" si="328"/>
        <v/>
      </c>
      <c r="Z280" s="188"/>
      <c r="AA280" s="188"/>
      <c r="AB280" s="185" t="str">
        <f t="shared" si="337"/>
        <v/>
      </c>
      <c r="AC280" s="188"/>
      <c r="AD280" s="188"/>
      <c r="AE280" s="188"/>
      <c r="AF280" s="602" t="str">
        <f t="shared" si="371"/>
        <v/>
      </c>
      <c r="AG280" s="186" t="str">
        <f t="shared" si="330"/>
        <v/>
      </c>
      <c r="AH280" s="185" t="str">
        <f t="shared" si="331"/>
        <v/>
      </c>
      <c r="AI280" s="186" t="str">
        <f t="shared" si="332"/>
        <v/>
      </c>
      <c r="AJ280" s="185" t="str">
        <f t="shared" si="373"/>
        <v/>
      </c>
      <c r="AK280" s="187" t="str">
        <f t="shared" si="334"/>
        <v/>
      </c>
      <c r="AL280" s="603"/>
      <c r="AM280" s="189"/>
      <c r="AN280" s="194"/>
      <c r="AO280" s="190"/>
      <c r="AP280" s="190"/>
      <c r="AQ280" s="191"/>
      <c r="AR280" s="194"/>
    </row>
    <row r="281" spans="1:44" s="605" customFormat="1" ht="120.75" customHeight="1" x14ac:dyDescent="0.25">
      <c r="A281" s="252">
        <v>45</v>
      </c>
      <c r="B281" s="268" t="s">
        <v>811</v>
      </c>
      <c r="C281" s="263" t="s">
        <v>277</v>
      </c>
      <c r="D281" s="263" t="s">
        <v>807</v>
      </c>
      <c r="E281" s="505" t="s">
        <v>241</v>
      </c>
      <c r="F281" s="506" t="s">
        <v>812</v>
      </c>
      <c r="G281" s="506" t="s">
        <v>813</v>
      </c>
      <c r="H281" s="507" t="s">
        <v>814</v>
      </c>
      <c r="I281" s="248" t="s">
        <v>480</v>
      </c>
      <c r="J281" s="248" t="s">
        <v>480</v>
      </c>
      <c r="K281" s="248" t="s">
        <v>480</v>
      </c>
      <c r="L281" s="248" t="s">
        <v>480</v>
      </c>
      <c r="M281" s="253" t="s">
        <v>242</v>
      </c>
      <c r="N281" s="238"/>
      <c r="O281" s="256">
        <v>1</v>
      </c>
      <c r="P281" s="610" t="str">
        <f t="shared" si="324"/>
        <v>Muy Baja</v>
      </c>
      <c r="Q281" s="611">
        <f t="shared" si="325"/>
        <v>0.2</v>
      </c>
      <c r="R281" s="611" t="s">
        <v>190</v>
      </c>
      <c r="S281" s="611" t="str">
        <f ca="1">IF(NOT(ISERROR(MATCH(R281,'Tabla Impacto'!$B$221:$B$223,0))),'Tabla Impacto'!$F$223&amp;"Por favor no seleccionar los criterios de impacto(Afectación Económica o presupuestal y Pérdida Reputacional)",R281)</f>
        <v>El riesgo afecta la imagen de la entidad internamente, de conocimiento general, nivel interno, de junta dircetiva y accionistas y/o de provedores</v>
      </c>
      <c r="T281" s="610" t="str">
        <f ca="1">+IF(OR(S281='[1]Tabla Impacto'!$C$11,S281='[1]Tabla Impacto'!$D$11),"Leve",IF(OR(S281='[1]Tabla Impacto'!$C$12,S281='[1]Tabla Impacto'!$D$12),"Menor",IF(OR(S281='[1]Tabla Impacto'!$C$13,S281='[1]Tabla Impacto'!$D$13),"Moderado",IF(OR(S281='[1]Tabla Impacto'!$C$14,S281='[1]Tabla Impacto'!$D$14),"Mayor",IF(OR(S281='[1]Tabla Impacto'!$C$15,S281='[1]Tabla Impacto'!$D$15),"Catastrófico","")))))</f>
        <v>Menor</v>
      </c>
      <c r="U281" s="611">
        <f t="shared" ref="U281" ca="1" si="374">IF(T281="","",IF(T281="Leve",0.2,IF(T281="Menor",0.4,IF(T281="Moderado",0.6,IF(T281="Mayor",0.8,IF(T281="Catastrófico",1,))))))</f>
        <v>0.4</v>
      </c>
      <c r="V281" s="252" t="str">
        <f t="shared" ref="V281" ca="1" si="375">IF(OR(AND(P281="Muy Baja",T281="Leve"),AND(P281="Muy Baja",T281="Menor"),AND(P281="Baja",T281="Leve")),"Bajo",IF(OR(AND(P281="Muy baja",T281="Moderado"),AND(P281="Baja",T281="Menor"),AND(P281="Baja",T281="Moderado"),AND(P281="Media",T281="Leve"),AND(P281="Media",T281="Menor"),AND(P281="Media",T281="Moderado"),AND(P281="Alta",T281="Leve"),AND(P281="Alta",T281="Menor")),"Moderado",IF(OR(AND(P281="Muy Baja",T281="Mayor"),AND(P281="Baja",T281="Mayor"),AND(P281="Media",T281="Mayor"),AND(P281="Alta",T281="Moderado"),AND(P281="Alta",T281="Mayor"),AND(P281="Muy Alta",T281="Leve"),AND(P281="Muy Alta",T281="Menor"),AND(P281="Muy Alta",T281="Moderado"),AND(P281="Muy Alta",T281="Mayor")),"Alto",IF(OR(AND(P281="Muy Baja",T281="Catastrófico"),AND(P281="Baja",T281="Catastrófico"),AND(P281="Media",T281="Catastrófico"),AND(P281="Alta",T281="Catastrófico"),AND(P281="Muy Alta",T281="Catastrófico")),"Extremo",""))))</f>
        <v>Bajo</v>
      </c>
      <c r="W281" s="194">
        <v>1</v>
      </c>
      <c r="X281" s="192" t="s">
        <v>815</v>
      </c>
      <c r="Y281" s="194" t="str">
        <f t="shared" si="328"/>
        <v>Probabilidad</v>
      </c>
      <c r="Z281" s="188" t="s">
        <v>211</v>
      </c>
      <c r="AA281" s="188" t="s">
        <v>219</v>
      </c>
      <c r="AB281" s="185" t="str">
        <f>IF(AND(Z281="Preventivo",AA281="Automático"),"50%",IF(AND(Z281="Preventivo",AA281="Manual"),"40%",IF(AND(Z281="Detectivo",AA281="Automático"),"40%",IF(AND(Z281="Detectivo",AA281="Manual"),"30%",IF(AND(Z281="Correctivo",AA281="Automático"),"35%",IF(AND(Z281="Correctivo",AA281="Manual"),"25%",""))))))</f>
        <v>40%</v>
      </c>
      <c r="AC281" s="188" t="s">
        <v>222</v>
      </c>
      <c r="AD281" s="188" t="s">
        <v>227</v>
      </c>
      <c r="AE281" s="188" t="s">
        <v>231</v>
      </c>
      <c r="AF281" s="602">
        <f t="shared" ref="AF281" si="376">IFERROR(IF(Y281="Probabilidad",(Q281-(+Q281*AB281)),IF(Y281="Impacto",Q281,"")),"")</f>
        <v>0.12</v>
      </c>
      <c r="AG281" s="186" t="str">
        <f t="shared" si="330"/>
        <v>Muy Baja</v>
      </c>
      <c r="AH281" s="185">
        <f t="shared" si="331"/>
        <v>0.12</v>
      </c>
      <c r="AI281" s="186" t="str">
        <f t="shared" ca="1" si="332"/>
        <v>Menor</v>
      </c>
      <c r="AJ281" s="185">
        <f t="shared" ref="AJ281" ca="1" si="377">IFERROR(IF(Y281="Impacto",(U281-(+U281*AB281)),IF(Y281="Probabilidad",U281,"")),"")</f>
        <v>0.4</v>
      </c>
      <c r="AK281" s="187" t="str">
        <f t="shared" ca="1" si="334"/>
        <v>Bajo</v>
      </c>
      <c r="AL281" s="603" t="s">
        <v>258</v>
      </c>
      <c r="AM281" s="189"/>
      <c r="AN281" s="194"/>
      <c r="AO281" s="190"/>
      <c r="AP281" s="190"/>
      <c r="AQ281" s="191"/>
      <c r="AR281" s="194"/>
    </row>
    <row r="282" spans="1:44" s="605" customFormat="1" ht="69" hidden="1" customHeight="1" x14ac:dyDescent="0.25">
      <c r="A282" s="252"/>
      <c r="B282" s="264"/>
      <c r="C282" s="266"/>
      <c r="D282" s="266"/>
      <c r="E282" s="505"/>
      <c r="F282" s="506"/>
      <c r="G282" s="506"/>
      <c r="H282" s="507"/>
      <c r="I282" s="249"/>
      <c r="J282" s="249"/>
      <c r="K282" s="249"/>
      <c r="L282" s="249"/>
      <c r="M282" s="253"/>
      <c r="N282" s="251"/>
      <c r="O282" s="256"/>
      <c r="P282" s="610"/>
      <c r="Q282" s="611"/>
      <c r="R282" s="611"/>
      <c r="S282" s="611">
        <f ca="1">IF(NOT(ISERROR(MATCH(R282,_xlfn.ANCHORARRAY(H293),0))),Q295&amp;"Por favor no seleccionar los criterios de impacto",R282)</f>
        <v>0</v>
      </c>
      <c r="T282" s="610"/>
      <c r="U282" s="611"/>
      <c r="V282" s="252"/>
      <c r="W282" s="194">
        <v>2</v>
      </c>
      <c r="X282" s="192"/>
      <c r="Y282" s="194" t="str">
        <f t="shared" si="328"/>
        <v/>
      </c>
      <c r="Z282" s="188"/>
      <c r="AA282" s="188"/>
      <c r="AB282" s="185" t="str">
        <f t="shared" si="337"/>
        <v/>
      </c>
      <c r="AC282" s="188"/>
      <c r="AD282" s="188"/>
      <c r="AE282" s="188"/>
      <c r="AF282" s="602" t="str">
        <f t="shared" ref="AF282:AF286" si="378">IFERROR(IF(AND(Y281="Probabilidad",Y282="Probabilidad"),(AH281-(+AH281*AB282)),IF(Y282="Probabilidad",(Q281-(+Q281*AB282)),IF(Y282="Impacto",AH281,""))),"")</f>
        <v/>
      </c>
      <c r="AG282" s="186" t="str">
        <f t="shared" si="330"/>
        <v/>
      </c>
      <c r="AH282" s="185" t="str">
        <f t="shared" si="331"/>
        <v/>
      </c>
      <c r="AI282" s="186" t="str">
        <f t="shared" si="332"/>
        <v/>
      </c>
      <c r="AJ282" s="185" t="str">
        <f t="shared" ref="AJ282" si="379">IFERROR(IF(AND(Y281="Impacto",Y282="Impacto"),(AJ281-(+AJ281*AB282)),IF(Y282="Impacto",(U281-(+U281*AB282)),IF(Y282="Probabilidad",AJ281,""))),"")</f>
        <v/>
      </c>
      <c r="AK282" s="187" t="str">
        <f t="shared" si="334"/>
        <v/>
      </c>
      <c r="AL282" s="603"/>
      <c r="AM282" s="189"/>
      <c r="AN282" s="194"/>
      <c r="AO282" s="190"/>
      <c r="AP282" s="190"/>
      <c r="AQ282" s="191"/>
      <c r="AR282" s="194"/>
    </row>
    <row r="283" spans="1:44" s="605" customFormat="1" ht="69" hidden="1" customHeight="1" x14ac:dyDescent="0.25">
      <c r="A283" s="252"/>
      <c r="B283" s="264"/>
      <c r="C283" s="266"/>
      <c r="D283" s="266"/>
      <c r="E283" s="505"/>
      <c r="F283" s="506"/>
      <c r="G283" s="506"/>
      <c r="H283" s="507"/>
      <c r="I283" s="249"/>
      <c r="J283" s="249"/>
      <c r="K283" s="249"/>
      <c r="L283" s="249"/>
      <c r="M283" s="253"/>
      <c r="N283" s="251"/>
      <c r="O283" s="256"/>
      <c r="P283" s="610"/>
      <c r="Q283" s="611"/>
      <c r="R283" s="611"/>
      <c r="S283" s="611">
        <f ca="1">IF(NOT(ISERROR(MATCH(R283,_xlfn.ANCHORARRAY(H294),0))),Q296&amp;"Por favor no seleccionar los criterios de impacto",R283)</f>
        <v>0</v>
      </c>
      <c r="T283" s="610"/>
      <c r="U283" s="611"/>
      <c r="V283" s="252"/>
      <c r="W283" s="194">
        <v>3</v>
      </c>
      <c r="X283" s="192"/>
      <c r="Y283" s="194" t="str">
        <f t="shared" si="328"/>
        <v/>
      </c>
      <c r="Z283" s="188"/>
      <c r="AA283" s="188"/>
      <c r="AB283" s="185" t="str">
        <f t="shared" si="337"/>
        <v/>
      </c>
      <c r="AC283" s="188"/>
      <c r="AD283" s="188"/>
      <c r="AE283" s="188"/>
      <c r="AF283" s="602" t="str">
        <f t="shared" si="378"/>
        <v/>
      </c>
      <c r="AG283" s="186" t="str">
        <f t="shared" si="330"/>
        <v/>
      </c>
      <c r="AH283" s="185" t="str">
        <f t="shared" si="331"/>
        <v/>
      </c>
      <c r="AI283" s="186" t="str">
        <f t="shared" si="332"/>
        <v/>
      </c>
      <c r="AJ283" s="185" t="str">
        <f t="shared" ref="AJ283:AJ286" si="380">IFERROR(IF(AND(Y282="Impacto",Y283="Impacto"),(AJ282-(+AJ282*AB283)),IF(AND(Y282="Probabilidad",Y283="Impacto"),(AJ281-(+AJ281*AB283)),IF(Y283="Probabilidad",AJ282,""))),"")</f>
        <v/>
      </c>
      <c r="AK283" s="187" t="str">
        <f t="shared" si="334"/>
        <v/>
      </c>
      <c r="AL283" s="603"/>
      <c r="AM283" s="189"/>
      <c r="AN283" s="194"/>
      <c r="AO283" s="190"/>
      <c r="AP283" s="190"/>
      <c r="AQ283" s="191"/>
      <c r="AR283" s="194"/>
    </row>
    <row r="284" spans="1:44" s="605" customFormat="1" ht="69" hidden="1" customHeight="1" x14ac:dyDescent="0.25">
      <c r="A284" s="252"/>
      <c r="B284" s="264"/>
      <c r="C284" s="266"/>
      <c r="D284" s="266"/>
      <c r="E284" s="505"/>
      <c r="F284" s="506"/>
      <c r="G284" s="506"/>
      <c r="H284" s="507"/>
      <c r="I284" s="249"/>
      <c r="J284" s="249"/>
      <c r="K284" s="249"/>
      <c r="L284" s="249"/>
      <c r="M284" s="253"/>
      <c r="N284" s="251"/>
      <c r="O284" s="256"/>
      <c r="P284" s="610"/>
      <c r="Q284" s="611"/>
      <c r="R284" s="611"/>
      <c r="S284" s="611">
        <f ca="1">IF(NOT(ISERROR(MATCH(R284,_xlfn.ANCHORARRAY(H295),0))),Q297&amp;"Por favor no seleccionar los criterios de impacto",R284)</f>
        <v>0</v>
      </c>
      <c r="T284" s="610"/>
      <c r="U284" s="611"/>
      <c r="V284" s="252"/>
      <c r="W284" s="194">
        <v>4</v>
      </c>
      <c r="X284" s="192"/>
      <c r="Y284" s="194" t="str">
        <f t="shared" si="328"/>
        <v/>
      </c>
      <c r="Z284" s="188"/>
      <c r="AA284" s="188"/>
      <c r="AB284" s="185" t="str">
        <f t="shared" si="337"/>
        <v/>
      </c>
      <c r="AC284" s="188"/>
      <c r="AD284" s="188"/>
      <c r="AE284" s="188"/>
      <c r="AF284" s="602" t="str">
        <f t="shared" si="378"/>
        <v/>
      </c>
      <c r="AG284" s="186" t="str">
        <f t="shared" si="330"/>
        <v/>
      </c>
      <c r="AH284" s="185" t="str">
        <f t="shared" si="331"/>
        <v/>
      </c>
      <c r="AI284" s="186" t="str">
        <f t="shared" si="332"/>
        <v/>
      </c>
      <c r="AJ284" s="185" t="str">
        <f t="shared" si="380"/>
        <v/>
      </c>
      <c r="AK284" s="187" t="str">
        <f t="shared" si="334"/>
        <v/>
      </c>
      <c r="AL284" s="603"/>
      <c r="AM284" s="189"/>
      <c r="AN284" s="194"/>
      <c r="AO284" s="190"/>
      <c r="AP284" s="190"/>
      <c r="AQ284" s="191"/>
      <c r="AR284" s="194"/>
    </row>
    <row r="285" spans="1:44" s="605" customFormat="1" ht="69" hidden="1" customHeight="1" x14ac:dyDescent="0.25">
      <c r="A285" s="252"/>
      <c r="B285" s="264"/>
      <c r="C285" s="266"/>
      <c r="D285" s="266"/>
      <c r="E285" s="505"/>
      <c r="F285" s="506"/>
      <c r="G285" s="506"/>
      <c r="H285" s="507"/>
      <c r="I285" s="249"/>
      <c r="J285" s="249"/>
      <c r="K285" s="249"/>
      <c r="L285" s="249"/>
      <c r="M285" s="253"/>
      <c r="N285" s="251"/>
      <c r="O285" s="256"/>
      <c r="P285" s="610"/>
      <c r="Q285" s="611"/>
      <c r="R285" s="611"/>
      <c r="S285" s="611">
        <f ca="1">IF(NOT(ISERROR(MATCH(R285,_xlfn.ANCHORARRAY(H296),0))),Q298&amp;"Por favor no seleccionar los criterios de impacto",R285)</f>
        <v>0</v>
      </c>
      <c r="T285" s="610"/>
      <c r="U285" s="611"/>
      <c r="V285" s="252"/>
      <c r="W285" s="194">
        <v>5</v>
      </c>
      <c r="X285" s="192"/>
      <c r="Y285" s="194" t="str">
        <f t="shared" si="328"/>
        <v/>
      </c>
      <c r="Z285" s="188"/>
      <c r="AA285" s="188"/>
      <c r="AB285" s="185" t="str">
        <f t="shared" si="337"/>
        <v/>
      </c>
      <c r="AC285" s="188"/>
      <c r="AD285" s="188"/>
      <c r="AE285" s="188"/>
      <c r="AF285" s="602" t="str">
        <f t="shared" si="378"/>
        <v/>
      </c>
      <c r="AG285" s="186" t="str">
        <f t="shared" si="330"/>
        <v/>
      </c>
      <c r="AH285" s="185" t="str">
        <f t="shared" si="331"/>
        <v/>
      </c>
      <c r="AI285" s="186" t="str">
        <f t="shared" si="332"/>
        <v/>
      </c>
      <c r="AJ285" s="185" t="str">
        <f t="shared" si="380"/>
        <v/>
      </c>
      <c r="AK285" s="187" t="str">
        <f t="shared" si="334"/>
        <v/>
      </c>
      <c r="AL285" s="603"/>
      <c r="AM285" s="189"/>
      <c r="AN285" s="194"/>
      <c r="AO285" s="190"/>
      <c r="AP285" s="190"/>
      <c r="AQ285" s="191"/>
      <c r="AR285" s="194"/>
    </row>
    <row r="286" spans="1:44" s="605" customFormat="1" ht="69" hidden="1" customHeight="1" x14ac:dyDescent="0.25">
      <c r="A286" s="252"/>
      <c r="B286" s="265"/>
      <c r="C286" s="267"/>
      <c r="D286" s="267"/>
      <c r="E286" s="505"/>
      <c r="F286" s="506"/>
      <c r="G286" s="506"/>
      <c r="H286" s="507"/>
      <c r="I286" s="250"/>
      <c r="J286" s="250"/>
      <c r="K286" s="250"/>
      <c r="L286" s="250"/>
      <c r="M286" s="253"/>
      <c r="N286" s="239"/>
      <c r="O286" s="256"/>
      <c r="P286" s="610"/>
      <c r="Q286" s="611"/>
      <c r="R286" s="611"/>
      <c r="S286" s="611">
        <f ca="1">IF(NOT(ISERROR(MATCH(R286,_xlfn.ANCHORARRAY(H297),0))),Q299&amp;"Por favor no seleccionar los criterios de impacto",R286)</f>
        <v>0</v>
      </c>
      <c r="T286" s="610"/>
      <c r="U286" s="611"/>
      <c r="V286" s="252"/>
      <c r="W286" s="194">
        <v>6</v>
      </c>
      <c r="X286" s="192"/>
      <c r="Y286" s="194" t="str">
        <f t="shared" si="328"/>
        <v/>
      </c>
      <c r="Z286" s="188"/>
      <c r="AA286" s="188"/>
      <c r="AB286" s="185" t="str">
        <f t="shared" si="337"/>
        <v/>
      </c>
      <c r="AC286" s="188"/>
      <c r="AD286" s="188"/>
      <c r="AE286" s="188"/>
      <c r="AF286" s="602" t="str">
        <f t="shared" si="378"/>
        <v/>
      </c>
      <c r="AG286" s="186" t="str">
        <f t="shared" si="330"/>
        <v/>
      </c>
      <c r="AH286" s="185" t="str">
        <f t="shared" si="331"/>
        <v/>
      </c>
      <c r="AI286" s="186" t="str">
        <f t="shared" si="332"/>
        <v/>
      </c>
      <c r="AJ286" s="185" t="str">
        <f t="shared" si="380"/>
        <v/>
      </c>
      <c r="AK286" s="187" t="str">
        <f t="shared" si="334"/>
        <v/>
      </c>
      <c r="AL286" s="603"/>
      <c r="AM286" s="189"/>
      <c r="AN286" s="194"/>
      <c r="AO286" s="190"/>
      <c r="AP286" s="190"/>
      <c r="AQ286" s="191"/>
      <c r="AR286" s="194"/>
    </row>
    <row r="287" spans="1:44" s="605" customFormat="1" ht="172.5" customHeight="1" x14ac:dyDescent="0.25">
      <c r="A287" s="252">
        <v>46</v>
      </c>
      <c r="B287" s="268" t="s">
        <v>816</v>
      </c>
      <c r="C287" s="263" t="s">
        <v>277</v>
      </c>
      <c r="D287" s="263" t="s">
        <v>817</v>
      </c>
      <c r="E287" s="505" t="s">
        <v>243</v>
      </c>
      <c r="F287" s="506" t="s">
        <v>818</v>
      </c>
      <c r="G287" s="506" t="s">
        <v>819</v>
      </c>
      <c r="H287" s="507" t="s">
        <v>820</v>
      </c>
      <c r="I287" s="248" t="s">
        <v>688</v>
      </c>
      <c r="J287" s="248" t="s">
        <v>688</v>
      </c>
      <c r="K287" s="248" t="s">
        <v>688</v>
      </c>
      <c r="L287" s="248" t="s">
        <v>688</v>
      </c>
      <c r="M287" s="253" t="s">
        <v>242</v>
      </c>
      <c r="N287" s="238"/>
      <c r="O287" s="256">
        <v>365</v>
      </c>
      <c r="P287" s="610" t="str">
        <f t="shared" si="324"/>
        <v>Media</v>
      </c>
      <c r="Q287" s="611">
        <f t="shared" si="325"/>
        <v>0.6</v>
      </c>
      <c r="R287" s="611" t="s">
        <v>189</v>
      </c>
      <c r="S287" s="611" t="str">
        <f ca="1">IF(NOT(ISERROR(MATCH(R287,'Tabla Impacto'!$B$221:$B$223,0))),'Tabla Impacto'!$F$223&amp;"Por favor no seleccionar los criterios de impacto(Afectación Económica o presupuestal y Pérdida Reputacional)",R287)</f>
        <v xml:space="preserve">Entre 10 y 50 SMLMV </v>
      </c>
      <c r="T287" s="610" t="str">
        <f ca="1">+IF(OR(S287='[1]Tabla Impacto'!$C$11,S287='[1]Tabla Impacto'!$D$11),"Leve",IF(OR(S287='[1]Tabla Impacto'!$C$12,S287='[1]Tabla Impacto'!$D$12),"Menor",IF(OR(S287='[1]Tabla Impacto'!$C$13,S287='[1]Tabla Impacto'!$D$13),"Moderado",IF(OR(S287='[1]Tabla Impacto'!$C$14,S287='[1]Tabla Impacto'!$D$14),"Mayor",IF(OR(S287='[1]Tabla Impacto'!$C$15,S287='[1]Tabla Impacto'!$D$15),"Catastrófico","")))))</f>
        <v>Menor</v>
      </c>
      <c r="U287" s="611">
        <f t="shared" ref="U287" ca="1" si="381">IF(T287="","",IF(T287="Leve",0.2,IF(T287="Menor",0.4,IF(T287="Moderado",0.6,IF(T287="Mayor",0.8,IF(T287="Catastrófico",1,))))))</f>
        <v>0.4</v>
      </c>
      <c r="V287" s="252" t="str">
        <f t="shared" ref="V287" ca="1" si="382">IF(OR(AND(P287="Muy Baja",T287="Leve"),AND(P287="Muy Baja",T287="Menor"),AND(P287="Baja",T287="Leve")),"Bajo",IF(OR(AND(P287="Muy baja",T287="Moderado"),AND(P287="Baja",T287="Menor"),AND(P287="Baja",T287="Moderado"),AND(P287="Media",T287="Leve"),AND(P287="Media",T287="Menor"),AND(P287="Media",T287="Moderado"),AND(P287="Alta",T287="Leve"),AND(P287="Alta",T287="Menor")),"Moderado",IF(OR(AND(P287="Muy Baja",T287="Mayor"),AND(P287="Baja",T287="Mayor"),AND(P287="Media",T287="Mayor"),AND(P287="Alta",T287="Moderado"),AND(P287="Alta",T287="Mayor"),AND(P287="Muy Alta",T287="Leve"),AND(P287="Muy Alta",T287="Menor"),AND(P287="Muy Alta",T287="Moderado"),AND(P287="Muy Alta",T287="Mayor")),"Alto",IF(OR(AND(P287="Muy Baja",T287="Catastrófico"),AND(P287="Baja",T287="Catastrófico"),AND(P287="Media",T287="Catastrófico"),AND(P287="Alta",T287="Catastrófico"),AND(P287="Muy Alta",T287="Catastrófico")),"Extremo",""))))</f>
        <v>Moderado</v>
      </c>
      <c r="W287" s="194">
        <v>1</v>
      </c>
      <c r="X287" s="192" t="s">
        <v>821</v>
      </c>
      <c r="Y287" s="194" t="str">
        <f t="shared" si="328"/>
        <v>Probabilidad</v>
      </c>
      <c r="Z287" s="188" t="s">
        <v>211</v>
      </c>
      <c r="AA287" s="188" t="s">
        <v>219</v>
      </c>
      <c r="AB287" s="185" t="str">
        <f>IF(AND(Z287="Preventivo",AA287="Automático"),"50%",IF(AND(Z287="Preventivo",AA287="Manual"),"40%",IF(AND(Z287="Detectivo",AA287="Automático"),"40%",IF(AND(Z287="Detectivo",AA287="Manual"),"30%",IF(AND(Z287="Correctivo",AA287="Automático"),"35%",IF(AND(Z287="Correctivo",AA287="Manual"),"25%",""))))))</f>
        <v>40%</v>
      </c>
      <c r="AC287" s="188" t="s">
        <v>222</v>
      </c>
      <c r="AD287" s="188" t="s">
        <v>227</v>
      </c>
      <c r="AE287" s="188" t="s">
        <v>231</v>
      </c>
      <c r="AF287" s="602">
        <f t="shared" ref="AF287" si="383">IFERROR(IF(Y287="Probabilidad",(Q287-(+Q287*AB287)),IF(Y287="Impacto",Q287,"")),"")</f>
        <v>0.36</v>
      </c>
      <c r="AG287" s="186" t="str">
        <f t="shared" si="330"/>
        <v>Baja</v>
      </c>
      <c r="AH287" s="185">
        <f t="shared" si="331"/>
        <v>0.36</v>
      </c>
      <c r="AI287" s="186" t="str">
        <f t="shared" ca="1" si="332"/>
        <v>Menor</v>
      </c>
      <c r="AJ287" s="185">
        <f t="shared" ref="AJ287" ca="1" si="384">IFERROR(IF(Y287="Impacto",(U287-(+U287*AB287)),IF(Y287="Probabilidad",U287,"")),"")</f>
        <v>0.4</v>
      </c>
      <c r="AK287" s="187" t="str">
        <f t="shared" ca="1" si="334"/>
        <v>Moderado</v>
      </c>
      <c r="AL287" s="603" t="s">
        <v>258</v>
      </c>
      <c r="AM287" s="189"/>
      <c r="AN287" s="194"/>
      <c r="AO287" s="190"/>
      <c r="AP287" s="190"/>
      <c r="AQ287" s="191"/>
      <c r="AR287" s="194"/>
    </row>
    <row r="288" spans="1:44" s="605" customFormat="1" ht="133.5" customHeight="1" x14ac:dyDescent="0.25">
      <c r="A288" s="252"/>
      <c r="B288" s="264"/>
      <c r="C288" s="266"/>
      <c r="D288" s="266"/>
      <c r="E288" s="505"/>
      <c r="F288" s="506"/>
      <c r="G288" s="506"/>
      <c r="H288" s="507"/>
      <c r="I288" s="249"/>
      <c r="J288" s="249"/>
      <c r="K288" s="249"/>
      <c r="L288" s="249"/>
      <c r="M288" s="253"/>
      <c r="N288" s="251"/>
      <c r="O288" s="256"/>
      <c r="P288" s="610"/>
      <c r="Q288" s="611"/>
      <c r="R288" s="611"/>
      <c r="S288" s="611">
        <f ca="1">IF(NOT(ISERROR(MATCH(R288,_xlfn.ANCHORARRAY(H299),0))),Q301&amp;"Por favor no seleccionar los criterios de impacto",R288)</f>
        <v>0</v>
      </c>
      <c r="T288" s="610"/>
      <c r="U288" s="611"/>
      <c r="V288" s="252"/>
      <c r="W288" s="194">
        <v>2</v>
      </c>
      <c r="X288" s="192" t="s">
        <v>822</v>
      </c>
      <c r="Y288" s="194" t="str">
        <f t="shared" si="328"/>
        <v>Probabilidad</v>
      </c>
      <c r="Z288" s="188" t="s">
        <v>211</v>
      </c>
      <c r="AA288" s="188" t="s">
        <v>219</v>
      </c>
      <c r="AB288" s="185" t="str">
        <f t="shared" ref="AB288:AB289" si="385">IF(AND(Z288="Preventivo",AA288="Automático"),"50%",IF(AND(Z288="Preventivo",AA288="Manual"),"40%",IF(AND(Z288="Detectivo",AA288="Automático"),"40%",IF(AND(Z288="Detectivo",AA288="Manual"),"30%",IF(AND(Z288="Correctivo",AA288="Automático"),"35%",IF(AND(Z288="Correctivo",AA288="Manual"),"25%",""))))))</f>
        <v>40%</v>
      </c>
      <c r="AC288" s="188" t="s">
        <v>222</v>
      </c>
      <c r="AD288" s="188" t="s">
        <v>227</v>
      </c>
      <c r="AE288" s="188" t="s">
        <v>231</v>
      </c>
      <c r="AF288" s="602">
        <f t="shared" ref="AF288:AF292" si="386">IFERROR(IF(AND(Y287="Probabilidad",Y288="Probabilidad"),(AH287-(+AH287*AB288)),IF(Y288="Probabilidad",(Q287-(+Q287*AB288)),IF(Y288="Impacto",AH287,""))),"")</f>
        <v>0.216</v>
      </c>
      <c r="AG288" s="186" t="str">
        <f t="shared" si="330"/>
        <v>Baja</v>
      </c>
      <c r="AH288" s="185">
        <f t="shared" si="331"/>
        <v>0.216</v>
      </c>
      <c r="AI288" s="186" t="str">
        <f t="shared" ca="1" si="332"/>
        <v>Menor</v>
      </c>
      <c r="AJ288" s="185">
        <f t="shared" ref="AJ288" ca="1" si="387">IFERROR(IF(AND(Y287="Impacto",Y288="Impacto"),(AJ287-(+AJ287*AB288)),IF(Y288="Impacto",(U287-(+U287*AB288)),IF(Y288="Probabilidad",AJ287,""))),"")</f>
        <v>0.4</v>
      </c>
      <c r="AK288" s="187" t="str">
        <f t="shared" ca="1" si="334"/>
        <v>Moderado</v>
      </c>
      <c r="AL288" s="603" t="s">
        <v>258</v>
      </c>
      <c r="AM288" s="189"/>
      <c r="AN288" s="194"/>
      <c r="AO288" s="190"/>
      <c r="AP288" s="190"/>
      <c r="AQ288" s="191"/>
      <c r="AR288" s="194"/>
    </row>
    <row r="289" spans="1:44" s="605" customFormat="1" ht="107.25" customHeight="1" x14ac:dyDescent="0.25">
      <c r="A289" s="252"/>
      <c r="B289" s="264"/>
      <c r="C289" s="266"/>
      <c r="D289" s="266"/>
      <c r="E289" s="505"/>
      <c r="F289" s="506"/>
      <c r="G289" s="506"/>
      <c r="H289" s="507"/>
      <c r="I289" s="249"/>
      <c r="J289" s="249"/>
      <c r="K289" s="249"/>
      <c r="L289" s="249"/>
      <c r="M289" s="253"/>
      <c r="N289" s="251"/>
      <c r="O289" s="256"/>
      <c r="P289" s="610"/>
      <c r="Q289" s="611"/>
      <c r="R289" s="611"/>
      <c r="S289" s="611">
        <f ca="1">IF(NOT(ISERROR(MATCH(R289,_xlfn.ANCHORARRAY(H300),0))),Q302&amp;"Por favor no seleccionar los criterios de impacto",R289)</f>
        <v>0</v>
      </c>
      <c r="T289" s="610"/>
      <c r="U289" s="611"/>
      <c r="V289" s="252"/>
      <c r="W289" s="194">
        <v>3</v>
      </c>
      <c r="X289" s="192" t="s">
        <v>823</v>
      </c>
      <c r="Y289" s="194" t="str">
        <f t="shared" si="328"/>
        <v>Probabilidad</v>
      </c>
      <c r="Z289" s="188" t="s">
        <v>211</v>
      </c>
      <c r="AA289" s="188" t="s">
        <v>219</v>
      </c>
      <c r="AB289" s="185" t="str">
        <f t="shared" si="385"/>
        <v>40%</v>
      </c>
      <c r="AC289" s="188" t="s">
        <v>222</v>
      </c>
      <c r="AD289" s="188" t="s">
        <v>227</v>
      </c>
      <c r="AE289" s="188" t="s">
        <v>231</v>
      </c>
      <c r="AF289" s="602">
        <f t="shared" si="386"/>
        <v>0.12959999999999999</v>
      </c>
      <c r="AG289" s="186" t="str">
        <f t="shared" si="330"/>
        <v>Muy Baja</v>
      </c>
      <c r="AH289" s="185">
        <f t="shared" si="331"/>
        <v>0.12959999999999999</v>
      </c>
      <c r="AI289" s="186" t="str">
        <f t="shared" ca="1" si="332"/>
        <v>Menor</v>
      </c>
      <c r="AJ289" s="185">
        <f t="shared" ref="AJ289:AJ292" ca="1" si="388">IFERROR(IF(AND(Y288="Impacto",Y289="Impacto"),(AJ288-(+AJ288*AB289)),IF(AND(Y288="Probabilidad",Y289="Impacto"),(AJ287-(+AJ287*AB289)),IF(Y289="Probabilidad",AJ288,""))),"")</f>
        <v>0.4</v>
      </c>
      <c r="AK289" s="187" t="str">
        <f t="shared" ca="1" si="334"/>
        <v>Bajo</v>
      </c>
      <c r="AL289" s="603"/>
      <c r="AM289" s="189"/>
      <c r="AN289" s="194"/>
      <c r="AO289" s="190"/>
      <c r="AP289" s="190"/>
      <c r="AQ289" s="191"/>
      <c r="AR289" s="194"/>
    </row>
    <row r="290" spans="1:44" s="605" customFormat="1" ht="69" hidden="1" customHeight="1" x14ac:dyDescent="0.25">
      <c r="A290" s="252"/>
      <c r="B290" s="264"/>
      <c r="C290" s="266"/>
      <c r="D290" s="266"/>
      <c r="E290" s="505"/>
      <c r="F290" s="506"/>
      <c r="G290" s="506"/>
      <c r="H290" s="507"/>
      <c r="I290" s="249"/>
      <c r="J290" s="249"/>
      <c r="K290" s="249"/>
      <c r="L290" s="249"/>
      <c r="M290" s="253"/>
      <c r="N290" s="251"/>
      <c r="O290" s="256"/>
      <c r="P290" s="610"/>
      <c r="Q290" s="611"/>
      <c r="R290" s="611"/>
      <c r="S290" s="611">
        <f ca="1">IF(NOT(ISERROR(MATCH(R290,_xlfn.ANCHORARRAY(H301),0))),Q303&amp;"Por favor no seleccionar los criterios de impacto",R290)</f>
        <v>0</v>
      </c>
      <c r="T290" s="610"/>
      <c r="U290" s="611"/>
      <c r="V290" s="252"/>
      <c r="W290" s="194">
        <v>4</v>
      </c>
      <c r="X290" s="192"/>
      <c r="Y290" s="194" t="str">
        <f t="shared" si="328"/>
        <v/>
      </c>
      <c r="Z290" s="188"/>
      <c r="AA290" s="188"/>
      <c r="AB290" s="185" t="str">
        <f t="shared" si="337"/>
        <v/>
      </c>
      <c r="AC290" s="188"/>
      <c r="AD290" s="188"/>
      <c r="AE290" s="188"/>
      <c r="AF290" s="602" t="str">
        <f t="shared" si="386"/>
        <v/>
      </c>
      <c r="AG290" s="186" t="str">
        <f t="shared" si="330"/>
        <v/>
      </c>
      <c r="AH290" s="185" t="str">
        <f t="shared" si="331"/>
        <v/>
      </c>
      <c r="AI290" s="186" t="str">
        <f t="shared" si="332"/>
        <v/>
      </c>
      <c r="AJ290" s="185" t="str">
        <f t="shared" si="388"/>
        <v/>
      </c>
      <c r="AK290" s="187" t="str">
        <f t="shared" si="334"/>
        <v/>
      </c>
      <c r="AL290" s="603"/>
      <c r="AM290" s="189"/>
      <c r="AN290" s="194"/>
      <c r="AO290" s="190"/>
      <c r="AP290" s="190"/>
      <c r="AQ290" s="191"/>
      <c r="AR290" s="194"/>
    </row>
    <row r="291" spans="1:44" s="605" customFormat="1" ht="69" hidden="1" customHeight="1" x14ac:dyDescent="0.25">
      <c r="A291" s="252"/>
      <c r="B291" s="264"/>
      <c r="C291" s="266"/>
      <c r="D291" s="266"/>
      <c r="E291" s="505"/>
      <c r="F291" s="506"/>
      <c r="G291" s="506"/>
      <c r="H291" s="507"/>
      <c r="I291" s="249"/>
      <c r="J291" s="249"/>
      <c r="K291" s="249"/>
      <c r="L291" s="249"/>
      <c r="M291" s="253"/>
      <c r="N291" s="251"/>
      <c r="O291" s="256"/>
      <c r="P291" s="610"/>
      <c r="Q291" s="611"/>
      <c r="R291" s="611"/>
      <c r="S291" s="611">
        <f ca="1">IF(NOT(ISERROR(MATCH(R291,_xlfn.ANCHORARRAY(H302),0))),Q304&amp;"Por favor no seleccionar los criterios de impacto",R291)</f>
        <v>0</v>
      </c>
      <c r="T291" s="610"/>
      <c r="U291" s="611"/>
      <c r="V291" s="252"/>
      <c r="W291" s="194">
        <v>5</v>
      </c>
      <c r="X291" s="192"/>
      <c r="Y291" s="194" t="str">
        <f t="shared" si="328"/>
        <v/>
      </c>
      <c r="Z291" s="188"/>
      <c r="AA291" s="188"/>
      <c r="AB291" s="185" t="str">
        <f t="shared" si="337"/>
        <v/>
      </c>
      <c r="AC291" s="188"/>
      <c r="AD291" s="188"/>
      <c r="AE291" s="188"/>
      <c r="AF291" s="602" t="str">
        <f t="shared" si="386"/>
        <v/>
      </c>
      <c r="AG291" s="186" t="str">
        <f t="shared" si="330"/>
        <v/>
      </c>
      <c r="AH291" s="185" t="str">
        <f t="shared" si="331"/>
        <v/>
      </c>
      <c r="AI291" s="186" t="str">
        <f t="shared" si="332"/>
        <v/>
      </c>
      <c r="AJ291" s="185" t="str">
        <f t="shared" si="388"/>
        <v/>
      </c>
      <c r="AK291" s="187" t="str">
        <f t="shared" si="334"/>
        <v/>
      </c>
      <c r="AL291" s="603"/>
      <c r="AM291" s="189"/>
      <c r="AN291" s="194"/>
      <c r="AO291" s="190"/>
      <c r="AP291" s="190"/>
      <c r="AQ291" s="191"/>
      <c r="AR291" s="194"/>
    </row>
    <row r="292" spans="1:44" s="605" customFormat="1" ht="69" hidden="1" customHeight="1" x14ac:dyDescent="0.25">
      <c r="A292" s="252"/>
      <c r="B292" s="265"/>
      <c r="C292" s="267"/>
      <c r="D292" s="267"/>
      <c r="E292" s="505"/>
      <c r="F292" s="506"/>
      <c r="G292" s="506"/>
      <c r="H292" s="507"/>
      <c r="I292" s="250"/>
      <c r="J292" s="250"/>
      <c r="K292" s="250"/>
      <c r="L292" s="250"/>
      <c r="M292" s="253"/>
      <c r="N292" s="239"/>
      <c r="O292" s="256"/>
      <c r="P292" s="610"/>
      <c r="Q292" s="611"/>
      <c r="R292" s="611"/>
      <c r="S292" s="611">
        <f ca="1">IF(NOT(ISERROR(MATCH(R292,_xlfn.ANCHORARRAY(H303),0))),Q305&amp;"Por favor no seleccionar los criterios de impacto",R292)</f>
        <v>0</v>
      </c>
      <c r="T292" s="610"/>
      <c r="U292" s="611"/>
      <c r="V292" s="252"/>
      <c r="W292" s="194">
        <v>6</v>
      </c>
      <c r="X292" s="192"/>
      <c r="Y292" s="194" t="str">
        <f t="shared" si="328"/>
        <v/>
      </c>
      <c r="Z292" s="188"/>
      <c r="AA292" s="188"/>
      <c r="AB292" s="185" t="str">
        <f t="shared" si="337"/>
        <v/>
      </c>
      <c r="AC292" s="188"/>
      <c r="AD292" s="188"/>
      <c r="AE292" s="188"/>
      <c r="AF292" s="602" t="str">
        <f t="shared" si="386"/>
        <v/>
      </c>
      <c r="AG292" s="186" t="str">
        <f t="shared" si="330"/>
        <v/>
      </c>
      <c r="AH292" s="185" t="str">
        <f t="shared" si="331"/>
        <v/>
      </c>
      <c r="AI292" s="186" t="str">
        <f t="shared" si="332"/>
        <v/>
      </c>
      <c r="AJ292" s="185" t="str">
        <f t="shared" si="388"/>
        <v/>
      </c>
      <c r="AK292" s="187" t="str">
        <f t="shared" si="334"/>
        <v/>
      </c>
      <c r="AL292" s="603"/>
      <c r="AM292" s="189"/>
      <c r="AN292" s="194"/>
      <c r="AO292" s="190"/>
      <c r="AP292" s="190"/>
      <c r="AQ292" s="191"/>
      <c r="AR292" s="194"/>
    </row>
    <row r="293" spans="1:44" s="605" customFormat="1" ht="90" x14ac:dyDescent="0.25">
      <c r="A293" s="252">
        <v>47</v>
      </c>
      <c r="B293" s="268" t="s">
        <v>824</v>
      </c>
      <c r="C293" s="263" t="s">
        <v>277</v>
      </c>
      <c r="D293" s="263" t="s">
        <v>825</v>
      </c>
      <c r="E293" s="505" t="s">
        <v>243</v>
      </c>
      <c r="F293" s="506" t="s">
        <v>826</v>
      </c>
      <c r="G293" s="506" t="s">
        <v>827</v>
      </c>
      <c r="H293" s="507" t="s">
        <v>828</v>
      </c>
      <c r="I293" s="248" t="s">
        <v>480</v>
      </c>
      <c r="J293" s="248" t="s">
        <v>480</v>
      </c>
      <c r="K293" s="248" t="s">
        <v>480</v>
      </c>
      <c r="L293" s="248" t="s">
        <v>480</v>
      </c>
      <c r="M293" s="253" t="s">
        <v>242</v>
      </c>
      <c r="N293" s="238"/>
      <c r="O293" s="256">
        <v>160</v>
      </c>
      <c r="P293" s="610" t="str">
        <f>IF(O293&lt;=0,"",IF(O293&lt;=2,"Muy Baja",IF(O293&lt;=24,"Baja",IF(O293&lt;=500,"Media",IF(O293&lt;=5000,"Alta","Muy Alta")))))</f>
        <v>Media</v>
      </c>
      <c r="Q293" s="611">
        <f>IF(P293="","",IF(P293="Muy Baja",0.2,IF(P293="Baja",0.4,IF(P293="Media",0.6,IF(P293="Alta",0.8,IF(P293="Muy Alta",1,))))))</f>
        <v>0.6</v>
      </c>
      <c r="R293" s="611" t="s">
        <v>190</v>
      </c>
      <c r="S293" s="611" t="str">
        <f ca="1">IF(NOT(ISERROR(MATCH(R293,'Tabla Impacto'!$B$221:$B$223,0))),'Tabla Impacto'!$F$223&amp;"Por favor no seleccionar los criterios de impacto(Afectación Económica o presupuestal y Pérdida Reputacional)",R293)</f>
        <v>El riesgo afecta la imagen de la entidad internamente, de conocimiento general, nivel interno, de junta dircetiva y accionistas y/o de provedores</v>
      </c>
      <c r="T293" s="610" t="str">
        <f ca="1">+IF(OR(S293='[1]Tabla Impacto'!$C$11,S293='[1]Tabla Impacto'!$D$11),"Leve",IF(OR(S293='[1]Tabla Impacto'!$C$12,S293='[1]Tabla Impacto'!$D$12),"Menor",IF(OR(S293='[1]Tabla Impacto'!$C$13,S293='[1]Tabla Impacto'!$D$13),"Moderado",IF(OR(S293='[1]Tabla Impacto'!$C$14,S293='[1]Tabla Impacto'!$D$14),"Mayor",IF(OR(S293='[1]Tabla Impacto'!$C$15,S293='[1]Tabla Impacto'!$D$15),"Catastrófico","")))))</f>
        <v>Menor</v>
      </c>
      <c r="U293" s="611">
        <f t="shared" ref="U293" ca="1" si="389">IF(T293="","",IF(T293="Leve",0.2,IF(T293="Menor",0.4,IF(T293="Moderado",0.6,IF(T293="Mayor",0.8,IF(T293="Catastrófico",1,))))))</f>
        <v>0.4</v>
      </c>
      <c r="V293" s="252" t="str">
        <f t="shared" ref="V293" ca="1" si="390">IF(OR(AND(P293="Muy Baja",T293="Leve"),AND(P293="Muy Baja",T293="Menor"),AND(P293="Baja",T293="Leve")),"Bajo",IF(OR(AND(P293="Muy baja",T293="Moderado"),AND(P293="Baja",T293="Menor"),AND(P293="Baja",T293="Moderado"),AND(P293="Media",T293="Leve"),AND(P293="Media",T293="Menor"),AND(P293="Media",T293="Moderado"),AND(P293="Alta",T293="Leve"),AND(P293="Alta",T293="Menor")),"Moderado",IF(OR(AND(P293="Muy Baja",T293="Mayor"),AND(P293="Baja",T293="Mayor"),AND(P293="Media",T293="Mayor"),AND(P293="Alta",T293="Moderado"),AND(P293="Alta",T293="Mayor"),AND(P293="Muy Alta",T293="Leve"),AND(P293="Muy Alta",T293="Menor"),AND(P293="Muy Alta",T293="Moderado"),AND(P293="Muy Alta",T293="Mayor")),"Alto",IF(OR(AND(P293="Muy Baja",T293="Catastrófico"),AND(P293="Baja",T293="Catastrófico"),AND(P293="Media",T293="Catastrófico"),AND(P293="Alta",T293="Catastrófico"),AND(P293="Muy Alta",T293="Catastrófico")),"Extremo",""))))</f>
        <v>Moderado</v>
      </c>
      <c r="W293" s="194">
        <v>1</v>
      </c>
      <c r="X293" s="192" t="s">
        <v>829</v>
      </c>
      <c r="Y293" s="194" t="str">
        <f>IF(OR(Z293="Preventivo",Z293="Detectivo"),"Probabilidad",IF(Z293="Correctivo","Impacto",""))</f>
        <v>Probabilidad</v>
      </c>
      <c r="Z293" s="188" t="s">
        <v>213</v>
      </c>
      <c r="AA293" s="188" t="s">
        <v>219</v>
      </c>
      <c r="AB293" s="185" t="str">
        <f t="shared" si="337"/>
        <v>30%</v>
      </c>
      <c r="AC293" s="188" t="s">
        <v>222</v>
      </c>
      <c r="AD293" s="188" t="s">
        <v>227</v>
      </c>
      <c r="AE293" s="188" t="s">
        <v>231</v>
      </c>
      <c r="AF293" s="602">
        <f>IFERROR(IF(Y293="Probabilidad",(Q293-(+Q293*AB293)),IF(Y293="Impacto",Q293,"")),"")</f>
        <v>0.42</v>
      </c>
      <c r="AG293" s="186" t="str">
        <f>IFERROR(IF(AF293="","",IF(AF293&lt;=0.2,"Muy Baja",IF(AF293&lt;=0.4,"Baja",IF(AF293&lt;=0.6,"Media",IF(AF293&lt;=0.8,"Alta","Muy Alta"))))),"")</f>
        <v>Media</v>
      </c>
      <c r="AH293" s="185">
        <f>+AF293</f>
        <v>0.42</v>
      </c>
      <c r="AI293" s="186" t="str">
        <f ca="1">IFERROR(IF(AJ293="","",IF(AJ293&lt;=0.2,"Leve",IF(AJ293&lt;=0.4,"Menor",IF(AJ293&lt;=0.6,"Moderado",IF(AJ293&lt;=0.8,"Mayor","Catastrófico"))))),"")</f>
        <v>Menor</v>
      </c>
      <c r="AJ293" s="185">
        <f ca="1">IFERROR(IF(Y293="Impacto",(U293-(+U293*AB293)),IF(Y293="Probabilidad",U293,"")),"")</f>
        <v>0.4</v>
      </c>
      <c r="AK293" s="187" t="str">
        <f ca="1">IFERROR(IF(OR(AND(AG293="Muy Baja",AI293="Leve"),AND(AG293="Muy Baja",AI293="Menor"),AND(AG293="Baja",AI293="Leve")),"Bajo",IF(OR(AND(AG293="Muy baja",AI293="Moderado"),AND(AG293="Baja",AI293="Menor"),AND(AG293="Baja",AI293="Moderado"),AND(AG293="Media",AI293="Leve"),AND(AG293="Media",AI293="Menor"),AND(AG293="Media",AI293="Moderado"),AND(AG293="Alta",AI293="Leve"),AND(AG293="Alta",AI293="Menor")),"Moderado",IF(OR(AND(AG293="Muy Baja",AI293="Mayor"),AND(AG293="Baja",AI293="Mayor"),AND(AG293="Media",AI293="Mayor"),AND(AG293="Alta",AI293="Moderado"),AND(AG293="Alta",AI293="Mayor"),AND(AG293="Muy Alta",AI293="Leve"),AND(AG293="Muy Alta",AI293="Menor"),AND(AG293="Muy Alta",AI293="Moderado"),AND(AG293="Muy Alta",AI293="Mayor")),"Alto",IF(OR(AND(AG293="Muy Baja",AI293="Catastrófico"),AND(AG293="Baja",AI293="Catastrófico"),AND(AG293="Media",AI293="Catastrófico"),AND(AG293="Alta",AI293="Catastrófico"),AND(AG293="Muy Alta",AI293="Catastrófico")),"Extremo","")))),"")</f>
        <v>Moderado</v>
      </c>
      <c r="AL293" s="603" t="s">
        <v>258</v>
      </c>
      <c r="AM293" s="189"/>
      <c r="AN293" s="194"/>
      <c r="AO293" s="190"/>
      <c r="AP293" s="190"/>
      <c r="AQ293" s="191"/>
      <c r="AR293" s="194"/>
    </row>
    <row r="294" spans="1:44" s="605" customFormat="1" ht="90" x14ac:dyDescent="0.25">
      <c r="A294" s="252"/>
      <c r="B294" s="264"/>
      <c r="C294" s="266"/>
      <c r="D294" s="266"/>
      <c r="E294" s="505"/>
      <c r="F294" s="506"/>
      <c r="G294" s="506"/>
      <c r="H294" s="507"/>
      <c r="I294" s="249"/>
      <c r="J294" s="249"/>
      <c r="K294" s="249"/>
      <c r="L294" s="249"/>
      <c r="M294" s="253"/>
      <c r="N294" s="251"/>
      <c r="O294" s="256"/>
      <c r="P294" s="610"/>
      <c r="Q294" s="611"/>
      <c r="R294" s="611"/>
      <c r="S294" s="611">
        <f ca="1">IF(NOT(ISERROR(MATCH(R294,_xlfn.ANCHORARRAY(H305),0))),Q307&amp;"Por favor no seleccionar los criterios de impacto",R294)</f>
        <v>0</v>
      </c>
      <c r="T294" s="610"/>
      <c r="U294" s="611"/>
      <c r="V294" s="252"/>
      <c r="W294" s="194">
        <v>2</v>
      </c>
      <c r="X294" s="192" t="s">
        <v>830</v>
      </c>
      <c r="Y294" s="194" t="str">
        <f t="shared" ref="Y294:Y357" si="391">IF(OR(Z294="Preventivo",Z294="Detectivo"),"Probabilidad",IF(Z294="Correctivo","Impacto",""))</f>
        <v>Probabilidad</v>
      </c>
      <c r="Z294" s="188" t="s">
        <v>211</v>
      </c>
      <c r="AA294" s="188" t="s">
        <v>219</v>
      </c>
      <c r="AB294" s="185" t="str">
        <f t="shared" si="337"/>
        <v>40%</v>
      </c>
      <c r="AC294" s="188" t="s">
        <v>222</v>
      </c>
      <c r="AD294" s="188" t="s">
        <v>227</v>
      </c>
      <c r="AE294" s="188" t="s">
        <v>231</v>
      </c>
      <c r="AF294" s="602">
        <f>IFERROR(IF(AND(Y293="Probabilidad",Y294="Probabilidad"),(AH293-(+AH293*AB294)),IF(Y294="Probabilidad",(Q293-(+Q293*AB294)),IF(Y294="Impacto",AH293,""))),"")</f>
        <v>0.252</v>
      </c>
      <c r="AG294" s="186" t="str">
        <f t="shared" ref="AG294:AG357" si="392">IFERROR(IF(AF294="","",IF(AF294&lt;=0.2,"Muy Baja",IF(AF294&lt;=0.4,"Baja",IF(AF294&lt;=0.6,"Media",IF(AF294&lt;=0.8,"Alta","Muy Alta"))))),"")</f>
        <v>Baja</v>
      </c>
      <c r="AH294" s="185">
        <f t="shared" ref="AH294:AH357" si="393">+AF294</f>
        <v>0.252</v>
      </c>
      <c r="AI294" s="186" t="str">
        <f t="shared" ref="AI294:AI357" ca="1" si="394">IFERROR(IF(AJ294="","",IF(AJ294&lt;=0.2,"Leve",IF(AJ294&lt;=0.4,"Menor",IF(AJ294&lt;=0.6,"Moderado",IF(AJ294&lt;=0.8,"Mayor","Catastrófico"))))),"")</f>
        <v>Menor</v>
      </c>
      <c r="AJ294" s="185">
        <f ca="1">IFERROR(IF(AND(Y293="Impacto",Y294="Impacto"),(AJ293-(+AJ293*AB294)),IF(Y294="Impacto",(U293-(+U293*AB294)),IF(Y294="Probabilidad",AJ293,""))),"")</f>
        <v>0.4</v>
      </c>
      <c r="AK294" s="187" t="str">
        <f t="shared" ref="AK294:AK357" ca="1" si="395">IFERROR(IF(OR(AND(AG294="Muy Baja",AI294="Leve"),AND(AG294="Muy Baja",AI294="Menor"),AND(AG294="Baja",AI294="Leve")),"Bajo",IF(OR(AND(AG294="Muy baja",AI294="Moderado"),AND(AG294="Baja",AI294="Menor"),AND(AG294="Baja",AI294="Moderado"),AND(AG294="Media",AI294="Leve"),AND(AG294="Media",AI294="Menor"),AND(AG294="Media",AI294="Moderado"),AND(AG294="Alta",AI294="Leve"),AND(AG294="Alta",AI294="Menor")),"Moderado",IF(OR(AND(AG294="Muy Baja",AI294="Mayor"),AND(AG294="Baja",AI294="Mayor"),AND(AG294="Media",AI294="Mayor"),AND(AG294="Alta",AI294="Moderado"),AND(AG294="Alta",AI294="Mayor"),AND(AG294="Muy Alta",AI294="Leve"),AND(AG294="Muy Alta",AI294="Menor"),AND(AG294="Muy Alta",AI294="Moderado"),AND(AG294="Muy Alta",AI294="Mayor")),"Alto",IF(OR(AND(AG294="Muy Baja",AI294="Catastrófico"),AND(AG294="Baja",AI294="Catastrófico"),AND(AG294="Media",AI294="Catastrófico"),AND(AG294="Alta",AI294="Catastrófico"),AND(AG294="Muy Alta",AI294="Catastrófico")),"Extremo","")))),"")</f>
        <v>Moderado</v>
      </c>
      <c r="AL294" s="603" t="s">
        <v>258</v>
      </c>
      <c r="AM294" s="189"/>
      <c r="AN294" s="194"/>
      <c r="AO294" s="190"/>
      <c r="AP294" s="190"/>
      <c r="AQ294" s="191"/>
      <c r="AR294" s="194"/>
    </row>
    <row r="295" spans="1:44" s="605" customFormat="1" ht="90" x14ac:dyDescent="0.25">
      <c r="A295" s="252"/>
      <c r="B295" s="264"/>
      <c r="C295" s="266"/>
      <c r="D295" s="266"/>
      <c r="E295" s="505"/>
      <c r="F295" s="506"/>
      <c r="G295" s="506"/>
      <c r="H295" s="507"/>
      <c r="I295" s="249"/>
      <c r="J295" s="249"/>
      <c r="K295" s="249"/>
      <c r="L295" s="249"/>
      <c r="M295" s="253"/>
      <c r="N295" s="251"/>
      <c r="O295" s="256"/>
      <c r="P295" s="610"/>
      <c r="Q295" s="611"/>
      <c r="R295" s="611"/>
      <c r="S295" s="611">
        <f ca="1">IF(NOT(ISERROR(MATCH(R295,_xlfn.ANCHORARRAY(H306),0))),Q308&amp;"Por favor no seleccionar los criterios de impacto",R295)</f>
        <v>0</v>
      </c>
      <c r="T295" s="610"/>
      <c r="U295" s="611"/>
      <c r="V295" s="252"/>
      <c r="W295" s="194">
        <v>3</v>
      </c>
      <c r="X295" s="192" t="s">
        <v>831</v>
      </c>
      <c r="Y295" s="194" t="str">
        <f t="shared" si="391"/>
        <v>Probabilidad</v>
      </c>
      <c r="Z295" s="188" t="s">
        <v>211</v>
      </c>
      <c r="AA295" s="188" t="s">
        <v>219</v>
      </c>
      <c r="AB295" s="185" t="str">
        <f t="shared" si="337"/>
        <v>40%</v>
      </c>
      <c r="AC295" s="188" t="s">
        <v>222</v>
      </c>
      <c r="AD295" s="188" t="s">
        <v>227</v>
      </c>
      <c r="AE295" s="188" t="s">
        <v>231</v>
      </c>
      <c r="AF295" s="602">
        <f t="shared" ref="AF295:AF298" si="396">IFERROR(IF(AND(Y294="Probabilidad",Y295="Probabilidad"),(AH294-(+AH294*AB295)),IF(Y295="Probabilidad",(Q294-(+Q294*AB295)),IF(Y295="Impacto",AH294,""))),"")</f>
        <v>0.1512</v>
      </c>
      <c r="AG295" s="186" t="str">
        <f t="shared" si="392"/>
        <v>Muy Baja</v>
      </c>
      <c r="AH295" s="185">
        <f t="shared" si="393"/>
        <v>0.1512</v>
      </c>
      <c r="AI295" s="186" t="str">
        <f t="shared" ca="1" si="394"/>
        <v>Menor</v>
      </c>
      <c r="AJ295" s="185">
        <f ca="1">IFERROR(IF(AND(Y294="Impacto",Y295="Impacto"),(AJ294-(+AJ294*AB295)),IF(AND(Y294="Probabilidad",Y295="Impacto"),(AJ293-(+AJ293*AB295)),IF(Y295="Probabilidad",AJ294,""))),"")</f>
        <v>0.4</v>
      </c>
      <c r="AK295" s="187" t="str">
        <f t="shared" ca="1" si="395"/>
        <v>Bajo</v>
      </c>
      <c r="AL295" s="603" t="s">
        <v>258</v>
      </c>
      <c r="AM295" s="189"/>
      <c r="AN295" s="194"/>
      <c r="AO295" s="190"/>
      <c r="AP295" s="190"/>
      <c r="AQ295" s="191"/>
      <c r="AR295" s="194"/>
    </row>
    <row r="296" spans="1:44" s="605" customFormat="1" ht="90" x14ac:dyDescent="0.25">
      <c r="A296" s="252"/>
      <c r="B296" s="264"/>
      <c r="C296" s="266"/>
      <c r="D296" s="266"/>
      <c r="E296" s="505"/>
      <c r="F296" s="506"/>
      <c r="G296" s="506"/>
      <c r="H296" s="507"/>
      <c r="I296" s="249"/>
      <c r="J296" s="249"/>
      <c r="K296" s="249"/>
      <c r="L296" s="249"/>
      <c r="M296" s="253"/>
      <c r="N296" s="251"/>
      <c r="O296" s="256"/>
      <c r="P296" s="610"/>
      <c r="Q296" s="611"/>
      <c r="R296" s="611"/>
      <c r="S296" s="611">
        <f ca="1">IF(NOT(ISERROR(MATCH(R296,_xlfn.ANCHORARRAY(H307),0))),Q309&amp;"Por favor no seleccionar los criterios de impacto",R296)</f>
        <v>0</v>
      </c>
      <c r="T296" s="610"/>
      <c r="U296" s="611"/>
      <c r="V296" s="252"/>
      <c r="W296" s="194">
        <v>4</v>
      </c>
      <c r="X296" s="192" t="s">
        <v>832</v>
      </c>
      <c r="Y296" s="194" t="str">
        <f t="shared" si="391"/>
        <v>Probabilidad</v>
      </c>
      <c r="Z296" s="188" t="s">
        <v>213</v>
      </c>
      <c r="AA296" s="188" t="s">
        <v>219</v>
      </c>
      <c r="AB296" s="185" t="str">
        <f t="shared" si="337"/>
        <v>30%</v>
      </c>
      <c r="AC296" s="188" t="s">
        <v>222</v>
      </c>
      <c r="AD296" s="188" t="s">
        <v>227</v>
      </c>
      <c r="AE296" s="188" t="s">
        <v>231</v>
      </c>
      <c r="AF296" s="602">
        <f t="shared" si="396"/>
        <v>0.10584</v>
      </c>
      <c r="AG296" s="186" t="str">
        <f t="shared" si="392"/>
        <v>Muy Baja</v>
      </c>
      <c r="AH296" s="185">
        <f t="shared" si="393"/>
        <v>0.10584</v>
      </c>
      <c r="AI296" s="186" t="str">
        <f t="shared" ca="1" si="394"/>
        <v>Menor</v>
      </c>
      <c r="AJ296" s="185">
        <f t="shared" ref="AJ296:AJ298" ca="1" si="397">IFERROR(IF(AND(Y295="Impacto",Y296="Impacto"),(AJ295-(+AJ295*AB296)),IF(AND(Y295="Probabilidad",Y296="Impacto"),(AJ294-(+AJ294*AB296)),IF(Y296="Probabilidad",AJ295,""))),"")</f>
        <v>0.4</v>
      </c>
      <c r="AK296" s="187" t="str">
        <f t="shared" ca="1" si="395"/>
        <v>Bajo</v>
      </c>
      <c r="AL296" s="603" t="s">
        <v>258</v>
      </c>
      <c r="AM296" s="189"/>
      <c r="AN296" s="194"/>
      <c r="AO296" s="190"/>
      <c r="AP296" s="190"/>
      <c r="AQ296" s="191"/>
      <c r="AR296" s="194"/>
    </row>
    <row r="297" spans="1:44" s="605" customFormat="1" ht="69" hidden="1" customHeight="1" x14ac:dyDescent="0.25">
      <c r="A297" s="252"/>
      <c r="B297" s="264"/>
      <c r="C297" s="266"/>
      <c r="D297" s="266"/>
      <c r="E297" s="505"/>
      <c r="F297" s="506"/>
      <c r="G297" s="506"/>
      <c r="H297" s="507"/>
      <c r="I297" s="249"/>
      <c r="J297" s="249"/>
      <c r="K297" s="249"/>
      <c r="L297" s="249"/>
      <c r="M297" s="253"/>
      <c r="N297" s="251"/>
      <c r="O297" s="256"/>
      <c r="P297" s="610"/>
      <c r="Q297" s="611"/>
      <c r="R297" s="611"/>
      <c r="S297" s="611">
        <f ca="1">IF(NOT(ISERROR(MATCH(R297,_xlfn.ANCHORARRAY(H308),0))),Q310&amp;"Por favor no seleccionar los criterios de impacto",R297)</f>
        <v>0</v>
      </c>
      <c r="T297" s="610"/>
      <c r="U297" s="611"/>
      <c r="V297" s="252"/>
      <c r="W297" s="194">
        <v>5</v>
      </c>
      <c r="X297" s="192"/>
      <c r="Y297" s="194" t="str">
        <f t="shared" si="391"/>
        <v/>
      </c>
      <c r="Z297" s="188"/>
      <c r="AA297" s="188"/>
      <c r="AB297" s="185" t="str">
        <f t="shared" ref="AB295:AB358" si="398">IF(AND(Z297="Preventivo",AA297="Automático"),"50%",IF(AND(Z297="Preventivo",AA297="Manual"),"40%",IF(AND(Z297="Detectivo",AA297="Automático"),"40%",IF(AND(Z297="Detectivo",AA297="Manual"),"30%",IF(AND(Z297="Correctivo",AA297="Automático"),"35%",IF(AND(Z297="Correctivo",AA297="Manual"),"25%",""))))))</f>
        <v/>
      </c>
      <c r="AC297" s="188"/>
      <c r="AD297" s="188"/>
      <c r="AE297" s="188"/>
      <c r="AF297" s="602" t="str">
        <f t="shared" si="396"/>
        <v/>
      </c>
      <c r="AG297" s="186" t="str">
        <f t="shared" si="392"/>
        <v/>
      </c>
      <c r="AH297" s="185" t="str">
        <f t="shared" si="393"/>
        <v/>
      </c>
      <c r="AI297" s="186" t="str">
        <f t="shared" si="394"/>
        <v/>
      </c>
      <c r="AJ297" s="185" t="str">
        <f t="shared" si="397"/>
        <v/>
      </c>
      <c r="AK297" s="187" t="str">
        <f t="shared" si="395"/>
        <v/>
      </c>
      <c r="AL297" s="603"/>
      <c r="AM297" s="189"/>
      <c r="AN297" s="194"/>
      <c r="AO297" s="190"/>
      <c r="AP297" s="190"/>
      <c r="AQ297" s="191"/>
      <c r="AR297" s="194"/>
    </row>
    <row r="298" spans="1:44" s="605" customFormat="1" ht="69" hidden="1" customHeight="1" x14ac:dyDescent="0.25">
      <c r="A298" s="252"/>
      <c r="B298" s="265"/>
      <c r="C298" s="267"/>
      <c r="D298" s="267"/>
      <c r="E298" s="505"/>
      <c r="F298" s="506"/>
      <c r="G298" s="506"/>
      <c r="H298" s="507"/>
      <c r="I298" s="250"/>
      <c r="J298" s="250"/>
      <c r="K298" s="250"/>
      <c r="L298" s="250"/>
      <c r="M298" s="253"/>
      <c r="N298" s="239"/>
      <c r="O298" s="256"/>
      <c r="P298" s="610"/>
      <c r="Q298" s="611"/>
      <c r="R298" s="611"/>
      <c r="S298" s="611">
        <f ca="1">IF(NOT(ISERROR(MATCH(R298,_xlfn.ANCHORARRAY(H309),0))),Q311&amp;"Por favor no seleccionar los criterios de impacto",R298)</f>
        <v>0</v>
      </c>
      <c r="T298" s="610"/>
      <c r="U298" s="611"/>
      <c r="V298" s="252"/>
      <c r="W298" s="194">
        <v>6</v>
      </c>
      <c r="X298" s="192"/>
      <c r="Y298" s="194" t="str">
        <f t="shared" si="391"/>
        <v/>
      </c>
      <c r="Z298" s="188"/>
      <c r="AA298" s="188"/>
      <c r="AB298" s="185" t="str">
        <f t="shared" si="398"/>
        <v/>
      </c>
      <c r="AC298" s="188"/>
      <c r="AD298" s="188"/>
      <c r="AE298" s="188"/>
      <c r="AF298" s="602" t="str">
        <f t="shared" si="396"/>
        <v/>
      </c>
      <c r="AG298" s="186" t="str">
        <f t="shared" si="392"/>
        <v/>
      </c>
      <c r="AH298" s="185" t="str">
        <f t="shared" si="393"/>
        <v/>
      </c>
      <c r="AI298" s="186" t="str">
        <f t="shared" si="394"/>
        <v/>
      </c>
      <c r="AJ298" s="185" t="str">
        <f t="shared" si="397"/>
        <v/>
      </c>
      <c r="AK298" s="187" t="str">
        <f t="shared" si="395"/>
        <v/>
      </c>
      <c r="AL298" s="603"/>
      <c r="AM298" s="189"/>
      <c r="AN298" s="194"/>
      <c r="AO298" s="190"/>
      <c r="AP298" s="190"/>
      <c r="AQ298" s="191"/>
      <c r="AR298" s="194"/>
    </row>
    <row r="299" spans="1:44" s="605" customFormat="1" ht="113.25" customHeight="1" x14ac:dyDescent="0.25">
      <c r="A299" s="252">
        <v>48</v>
      </c>
      <c r="B299" s="510" t="s">
        <v>833</v>
      </c>
      <c r="C299" s="263" t="s">
        <v>277</v>
      </c>
      <c r="D299" s="263" t="s">
        <v>834</v>
      </c>
      <c r="E299" s="505" t="s">
        <v>243</v>
      </c>
      <c r="F299" s="506" t="s">
        <v>835</v>
      </c>
      <c r="G299" s="506" t="s">
        <v>836</v>
      </c>
      <c r="H299" s="507" t="s">
        <v>837</v>
      </c>
      <c r="I299" s="248" t="s">
        <v>480</v>
      </c>
      <c r="J299" s="248" t="s">
        <v>480</v>
      </c>
      <c r="K299" s="248" t="s">
        <v>480</v>
      </c>
      <c r="L299" s="248" t="s">
        <v>480</v>
      </c>
      <c r="M299" s="253" t="s">
        <v>242</v>
      </c>
      <c r="N299" s="238"/>
      <c r="O299" s="256">
        <v>12</v>
      </c>
      <c r="P299" s="610" t="str">
        <f>IF(O299&lt;=0,"",IF(O299&lt;=2,"Muy Baja",IF(O299&lt;=24,"Baja",IF(O299&lt;=500,"Media",IF(O299&lt;=5000,"Alta","Muy Alta")))))</f>
        <v>Baja</v>
      </c>
      <c r="Q299" s="611">
        <f>IF(P299="","",IF(P299="Muy Baja",0.2,IF(P299="Baja",0.4,IF(P299="Media",0.6,IF(P299="Alta",0.8,IF(P299="Muy Alta",1,))))))</f>
        <v>0.4</v>
      </c>
      <c r="R299" s="611" t="s">
        <v>196</v>
      </c>
      <c r="S299" s="611" t="str">
        <f ca="1">IF(NOT(ISERROR(MATCH(R299,'Tabla Impacto'!$B$221:$B$223,0))),'Tabla Impacto'!$F$223&amp;"Por favor no seleccionar los criterios de impacto(Afectación Económica o presupuestal y Pérdida Reputacional)",R299)</f>
        <v>El riesgo afecta la imagen de de la entidad con efecto publicitario sostenido a nivel de sector administrativo, nivel departamental o municipal</v>
      </c>
      <c r="T299" s="610" t="str">
        <f ca="1">+IF(OR(S299='[1]Tabla Impacto'!$C$11,S299='[1]Tabla Impacto'!$D$11),"Leve",IF(OR(S299='[1]Tabla Impacto'!$C$12,S299='[1]Tabla Impacto'!$D$12),"Menor",IF(OR(S299='[1]Tabla Impacto'!$C$13,S299='[1]Tabla Impacto'!$D$13),"Moderado",IF(OR(S299='[1]Tabla Impacto'!$C$14,S299='[1]Tabla Impacto'!$D$14),"Mayor",IF(OR(S299='[1]Tabla Impacto'!$C$15,S299='[1]Tabla Impacto'!$D$15),"Catastrófico","")))))</f>
        <v>Mayor</v>
      </c>
      <c r="U299" s="611">
        <f t="shared" ref="U299" ca="1" si="399">IF(T299="","",IF(T299="Leve",0.2,IF(T299="Menor",0.4,IF(T299="Moderado",0.6,IF(T299="Mayor",0.8,IF(T299="Catastrófico",1,))))))</f>
        <v>0.8</v>
      </c>
      <c r="V299" s="252" t="str">
        <f t="shared" ref="V299" ca="1" si="400">IF(OR(AND(P299="Muy Baja",T299="Leve"),AND(P299="Muy Baja",T299="Menor"),AND(P299="Baja",T299="Leve")),"Bajo",IF(OR(AND(P299="Muy baja",T299="Moderado"),AND(P299="Baja",T299="Menor"),AND(P299="Baja",T299="Moderado"),AND(P299="Media",T299="Leve"),AND(P299="Media",T299="Menor"),AND(P299="Media",T299="Moderado"),AND(P299="Alta",T299="Leve"),AND(P299="Alta",T299="Menor")),"Moderado",IF(OR(AND(P299="Muy Baja",T299="Mayor"),AND(P299="Baja",T299="Mayor"),AND(P299="Media",T299="Mayor"),AND(P299="Alta",T299="Moderado"),AND(P299="Alta",T299="Mayor"),AND(P299="Muy Alta",T299="Leve"),AND(P299="Muy Alta",T299="Menor"),AND(P299="Muy Alta",T299="Moderado"),AND(P299="Muy Alta",T299="Mayor")),"Alto",IF(OR(AND(P299="Muy Baja",T299="Catastrófico"),AND(P299="Baja",T299="Catastrófico"),AND(P299="Media",T299="Catastrófico"),AND(P299="Alta",T299="Catastrófico"),AND(P299="Muy Alta",T299="Catastrófico")),"Extremo",""))))</f>
        <v>Alto</v>
      </c>
      <c r="W299" s="194">
        <v>1</v>
      </c>
      <c r="X299" s="192" t="s">
        <v>838</v>
      </c>
      <c r="Y299" s="194" t="str">
        <f t="shared" si="391"/>
        <v>Probabilidad</v>
      </c>
      <c r="Z299" s="188" t="s">
        <v>211</v>
      </c>
      <c r="AA299" s="188" t="s">
        <v>219</v>
      </c>
      <c r="AB299" s="185" t="str">
        <f t="shared" si="398"/>
        <v>40%</v>
      </c>
      <c r="AC299" s="188" t="s">
        <v>222</v>
      </c>
      <c r="AD299" s="188" t="s">
        <v>227</v>
      </c>
      <c r="AE299" s="188" t="s">
        <v>231</v>
      </c>
      <c r="AF299" s="602">
        <f t="shared" ref="AF299" si="401">IFERROR(IF(Y299="Probabilidad",(Q299-(+Q299*AB299)),IF(Y299="Impacto",Q299,"")),"")</f>
        <v>0.24</v>
      </c>
      <c r="AG299" s="186" t="str">
        <f t="shared" si="392"/>
        <v>Baja</v>
      </c>
      <c r="AH299" s="185">
        <f t="shared" si="393"/>
        <v>0.24</v>
      </c>
      <c r="AI299" s="186" t="str">
        <f t="shared" ca="1" si="394"/>
        <v>Mayor</v>
      </c>
      <c r="AJ299" s="185">
        <f t="shared" ref="AJ299" ca="1" si="402">IFERROR(IF(Y299="Impacto",(U299-(+U299*AB299)),IF(Y299="Probabilidad",U299,"")),"")</f>
        <v>0.8</v>
      </c>
      <c r="AK299" s="187" t="str">
        <f t="shared" ca="1" si="395"/>
        <v>Alto</v>
      </c>
      <c r="AL299" s="603"/>
      <c r="AM299" s="513" t="s">
        <v>842</v>
      </c>
      <c r="AN299" s="514" t="s">
        <v>843</v>
      </c>
      <c r="AO299" s="240" t="s">
        <v>844</v>
      </c>
      <c r="AP299" s="240" t="s">
        <v>564</v>
      </c>
      <c r="AQ299" s="238" t="s">
        <v>845</v>
      </c>
      <c r="AR299" s="245" t="s">
        <v>262</v>
      </c>
    </row>
    <row r="300" spans="1:44" s="605" customFormat="1" ht="136.5" customHeight="1" x14ac:dyDescent="0.25">
      <c r="A300" s="252"/>
      <c r="B300" s="511"/>
      <c r="C300" s="266"/>
      <c r="D300" s="266"/>
      <c r="E300" s="505"/>
      <c r="F300" s="506"/>
      <c r="G300" s="506"/>
      <c r="H300" s="507"/>
      <c r="I300" s="249"/>
      <c r="J300" s="249"/>
      <c r="K300" s="249"/>
      <c r="L300" s="249"/>
      <c r="M300" s="253"/>
      <c r="N300" s="251"/>
      <c r="O300" s="256"/>
      <c r="P300" s="610"/>
      <c r="Q300" s="611"/>
      <c r="R300" s="611"/>
      <c r="S300" s="611">
        <f ca="1">IF(NOT(ISERROR(MATCH(R300,_xlfn.ANCHORARRAY(H311),0))),Q313&amp;"Por favor no seleccionar los criterios de impacto",R300)</f>
        <v>0</v>
      </c>
      <c r="T300" s="610"/>
      <c r="U300" s="611"/>
      <c r="V300" s="252"/>
      <c r="W300" s="194">
        <v>2</v>
      </c>
      <c r="X300" s="192" t="s">
        <v>839</v>
      </c>
      <c r="Y300" s="194" t="str">
        <f t="shared" si="391"/>
        <v>Probabilidad</v>
      </c>
      <c r="Z300" s="188" t="s">
        <v>211</v>
      </c>
      <c r="AA300" s="188" t="s">
        <v>219</v>
      </c>
      <c r="AB300" s="185" t="str">
        <f t="shared" si="398"/>
        <v>40%</v>
      </c>
      <c r="AC300" s="188" t="s">
        <v>222</v>
      </c>
      <c r="AD300" s="188" t="s">
        <v>227</v>
      </c>
      <c r="AE300" s="188" t="s">
        <v>231</v>
      </c>
      <c r="AF300" s="602">
        <f t="shared" ref="AF300:AF304" si="403">IFERROR(IF(AND(Y299="Probabilidad",Y300="Probabilidad"),(AH299-(+AH299*AB300)),IF(Y300="Probabilidad",(Q299-(+Q299*AB300)),IF(Y300="Impacto",AH299,""))),"")</f>
        <v>0.14399999999999999</v>
      </c>
      <c r="AG300" s="186" t="str">
        <f t="shared" si="392"/>
        <v>Muy Baja</v>
      </c>
      <c r="AH300" s="185">
        <f t="shared" si="393"/>
        <v>0.14399999999999999</v>
      </c>
      <c r="AI300" s="186" t="str">
        <f t="shared" ca="1" si="394"/>
        <v>Mayor</v>
      </c>
      <c r="AJ300" s="185">
        <f t="shared" ref="AJ300" ca="1" si="404">IFERROR(IF(AND(Y299="Impacto",Y300="Impacto"),(AJ299-(+AJ299*AB300)),IF(Y300="Impacto",(U299-(+U299*AB300)),IF(Y300="Probabilidad",AJ299,""))),"")</f>
        <v>0.8</v>
      </c>
      <c r="AK300" s="187" t="str">
        <f t="shared" ca="1" si="395"/>
        <v>Alto</v>
      </c>
      <c r="AL300" s="603"/>
      <c r="AM300" s="513"/>
      <c r="AN300" s="515"/>
      <c r="AO300" s="279"/>
      <c r="AP300" s="279"/>
      <c r="AQ300" s="251"/>
      <c r="AR300" s="246"/>
    </row>
    <row r="301" spans="1:44" s="605" customFormat="1" ht="101.25" x14ac:dyDescent="0.25">
      <c r="A301" s="252"/>
      <c r="B301" s="511"/>
      <c r="C301" s="266"/>
      <c r="D301" s="266"/>
      <c r="E301" s="505"/>
      <c r="F301" s="506"/>
      <c r="G301" s="506"/>
      <c r="H301" s="507"/>
      <c r="I301" s="249"/>
      <c r="J301" s="249"/>
      <c r="K301" s="249"/>
      <c r="L301" s="249"/>
      <c r="M301" s="253"/>
      <c r="N301" s="251"/>
      <c r="O301" s="256"/>
      <c r="P301" s="610"/>
      <c r="Q301" s="611"/>
      <c r="R301" s="611"/>
      <c r="S301" s="611">
        <f ca="1">IF(NOT(ISERROR(MATCH(R301,_xlfn.ANCHORARRAY(H312),0))),Q314&amp;"Por favor no seleccionar los criterios de impacto",R301)</f>
        <v>0</v>
      </c>
      <c r="T301" s="610"/>
      <c r="U301" s="611"/>
      <c r="V301" s="252"/>
      <c r="W301" s="194">
        <v>3</v>
      </c>
      <c r="X301" s="192" t="s">
        <v>840</v>
      </c>
      <c r="Y301" s="194" t="str">
        <f t="shared" si="391"/>
        <v>Probabilidad</v>
      </c>
      <c r="Z301" s="188" t="s">
        <v>211</v>
      </c>
      <c r="AA301" s="188" t="s">
        <v>219</v>
      </c>
      <c r="AB301" s="185" t="str">
        <f t="shared" si="398"/>
        <v>40%</v>
      </c>
      <c r="AC301" s="188" t="s">
        <v>222</v>
      </c>
      <c r="AD301" s="188" t="s">
        <v>227</v>
      </c>
      <c r="AE301" s="188" t="s">
        <v>231</v>
      </c>
      <c r="AF301" s="602">
        <f t="shared" si="403"/>
        <v>8.6399999999999991E-2</v>
      </c>
      <c r="AG301" s="186" t="str">
        <f t="shared" si="392"/>
        <v>Muy Baja</v>
      </c>
      <c r="AH301" s="185">
        <f t="shared" si="393"/>
        <v>8.6399999999999991E-2</v>
      </c>
      <c r="AI301" s="186" t="str">
        <f t="shared" ca="1" si="394"/>
        <v>Mayor</v>
      </c>
      <c r="AJ301" s="185">
        <f t="shared" ref="AJ301:AJ304" ca="1" si="405">IFERROR(IF(AND(Y300="Impacto",Y301="Impacto"),(AJ300-(+AJ300*AB301)),IF(AND(Y300="Probabilidad",Y301="Impacto"),(AJ299-(+AJ299*AB301)),IF(Y301="Probabilidad",AJ300,""))),"")</f>
        <v>0.8</v>
      </c>
      <c r="AK301" s="187" t="str">
        <f t="shared" ca="1" si="395"/>
        <v>Alto</v>
      </c>
      <c r="AL301" s="603"/>
      <c r="AM301" s="513"/>
      <c r="AN301" s="515"/>
      <c r="AO301" s="279"/>
      <c r="AP301" s="279"/>
      <c r="AQ301" s="251"/>
      <c r="AR301" s="246"/>
    </row>
    <row r="302" spans="1:44" s="605" customFormat="1" ht="101.25" x14ac:dyDescent="0.25">
      <c r="A302" s="252"/>
      <c r="B302" s="511"/>
      <c r="C302" s="266"/>
      <c r="D302" s="266"/>
      <c r="E302" s="505"/>
      <c r="F302" s="506"/>
      <c r="G302" s="506"/>
      <c r="H302" s="507"/>
      <c r="I302" s="249"/>
      <c r="J302" s="249"/>
      <c r="K302" s="249"/>
      <c r="L302" s="249"/>
      <c r="M302" s="253"/>
      <c r="N302" s="251"/>
      <c r="O302" s="256"/>
      <c r="P302" s="610"/>
      <c r="Q302" s="611"/>
      <c r="R302" s="611"/>
      <c r="S302" s="611">
        <f ca="1">IF(NOT(ISERROR(MATCH(R302,_xlfn.ANCHORARRAY(H313),0))),Q315&amp;"Por favor no seleccionar los criterios de impacto",R302)</f>
        <v>0</v>
      </c>
      <c r="T302" s="610"/>
      <c r="U302" s="611"/>
      <c r="V302" s="252"/>
      <c r="W302" s="194">
        <v>4</v>
      </c>
      <c r="X302" s="192" t="s">
        <v>841</v>
      </c>
      <c r="Y302" s="194" t="str">
        <f t="shared" si="391"/>
        <v>Probabilidad</v>
      </c>
      <c r="Z302" s="188" t="s">
        <v>211</v>
      </c>
      <c r="AA302" s="188" t="s">
        <v>219</v>
      </c>
      <c r="AB302" s="185" t="str">
        <f t="shared" si="398"/>
        <v>40%</v>
      </c>
      <c r="AC302" s="188" t="s">
        <v>222</v>
      </c>
      <c r="AD302" s="188" t="s">
        <v>227</v>
      </c>
      <c r="AE302" s="188" t="s">
        <v>231</v>
      </c>
      <c r="AF302" s="602">
        <f t="shared" si="403"/>
        <v>5.183999999999999E-2</v>
      </c>
      <c r="AG302" s="186" t="str">
        <f t="shared" si="392"/>
        <v>Muy Baja</v>
      </c>
      <c r="AH302" s="185">
        <f t="shared" si="393"/>
        <v>5.183999999999999E-2</v>
      </c>
      <c r="AI302" s="186" t="str">
        <f t="shared" ca="1" si="394"/>
        <v>Mayor</v>
      </c>
      <c r="AJ302" s="185">
        <f t="shared" ca="1" si="405"/>
        <v>0.8</v>
      </c>
      <c r="AK302" s="187" t="str">
        <f t="shared" ca="1" si="395"/>
        <v>Alto</v>
      </c>
      <c r="AL302" s="603"/>
      <c r="AM302" s="513"/>
      <c r="AN302" s="516"/>
      <c r="AO302" s="241"/>
      <c r="AP302" s="241"/>
      <c r="AQ302" s="239"/>
      <c r="AR302" s="247"/>
    </row>
    <row r="303" spans="1:44" s="605" customFormat="1" ht="69" hidden="1" customHeight="1" x14ac:dyDescent="0.25">
      <c r="A303" s="252"/>
      <c r="B303" s="511"/>
      <c r="C303" s="266"/>
      <c r="D303" s="266"/>
      <c r="E303" s="505"/>
      <c r="F303" s="506"/>
      <c r="G303" s="506"/>
      <c r="H303" s="507"/>
      <c r="I303" s="249"/>
      <c r="J303" s="249"/>
      <c r="K303" s="249"/>
      <c r="L303" s="249"/>
      <c r="M303" s="253"/>
      <c r="N303" s="251"/>
      <c r="O303" s="256"/>
      <c r="P303" s="610"/>
      <c r="Q303" s="611"/>
      <c r="R303" s="611"/>
      <c r="S303" s="611">
        <f ca="1">IF(NOT(ISERROR(MATCH(R303,_xlfn.ANCHORARRAY(H314),0))),Q316&amp;"Por favor no seleccionar los criterios de impacto",R303)</f>
        <v>0</v>
      </c>
      <c r="T303" s="610"/>
      <c r="U303" s="611"/>
      <c r="V303" s="252"/>
      <c r="W303" s="194">
        <v>5</v>
      </c>
      <c r="X303" s="192"/>
      <c r="Y303" s="194" t="str">
        <f t="shared" si="391"/>
        <v/>
      </c>
      <c r="Z303" s="188"/>
      <c r="AA303" s="188"/>
      <c r="AB303" s="185" t="str">
        <f t="shared" si="398"/>
        <v/>
      </c>
      <c r="AC303" s="188"/>
      <c r="AD303" s="188"/>
      <c r="AE303" s="188"/>
      <c r="AF303" s="602" t="str">
        <f t="shared" si="403"/>
        <v/>
      </c>
      <c r="AG303" s="186" t="str">
        <f t="shared" si="392"/>
        <v/>
      </c>
      <c r="AH303" s="185" t="str">
        <f t="shared" si="393"/>
        <v/>
      </c>
      <c r="AI303" s="186" t="str">
        <f t="shared" si="394"/>
        <v/>
      </c>
      <c r="AJ303" s="185" t="str">
        <f t="shared" si="405"/>
        <v/>
      </c>
      <c r="AK303" s="187" t="str">
        <f t="shared" si="395"/>
        <v/>
      </c>
      <c r="AL303" s="603"/>
      <c r="AM303" s="189"/>
      <c r="AN303" s="194"/>
      <c r="AO303" s="190"/>
      <c r="AP303" s="190"/>
      <c r="AQ303" s="191"/>
      <c r="AR303" s="194"/>
    </row>
    <row r="304" spans="1:44" s="605" customFormat="1" ht="69" hidden="1" customHeight="1" x14ac:dyDescent="0.25">
      <c r="A304" s="252"/>
      <c r="B304" s="512"/>
      <c r="C304" s="267"/>
      <c r="D304" s="267"/>
      <c r="E304" s="505"/>
      <c r="F304" s="506"/>
      <c r="G304" s="506"/>
      <c r="H304" s="507"/>
      <c r="I304" s="250"/>
      <c r="J304" s="250"/>
      <c r="K304" s="250"/>
      <c r="L304" s="250"/>
      <c r="M304" s="253"/>
      <c r="N304" s="239"/>
      <c r="O304" s="256"/>
      <c r="P304" s="610"/>
      <c r="Q304" s="611"/>
      <c r="R304" s="611"/>
      <c r="S304" s="611">
        <f ca="1">IF(NOT(ISERROR(MATCH(R304,_xlfn.ANCHORARRAY(H315),0))),Q317&amp;"Por favor no seleccionar los criterios de impacto",R304)</f>
        <v>0</v>
      </c>
      <c r="T304" s="610"/>
      <c r="U304" s="611"/>
      <c r="V304" s="252"/>
      <c r="W304" s="194">
        <v>6</v>
      </c>
      <c r="X304" s="192"/>
      <c r="Y304" s="194" t="str">
        <f t="shared" si="391"/>
        <v/>
      </c>
      <c r="Z304" s="188"/>
      <c r="AA304" s="188"/>
      <c r="AB304" s="185" t="str">
        <f t="shared" si="398"/>
        <v/>
      </c>
      <c r="AC304" s="188"/>
      <c r="AD304" s="188"/>
      <c r="AE304" s="188"/>
      <c r="AF304" s="602" t="str">
        <f t="shared" si="403"/>
        <v/>
      </c>
      <c r="AG304" s="186" t="str">
        <f t="shared" si="392"/>
        <v/>
      </c>
      <c r="AH304" s="185" t="str">
        <f t="shared" si="393"/>
        <v/>
      </c>
      <c r="AI304" s="186" t="str">
        <f t="shared" si="394"/>
        <v/>
      </c>
      <c r="AJ304" s="185" t="str">
        <f t="shared" si="405"/>
        <v/>
      </c>
      <c r="AK304" s="187" t="str">
        <f t="shared" si="395"/>
        <v/>
      </c>
      <c r="AL304" s="603"/>
      <c r="AM304" s="189"/>
      <c r="AN304" s="194"/>
      <c r="AO304" s="190"/>
      <c r="AP304" s="190"/>
      <c r="AQ304" s="191"/>
      <c r="AR304" s="194"/>
    </row>
    <row r="305" spans="1:44" s="605" customFormat="1" ht="90" x14ac:dyDescent="0.25">
      <c r="A305" s="252">
        <v>49</v>
      </c>
      <c r="B305" s="510" t="s">
        <v>846</v>
      </c>
      <c r="C305" s="263" t="s">
        <v>277</v>
      </c>
      <c r="D305" s="263" t="s">
        <v>834</v>
      </c>
      <c r="E305" s="505" t="s">
        <v>243</v>
      </c>
      <c r="F305" s="506" t="s">
        <v>847</v>
      </c>
      <c r="G305" s="506" t="s">
        <v>848</v>
      </c>
      <c r="H305" s="507" t="s">
        <v>849</v>
      </c>
      <c r="I305" s="248" t="s">
        <v>480</v>
      </c>
      <c r="J305" s="248" t="s">
        <v>480</v>
      </c>
      <c r="K305" s="248" t="s">
        <v>480</v>
      </c>
      <c r="L305" s="248" t="s">
        <v>480</v>
      </c>
      <c r="M305" s="253" t="s">
        <v>248</v>
      </c>
      <c r="N305" s="238"/>
      <c r="O305" s="256">
        <v>12</v>
      </c>
      <c r="P305" s="610" t="str">
        <f>IF(O305&lt;=0,"",IF(O305&lt;=2,"Muy Baja",IF(O305&lt;=24,"Baja",IF(O305&lt;=500,"Media",IF(O305&lt;=5000,"Alta","Muy Alta")))))</f>
        <v>Baja</v>
      </c>
      <c r="Q305" s="611">
        <f>IF(P305="","",IF(P305="Muy Baja",0.2,IF(P305="Baja",0.4,IF(P305="Media",0.6,IF(P305="Alta",0.8,IF(P305="Muy Alta",1,))))))</f>
        <v>0.4</v>
      </c>
      <c r="R305" s="611" t="s">
        <v>195</v>
      </c>
      <c r="S305" s="611" t="str">
        <f ca="1">IF(NOT(ISERROR(MATCH(R305,'Tabla Impacto'!$B$221:$B$223,0))),'Tabla Impacto'!$F$223&amp;"Por favor no seleccionar los criterios de impacto(Afectación Económica o presupuestal y Pérdida Reputacional)",R305)</f>
        <v xml:space="preserve">Entre 100 y 500 SMLMV </v>
      </c>
      <c r="T305" s="610" t="str">
        <f ca="1">+IF(OR(S305='[1]Tabla Impacto'!$C$11,S305='[1]Tabla Impacto'!$D$11),"Leve",IF(OR(S305='[1]Tabla Impacto'!$C$12,S305='[1]Tabla Impacto'!$D$12),"Menor",IF(OR(S305='[1]Tabla Impacto'!$C$13,S305='[1]Tabla Impacto'!$D$13),"Moderado",IF(OR(S305='[1]Tabla Impacto'!$C$14,S305='[1]Tabla Impacto'!$D$14),"Mayor",IF(OR(S305='[1]Tabla Impacto'!$C$15,S305='[1]Tabla Impacto'!$D$15),"Catastrófico","")))))</f>
        <v>Mayor</v>
      </c>
      <c r="U305" s="611">
        <f t="shared" ref="U305" ca="1" si="406">IF(T305="","",IF(T305="Leve",0.2,IF(T305="Menor",0.4,IF(T305="Moderado",0.6,IF(T305="Mayor",0.8,IF(T305="Catastrófico",1,))))))</f>
        <v>0.8</v>
      </c>
      <c r="V305" s="252" t="str">
        <f t="shared" ref="V305" ca="1" si="407">IF(OR(AND(P305="Muy Baja",T305="Leve"),AND(P305="Muy Baja",T305="Menor"),AND(P305="Baja",T305="Leve")),"Bajo",IF(OR(AND(P305="Muy baja",T305="Moderado"),AND(P305="Baja",T305="Menor"),AND(P305="Baja",T305="Moderado"),AND(P305="Media",T305="Leve"),AND(P305="Media",T305="Menor"),AND(P305="Media",T305="Moderado"),AND(P305="Alta",T305="Leve"),AND(P305="Alta",T305="Menor")),"Moderado",IF(OR(AND(P305="Muy Baja",T305="Mayor"),AND(P305="Baja",T305="Mayor"),AND(P305="Media",T305="Mayor"),AND(P305="Alta",T305="Moderado"),AND(P305="Alta",T305="Mayor"),AND(P305="Muy Alta",T305="Leve"),AND(P305="Muy Alta",T305="Menor"),AND(P305="Muy Alta",T305="Moderado"),AND(P305="Muy Alta",T305="Mayor")),"Alto",IF(OR(AND(P305="Muy Baja",T305="Catastrófico"),AND(P305="Baja",T305="Catastrófico"),AND(P305="Media",T305="Catastrófico"),AND(P305="Alta",T305="Catastrófico"),AND(P305="Muy Alta",T305="Catastrófico")),"Extremo",""))))</f>
        <v>Alto</v>
      </c>
      <c r="W305" s="194">
        <v>1</v>
      </c>
      <c r="X305" s="192" t="s">
        <v>850</v>
      </c>
      <c r="Y305" s="194" t="str">
        <f t="shared" si="391"/>
        <v>Probabilidad</v>
      </c>
      <c r="Z305" s="188" t="s">
        <v>211</v>
      </c>
      <c r="AA305" s="188" t="s">
        <v>219</v>
      </c>
      <c r="AB305" s="185" t="str">
        <f t="shared" si="398"/>
        <v>40%</v>
      </c>
      <c r="AC305" s="188" t="s">
        <v>222</v>
      </c>
      <c r="AD305" s="188" t="s">
        <v>227</v>
      </c>
      <c r="AE305" s="188" t="s">
        <v>231</v>
      </c>
      <c r="AF305" s="602">
        <f t="shared" ref="AF305" si="408">IFERROR(IF(Y305="Probabilidad",(Q305-(+Q305*AB305)),IF(Y305="Impacto",Q305,"")),"")</f>
        <v>0.24</v>
      </c>
      <c r="AG305" s="186" t="str">
        <f t="shared" si="392"/>
        <v>Baja</v>
      </c>
      <c r="AH305" s="185">
        <f t="shared" si="393"/>
        <v>0.24</v>
      </c>
      <c r="AI305" s="186" t="str">
        <f t="shared" ca="1" si="394"/>
        <v>Mayor</v>
      </c>
      <c r="AJ305" s="185">
        <f t="shared" ref="AJ305" ca="1" si="409">IFERROR(IF(Y305="Impacto",(U305-(+U305*AB305)),IF(Y305="Probabilidad",U305,"")),"")</f>
        <v>0.8</v>
      </c>
      <c r="AK305" s="187" t="str">
        <f t="shared" ca="1" si="395"/>
        <v>Alto</v>
      </c>
      <c r="AL305" s="603"/>
      <c r="AM305" s="238" t="s">
        <v>853</v>
      </c>
      <c r="AN305" s="238" t="s">
        <v>834</v>
      </c>
      <c r="AO305" s="240" t="s">
        <v>854</v>
      </c>
      <c r="AP305" s="240" t="s">
        <v>564</v>
      </c>
      <c r="AQ305" s="238" t="s">
        <v>855</v>
      </c>
      <c r="AR305" s="245" t="s">
        <v>262</v>
      </c>
    </row>
    <row r="306" spans="1:44" s="605" customFormat="1" ht="101.25" x14ac:dyDescent="0.25">
      <c r="A306" s="252"/>
      <c r="B306" s="511"/>
      <c r="C306" s="266"/>
      <c r="D306" s="266"/>
      <c r="E306" s="505"/>
      <c r="F306" s="506"/>
      <c r="G306" s="506"/>
      <c r="H306" s="507"/>
      <c r="I306" s="249"/>
      <c r="J306" s="249"/>
      <c r="K306" s="249"/>
      <c r="L306" s="249"/>
      <c r="M306" s="253"/>
      <c r="N306" s="251"/>
      <c r="O306" s="256"/>
      <c r="P306" s="610"/>
      <c r="Q306" s="611"/>
      <c r="R306" s="611"/>
      <c r="S306" s="611">
        <f ca="1">IF(NOT(ISERROR(MATCH(R306,_xlfn.ANCHORARRAY(H317),0))),Q319&amp;"Por favor no seleccionar los criterios de impacto",R306)</f>
        <v>0</v>
      </c>
      <c r="T306" s="610"/>
      <c r="U306" s="611"/>
      <c r="V306" s="252"/>
      <c r="W306" s="194">
        <v>2</v>
      </c>
      <c r="X306" s="192" t="s">
        <v>851</v>
      </c>
      <c r="Y306" s="194" t="str">
        <f t="shared" si="391"/>
        <v>Probabilidad</v>
      </c>
      <c r="Z306" s="188" t="s">
        <v>211</v>
      </c>
      <c r="AA306" s="188" t="s">
        <v>219</v>
      </c>
      <c r="AB306" s="185" t="str">
        <f t="shared" si="398"/>
        <v>40%</v>
      </c>
      <c r="AC306" s="188" t="s">
        <v>222</v>
      </c>
      <c r="AD306" s="188" t="s">
        <v>227</v>
      </c>
      <c r="AE306" s="188" t="s">
        <v>231</v>
      </c>
      <c r="AF306" s="602">
        <f t="shared" ref="AF306:AF310" si="410">IFERROR(IF(AND(Y305="Probabilidad",Y306="Probabilidad"),(AH305-(+AH305*AB306)),IF(Y306="Probabilidad",(Q305-(+Q305*AB306)),IF(Y306="Impacto",AH305,""))),"")</f>
        <v>0.14399999999999999</v>
      </c>
      <c r="AG306" s="186" t="str">
        <f t="shared" si="392"/>
        <v>Muy Baja</v>
      </c>
      <c r="AH306" s="185">
        <f t="shared" si="393"/>
        <v>0.14399999999999999</v>
      </c>
      <c r="AI306" s="186" t="str">
        <f t="shared" ca="1" si="394"/>
        <v>Mayor</v>
      </c>
      <c r="AJ306" s="185">
        <f t="shared" ref="AJ306" ca="1" si="411">IFERROR(IF(AND(Y305="Impacto",Y306="Impacto"),(AJ305-(+AJ305*AB306)),IF(Y306="Impacto",(U305-(+U305*AB306)),IF(Y306="Probabilidad",AJ305,""))),"")</f>
        <v>0.8</v>
      </c>
      <c r="AK306" s="187" t="str">
        <f t="shared" ca="1" si="395"/>
        <v>Alto</v>
      </c>
      <c r="AL306" s="603"/>
      <c r="AM306" s="251"/>
      <c r="AN306" s="251"/>
      <c r="AO306" s="279"/>
      <c r="AP306" s="279"/>
      <c r="AQ306" s="251"/>
      <c r="AR306" s="246"/>
    </row>
    <row r="307" spans="1:44" s="605" customFormat="1" ht="99" customHeight="1" x14ac:dyDescent="0.25">
      <c r="A307" s="252"/>
      <c r="B307" s="511"/>
      <c r="C307" s="266"/>
      <c r="D307" s="266"/>
      <c r="E307" s="505"/>
      <c r="F307" s="506"/>
      <c r="G307" s="506"/>
      <c r="H307" s="507"/>
      <c r="I307" s="249"/>
      <c r="J307" s="249"/>
      <c r="K307" s="249"/>
      <c r="L307" s="249"/>
      <c r="M307" s="253"/>
      <c r="N307" s="251"/>
      <c r="O307" s="256"/>
      <c r="P307" s="610"/>
      <c r="Q307" s="611"/>
      <c r="R307" s="611"/>
      <c r="S307" s="611">
        <f ca="1">IF(NOT(ISERROR(MATCH(R307,_xlfn.ANCHORARRAY(H318),0))),Q320&amp;"Por favor no seleccionar los criterios de impacto",R307)</f>
        <v>0</v>
      </c>
      <c r="T307" s="610"/>
      <c r="U307" s="611"/>
      <c r="V307" s="252"/>
      <c r="W307" s="194">
        <v>3</v>
      </c>
      <c r="X307" s="192" t="s">
        <v>852</v>
      </c>
      <c r="Y307" s="194" t="str">
        <f t="shared" si="391"/>
        <v>Probabilidad</v>
      </c>
      <c r="Z307" s="188" t="s">
        <v>211</v>
      </c>
      <c r="AA307" s="188" t="s">
        <v>219</v>
      </c>
      <c r="AB307" s="185" t="str">
        <f t="shared" si="398"/>
        <v>40%</v>
      </c>
      <c r="AC307" s="188" t="s">
        <v>222</v>
      </c>
      <c r="AD307" s="188" t="s">
        <v>227</v>
      </c>
      <c r="AE307" s="188" t="s">
        <v>231</v>
      </c>
      <c r="AF307" s="602">
        <f t="shared" si="410"/>
        <v>8.6399999999999991E-2</v>
      </c>
      <c r="AG307" s="186" t="str">
        <f t="shared" si="392"/>
        <v>Muy Baja</v>
      </c>
      <c r="AH307" s="185">
        <f t="shared" si="393"/>
        <v>8.6399999999999991E-2</v>
      </c>
      <c r="AI307" s="186" t="str">
        <f t="shared" ca="1" si="394"/>
        <v>Mayor</v>
      </c>
      <c r="AJ307" s="185">
        <f t="shared" ref="AJ307:AJ310" ca="1" si="412">IFERROR(IF(AND(Y306="Impacto",Y307="Impacto"),(AJ306-(+AJ306*AB307)),IF(AND(Y306="Probabilidad",Y307="Impacto"),(AJ305-(+AJ305*AB307)),IF(Y307="Probabilidad",AJ306,""))),"")</f>
        <v>0.8</v>
      </c>
      <c r="AK307" s="187" t="str">
        <f t="shared" ca="1" si="395"/>
        <v>Alto</v>
      </c>
      <c r="AL307" s="603"/>
      <c r="AM307" s="239"/>
      <c r="AN307" s="239"/>
      <c r="AO307" s="241"/>
      <c r="AP307" s="241"/>
      <c r="AQ307" s="239"/>
      <c r="AR307" s="247"/>
    </row>
    <row r="308" spans="1:44" s="605" customFormat="1" ht="60.75" hidden="1" customHeight="1" x14ac:dyDescent="0.25">
      <c r="A308" s="252"/>
      <c r="B308" s="511"/>
      <c r="C308" s="266"/>
      <c r="D308" s="266"/>
      <c r="E308" s="505"/>
      <c r="F308" s="506"/>
      <c r="G308" s="506"/>
      <c r="H308" s="507"/>
      <c r="I308" s="249"/>
      <c r="J308" s="249"/>
      <c r="K308" s="249"/>
      <c r="L308" s="249"/>
      <c r="M308" s="253"/>
      <c r="N308" s="251"/>
      <c r="O308" s="256"/>
      <c r="P308" s="610"/>
      <c r="Q308" s="611"/>
      <c r="R308" s="611"/>
      <c r="S308" s="611">
        <f ca="1">IF(NOT(ISERROR(MATCH(R308,_xlfn.ANCHORARRAY(H319),0))),Q321&amp;"Por favor no seleccionar los criterios de impacto",R308)</f>
        <v>0</v>
      </c>
      <c r="T308" s="610"/>
      <c r="U308" s="611"/>
      <c r="V308" s="252"/>
      <c r="W308" s="194">
        <v>4</v>
      </c>
      <c r="X308" s="192"/>
      <c r="Y308" s="194" t="str">
        <f t="shared" si="391"/>
        <v/>
      </c>
      <c r="Z308" s="188"/>
      <c r="AA308" s="188"/>
      <c r="AB308" s="185" t="str">
        <f t="shared" si="398"/>
        <v/>
      </c>
      <c r="AC308" s="188"/>
      <c r="AD308" s="188"/>
      <c r="AE308" s="188"/>
      <c r="AF308" s="602" t="str">
        <f t="shared" si="410"/>
        <v/>
      </c>
      <c r="AG308" s="186" t="str">
        <f t="shared" si="392"/>
        <v/>
      </c>
      <c r="AH308" s="185" t="str">
        <f t="shared" si="393"/>
        <v/>
      </c>
      <c r="AI308" s="186" t="str">
        <f t="shared" si="394"/>
        <v/>
      </c>
      <c r="AJ308" s="185" t="str">
        <f t="shared" si="412"/>
        <v/>
      </c>
      <c r="AK308" s="187" t="str">
        <f t="shared" si="395"/>
        <v/>
      </c>
      <c r="AL308" s="603"/>
      <c r="AM308" s="189"/>
      <c r="AN308" s="194"/>
      <c r="AO308" s="190"/>
      <c r="AP308" s="190"/>
      <c r="AQ308" s="191"/>
      <c r="AR308" s="194"/>
    </row>
    <row r="309" spans="1:44" s="605" customFormat="1" ht="60.75" hidden="1" customHeight="1" x14ac:dyDescent="0.25">
      <c r="A309" s="252"/>
      <c r="B309" s="511"/>
      <c r="C309" s="266"/>
      <c r="D309" s="266"/>
      <c r="E309" s="505"/>
      <c r="F309" s="506"/>
      <c r="G309" s="506"/>
      <c r="H309" s="507"/>
      <c r="I309" s="249"/>
      <c r="J309" s="249"/>
      <c r="K309" s="249"/>
      <c r="L309" s="249"/>
      <c r="M309" s="253"/>
      <c r="N309" s="251"/>
      <c r="O309" s="256"/>
      <c r="P309" s="610"/>
      <c r="Q309" s="611"/>
      <c r="R309" s="611"/>
      <c r="S309" s="611">
        <f ca="1">IF(NOT(ISERROR(MATCH(R309,_xlfn.ANCHORARRAY(H320),0))),Q322&amp;"Por favor no seleccionar los criterios de impacto",R309)</f>
        <v>0</v>
      </c>
      <c r="T309" s="610"/>
      <c r="U309" s="611"/>
      <c r="V309" s="252"/>
      <c r="W309" s="194">
        <v>5</v>
      </c>
      <c r="X309" s="192"/>
      <c r="Y309" s="194" t="str">
        <f t="shared" si="391"/>
        <v/>
      </c>
      <c r="Z309" s="188"/>
      <c r="AA309" s="188"/>
      <c r="AB309" s="185" t="str">
        <f t="shared" si="398"/>
        <v/>
      </c>
      <c r="AC309" s="188"/>
      <c r="AD309" s="188"/>
      <c r="AE309" s="188"/>
      <c r="AF309" s="602" t="str">
        <f t="shared" si="410"/>
        <v/>
      </c>
      <c r="AG309" s="186" t="str">
        <f t="shared" si="392"/>
        <v/>
      </c>
      <c r="AH309" s="185" t="str">
        <f t="shared" si="393"/>
        <v/>
      </c>
      <c r="AI309" s="186" t="str">
        <f t="shared" si="394"/>
        <v/>
      </c>
      <c r="AJ309" s="185" t="str">
        <f t="shared" si="412"/>
        <v/>
      </c>
      <c r="AK309" s="187" t="str">
        <f t="shared" si="395"/>
        <v/>
      </c>
      <c r="AL309" s="603"/>
      <c r="AM309" s="189"/>
      <c r="AN309" s="194"/>
      <c r="AO309" s="190"/>
      <c r="AP309" s="190"/>
      <c r="AQ309" s="191"/>
      <c r="AR309" s="194"/>
    </row>
    <row r="310" spans="1:44" s="605" customFormat="1" ht="60.75" hidden="1" customHeight="1" x14ac:dyDescent="0.25">
      <c r="A310" s="252"/>
      <c r="B310" s="512"/>
      <c r="C310" s="267"/>
      <c r="D310" s="267"/>
      <c r="E310" s="505"/>
      <c r="F310" s="506"/>
      <c r="G310" s="506"/>
      <c r="H310" s="507"/>
      <c r="I310" s="250"/>
      <c r="J310" s="250"/>
      <c r="K310" s="250"/>
      <c r="L310" s="250"/>
      <c r="M310" s="253"/>
      <c r="N310" s="239"/>
      <c r="O310" s="256"/>
      <c r="P310" s="610"/>
      <c r="Q310" s="611"/>
      <c r="R310" s="611"/>
      <c r="S310" s="611">
        <f ca="1">IF(NOT(ISERROR(MATCH(R310,_xlfn.ANCHORARRAY(H321),0))),Q323&amp;"Por favor no seleccionar los criterios de impacto",R310)</f>
        <v>0</v>
      </c>
      <c r="T310" s="610"/>
      <c r="U310" s="611"/>
      <c r="V310" s="252"/>
      <c r="W310" s="194">
        <v>6</v>
      </c>
      <c r="X310" s="192"/>
      <c r="Y310" s="194" t="str">
        <f t="shared" si="391"/>
        <v/>
      </c>
      <c r="Z310" s="188"/>
      <c r="AA310" s="188"/>
      <c r="AB310" s="185" t="str">
        <f t="shared" si="398"/>
        <v/>
      </c>
      <c r="AC310" s="188"/>
      <c r="AD310" s="188"/>
      <c r="AE310" s="188"/>
      <c r="AF310" s="602" t="str">
        <f t="shared" si="410"/>
        <v/>
      </c>
      <c r="AG310" s="186" t="str">
        <f t="shared" si="392"/>
        <v/>
      </c>
      <c r="AH310" s="185" t="str">
        <f t="shared" si="393"/>
        <v/>
      </c>
      <c r="AI310" s="186" t="str">
        <f t="shared" si="394"/>
        <v/>
      </c>
      <c r="AJ310" s="185" t="str">
        <f t="shared" si="412"/>
        <v/>
      </c>
      <c r="AK310" s="187" t="str">
        <f t="shared" si="395"/>
        <v/>
      </c>
      <c r="AL310" s="603"/>
      <c r="AM310" s="189"/>
      <c r="AN310" s="194"/>
      <c r="AO310" s="190"/>
      <c r="AP310" s="190"/>
      <c r="AQ310" s="191"/>
      <c r="AR310" s="194"/>
    </row>
    <row r="311" spans="1:44" s="605" customFormat="1" ht="159.75" customHeight="1" x14ac:dyDescent="0.25">
      <c r="A311" s="252">
        <v>50</v>
      </c>
      <c r="B311" s="245" t="s">
        <v>856</v>
      </c>
      <c r="C311" s="238" t="s">
        <v>278</v>
      </c>
      <c r="D311" s="238" t="s">
        <v>857</v>
      </c>
      <c r="E311" s="253" t="s">
        <v>243</v>
      </c>
      <c r="F311" s="254" t="s">
        <v>858</v>
      </c>
      <c r="G311" s="254" t="s">
        <v>859</v>
      </c>
      <c r="H311" s="255" t="s">
        <v>860</v>
      </c>
      <c r="I311" s="248" t="s">
        <v>480</v>
      </c>
      <c r="J311" s="248" t="s">
        <v>480</v>
      </c>
      <c r="K311" s="248" t="s">
        <v>480</v>
      </c>
      <c r="L311" s="248" t="s">
        <v>480</v>
      </c>
      <c r="M311" s="253" t="s">
        <v>242</v>
      </c>
      <c r="N311" s="238"/>
      <c r="O311" s="256">
        <v>53</v>
      </c>
      <c r="P311" s="610" t="str">
        <f>IF(O311&lt;=0,"",IF(O311&lt;=2,"Muy Baja",IF(O311&lt;=24,"Baja",IF(O311&lt;=500,"Media",IF(O311&lt;=5000,"Alta","Muy Alta")))))</f>
        <v>Media</v>
      </c>
      <c r="Q311" s="611">
        <f>IF(P311="","",IF(P311="Muy Baja",0.2,IF(P311="Baja",0.4,IF(P311="Media",0.6,IF(P311="Alta",0.8,IF(P311="Muy Alta",1,))))))</f>
        <v>0.6</v>
      </c>
      <c r="R311" s="611" t="s">
        <v>186</v>
      </c>
      <c r="S311" s="611" t="str">
        <f ca="1">IF(NOT(ISERROR(MATCH(R311,'Tabla Impacto'!$B$221:$B$223,0))),'Tabla Impacto'!$F$223&amp;"Por favor no seleccionar los criterios de impacto(Afectación Económica o presupuestal y Pérdida Reputacional)",R311)</f>
        <v xml:space="preserve">Afectación menor a 10 SMLMV </v>
      </c>
      <c r="T311" s="610" t="str">
        <f ca="1">+IF(OR(S311='[1]Tabla Impacto'!$C$11,S311='[1]Tabla Impacto'!$D$11),"Leve",IF(OR(S311='[1]Tabla Impacto'!$C$12,S311='[1]Tabla Impacto'!$D$12),"Menor",IF(OR(S311='[1]Tabla Impacto'!$C$13,S311='[1]Tabla Impacto'!$D$13),"Moderado",IF(OR(S311='[1]Tabla Impacto'!$C$14,S311='[1]Tabla Impacto'!$D$14),"Mayor",IF(OR(S311='[1]Tabla Impacto'!$C$15,S311='[1]Tabla Impacto'!$D$15),"Catastrófico","")))))</f>
        <v>Leve</v>
      </c>
      <c r="U311" s="611">
        <f t="shared" ref="U311" ca="1" si="413">IF(T311="","",IF(T311="Leve",0.2,IF(T311="Menor",0.4,IF(T311="Moderado",0.6,IF(T311="Mayor",0.8,IF(T311="Catastrófico",1,))))))</f>
        <v>0.2</v>
      </c>
      <c r="V311" s="252" t="str">
        <f t="shared" ref="V311" ca="1" si="414">IF(OR(AND(P311="Muy Baja",T311="Leve"),AND(P311="Muy Baja",T311="Menor"),AND(P311="Baja",T311="Leve")),"Bajo",IF(OR(AND(P311="Muy baja",T311="Moderado"),AND(P311="Baja",T311="Menor"),AND(P311="Baja",T311="Moderado"),AND(P311="Media",T311="Leve"),AND(P311="Media",T311="Menor"),AND(P311="Media",T311="Moderado"),AND(P311="Alta",T311="Leve"),AND(P311="Alta",T311="Menor")),"Moderado",IF(OR(AND(P311="Muy Baja",T311="Mayor"),AND(P311="Baja",T311="Mayor"),AND(P311="Media",T311="Mayor"),AND(P311="Alta",T311="Moderado"),AND(P311="Alta",T311="Mayor"),AND(P311="Muy Alta",T311="Leve"),AND(P311="Muy Alta",T311="Menor"),AND(P311="Muy Alta",T311="Moderado"),AND(P311="Muy Alta",T311="Mayor")),"Alto",IF(OR(AND(P311="Muy Baja",T311="Catastrófico"),AND(P311="Baja",T311="Catastrófico"),AND(P311="Media",T311="Catastrófico"),AND(P311="Alta",T311="Catastrófico"),AND(P311="Muy Alta",T311="Catastrófico")),"Extremo",""))))</f>
        <v>Moderado</v>
      </c>
      <c r="W311" s="194">
        <v>1</v>
      </c>
      <c r="X311" s="192" t="s">
        <v>861</v>
      </c>
      <c r="Y311" s="194" t="str">
        <f t="shared" si="391"/>
        <v>Probabilidad</v>
      </c>
      <c r="Z311" s="188" t="s">
        <v>211</v>
      </c>
      <c r="AA311" s="188" t="s">
        <v>219</v>
      </c>
      <c r="AB311" s="185" t="str">
        <f>IF(AND(Z311="Preventivo",AA311="Automático"),"50%",IF(AND(Z311="Preventivo",AA311="Manual"),"40%",IF(AND(Z311="Detectivo",AA311="Automático"),"40%",IF(AND(Z311="Detectivo",AA311="Manual"),"30%",IF(AND(Z311="Correctivo",AA311="Automático"),"35%",IF(AND(Z311="Correctivo",AA311="Manual"),"25%",""))))))</f>
        <v>40%</v>
      </c>
      <c r="AC311" s="188" t="s">
        <v>222</v>
      </c>
      <c r="AD311" s="188" t="s">
        <v>227</v>
      </c>
      <c r="AE311" s="188" t="s">
        <v>231</v>
      </c>
      <c r="AF311" s="602">
        <f t="shared" ref="AF311" si="415">IFERROR(IF(Y311="Probabilidad",(Q311-(+Q311*AB311)),IF(Y311="Impacto",Q311,"")),"")</f>
        <v>0.36</v>
      </c>
      <c r="AG311" s="186" t="str">
        <f t="shared" si="392"/>
        <v>Baja</v>
      </c>
      <c r="AH311" s="185">
        <f t="shared" si="393"/>
        <v>0.36</v>
      </c>
      <c r="AI311" s="186" t="str">
        <f t="shared" ca="1" si="394"/>
        <v>Leve</v>
      </c>
      <c r="AJ311" s="185">
        <f t="shared" ref="AJ311" ca="1" si="416">IFERROR(IF(Y311="Impacto",(U311-(+U311*AB311)),IF(Y311="Probabilidad",U311,"")),"")</f>
        <v>0.2</v>
      </c>
      <c r="AK311" s="187" t="str">
        <f t="shared" ca="1" si="395"/>
        <v>Bajo</v>
      </c>
      <c r="AL311" s="603" t="s">
        <v>258</v>
      </c>
      <c r="AM311" s="189"/>
      <c r="AN311" s="194"/>
      <c r="AO311" s="190"/>
      <c r="AP311" s="190"/>
      <c r="AQ311" s="191"/>
      <c r="AR311" s="194"/>
    </row>
    <row r="312" spans="1:44" s="605" customFormat="1" ht="153.75" customHeight="1" x14ac:dyDescent="0.25">
      <c r="A312" s="252"/>
      <c r="B312" s="246"/>
      <c r="C312" s="251"/>
      <c r="D312" s="251"/>
      <c r="E312" s="253"/>
      <c r="F312" s="254"/>
      <c r="G312" s="254"/>
      <c r="H312" s="255"/>
      <c r="I312" s="249"/>
      <c r="J312" s="249"/>
      <c r="K312" s="249"/>
      <c r="L312" s="249"/>
      <c r="M312" s="253"/>
      <c r="N312" s="251"/>
      <c r="O312" s="256"/>
      <c r="P312" s="610"/>
      <c r="Q312" s="611"/>
      <c r="R312" s="611"/>
      <c r="S312" s="611">
        <f ca="1">IF(NOT(ISERROR(MATCH(R312,_xlfn.ANCHORARRAY(H323),0))),Q325&amp;"Por favor no seleccionar los criterios de impacto",R312)</f>
        <v>0</v>
      </c>
      <c r="T312" s="610"/>
      <c r="U312" s="611"/>
      <c r="V312" s="252"/>
      <c r="W312" s="194">
        <v>2</v>
      </c>
      <c r="X312" s="192" t="s">
        <v>862</v>
      </c>
      <c r="Y312" s="194" t="str">
        <f t="shared" si="391"/>
        <v>Probabilidad</v>
      </c>
      <c r="Z312" s="188" t="s">
        <v>211</v>
      </c>
      <c r="AA312" s="188" t="s">
        <v>219</v>
      </c>
      <c r="AB312" s="185" t="str">
        <f>IF(AND(Z312="Preventivo",AA312="Automático"),"50%",IF(AND(Z312="Preventivo",AA312="Manual"),"40%",IF(AND(Z312="Detectivo",AA312="Automático"),"40%",IF(AND(Z312="Detectivo",AA312="Manual"),"30%",IF(AND(Z312="Correctivo",AA312="Automático"),"35%",IF(AND(Z312="Correctivo",AA312="Manual"),"25%",""))))))</f>
        <v>40%</v>
      </c>
      <c r="AC312" s="188" t="s">
        <v>222</v>
      </c>
      <c r="AD312" s="188" t="s">
        <v>227</v>
      </c>
      <c r="AE312" s="188" t="s">
        <v>231</v>
      </c>
      <c r="AF312" s="602">
        <f t="shared" ref="AF312:AF316" si="417">IFERROR(IF(AND(Y311="Probabilidad",Y312="Probabilidad"),(AH311-(+AH311*AB312)),IF(Y312="Probabilidad",(Q311-(+Q311*AB312)),IF(Y312="Impacto",AH311,""))),"")</f>
        <v>0.216</v>
      </c>
      <c r="AG312" s="186" t="str">
        <f t="shared" si="392"/>
        <v>Baja</v>
      </c>
      <c r="AH312" s="185">
        <f t="shared" si="393"/>
        <v>0.216</v>
      </c>
      <c r="AI312" s="186" t="str">
        <f t="shared" ca="1" si="394"/>
        <v>Leve</v>
      </c>
      <c r="AJ312" s="185">
        <f t="shared" ref="AJ312" ca="1" si="418">IFERROR(IF(AND(Y311="Impacto",Y312="Impacto"),(AJ311-(+AJ311*AB312)),IF(Y312="Impacto",(U311-(+U311*AB312)),IF(Y312="Probabilidad",AJ311,""))),"")</f>
        <v>0.2</v>
      </c>
      <c r="AK312" s="187" t="str">
        <f t="shared" ca="1" si="395"/>
        <v>Bajo</v>
      </c>
      <c r="AL312" s="603" t="s">
        <v>258</v>
      </c>
      <c r="AM312" s="189"/>
      <c r="AN312" s="194"/>
      <c r="AO312" s="190"/>
      <c r="AP312" s="190"/>
      <c r="AQ312" s="191"/>
      <c r="AR312" s="194"/>
    </row>
    <row r="313" spans="1:44" s="605" customFormat="1" ht="69" hidden="1" customHeight="1" x14ac:dyDescent="0.25">
      <c r="A313" s="252"/>
      <c r="B313" s="246"/>
      <c r="C313" s="251"/>
      <c r="D313" s="251"/>
      <c r="E313" s="253"/>
      <c r="F313" s="254"/>
      <c r="G313" s="254"/>
      <c r="H313" s="255"/>
      <c r="I313" s="249"/>
      <c r="J313" s="249"/>
      <c r="K313" s="249"/>
      <c r="L313" s="249"/>
      <c r="M313" s="253"/>
      <c r="N313" s="251"/>
      <c r="O313" s="256"/>
      <c r="P313" s="610"/>
      <c r="Q313" s="611"/>
      <c r="R313" s="611"/>
      <c r="S313" s="611">
        <f ca="1">IF(NOT(ISERROR(MATCH(R313,_xlfn.ANCHORARRAY(H324),0))),Q326&amp;"Por favor no seleccionar los criterios de impacto",R313)</f>
        <v>0</v>
      </c>
      <c r="T313" s="610"/>
      <c r="U313" s="611"/>
      <c r="V313" s="252"/>
      <c r="W313" s="194">
        <v>3</v>
      </c>
      <c r="X313" s="192"/>
      <c r="Y313" s="194" t="str">
        <f t="shared" si="391"/>
        <v/>
      </c>
      <c r="Z313" s="188"/>
      <c r="AA313" s="188"/>
      <c r="AB313" s="185" t="str">
        <f t="shared" si="398"/>
        <v/>
      </c>
      <c r="AC313" s="188"/>
      <c r="AD313" s="188"/>
      <c r="AE313" s="188"/>
      <c r="AF313" s="602" t="str">
        <f t="shared" si="417"/>
        <v/>
      </c>
      <c r="AG313" s="186" t="str">
        <f t="shared" si="392"/>
        <v/>
      </c>
      <c r="AH313" s="185" t="str">
        <f t="shared" si="393"/>
        <v/>
      </c>
      <c r="AI313" s="186" t="str">
        <f t="shared" si="394"/>
        <v/>
      </c>
      <c r="AJ313" s="185" t="str">
        <f t="shared" ref="AJ313:AJ316" si="419">IFERROR(IF(AND(Y312="Impacto",Y313="Impacto"),(AJ312-(+AJ312*AB313)),IF(AND(Y312="Probabilidad",Y313="Impacto"),(AJ311-(+AJ311*AB313)),IF(Y313="Probabilidad",AJ312,""))),"")</f>
        <v/>
      </c>
      <c r="AK313" s="187" t="str">
        <f t="shared" si="395"/>
        <v/>
      </c>
      <c r="AL313" s="603"/>
      <c r="AM313" s="189"/>
      <c r="AN313" s="194"/>
      <c r="AO313" s="190"/>
      <c r="AP313" s="190"/>
      <c r="AQ313" s="191"/>
      <c r="AR313" s="194"/>
    </row>
    <row r="314" spans="1:44" s="605" customFormat="1" ht="69" hidden="1" customHeight="1" x14ac:dyDescent="0.25">
      <c r="A314" s="252"/>
      <c r="B314" s="246"/>
      <c r="C314" s="251"/>
      <c r="D314" s="251"/>
      <c r="E314" s="253"/>
      <c r="F314" s="254"/>
      <c r="G314" s="254"/>
      <c r="H314" s="255"/>
      <c r="I314" s="249"/>
      <c r="J314" s="249"/>
      <c r="K314" s="249"/>
      <c r="L314" s="249"/>
      <c r="M314" s="253"/>
      <c r="N314" s="251"/>
      <c r="O314" s="256"/>
      <c r="P314" s="610"/>
      <c r="Q314" s="611"/>
      <c r="R314" s="611"/>
      <c r="S314" s="611">
        <f ca="1">IF(NOT(ISERROR(MATCH(R314,_xlfn.ANCHORARRAY(H325),0))),Q327&amp;"Por favor no seleccionar los criterios de impacto",R314)</f>
        <v>0</v>
      </c>
      <c r="T314" s="610"/>
      <c r="U314" s="611"/>
      <c r="V314" s="252"/>
      <c r="W314" s="194">
        <v>4</v>
      </c>
      <c r="X314" s="192"/>
      <c r="Y314" s="194" t="str">
        <f t="shared" si="391"/>
        <v/>
      </c>
      <c r="Z314" s="188"/>
      <c r="AA314" s="188"/>
      <c r="AB314" s="185" t="str">
        <f t="shared" si="398"/>
        <v/>
      </c>
      <c r="AC314" s="188"/>
      <c r="AD314" s="188"/>
      <c r="AE314" s="188"/>
      <c r="AF314" s="602" t="str">
        <f t="shared" si="417"/>
        <v/>
      </c>
      <c r="AG314" s="186" t="str">
        <f t="shared" si="392"/>
        <v/>
      </c>
      <c r="AH314" s="185" t="str">
        <f t="shared" si="393"/>
        <v/>
      </c>
      <c r="AI314" s="186" t="str">
        <f t="shared" si="394"/>
        <v/>
      </c>
      <c r="AJ314" s="185" t="str">
        <f t="shared" si="419"/>
        <v/>
      </c>
      <c r="AK314" s="187" t="str">
        <f t="shared" si="395"/>
        <v/>
      </c>
      <c r="AL314" s="603"/>
      <c r="AM314" s="189"/>
      <c r="AN314" s="194"/>
      <c r="AO314" s="190"/>
      <c r="AP314" s="190"/>
      <c r="AQ314" s="191"/>
      <c r="AR314" s="194"/>
    </row>
    <row r="315" spans="1:44" s="605" customFormat="1" ht="69" hidden="1" customHeight="1" x14ac:dyDescent="0.25">
      <c r="A315" s="252"/>
      <c r="B315" s="246"/>
      <c r="C315" s="251"/>
      <c r="D315" s="251"/>
      <c r="E315" s="253"/>
      <c r="F315" s="254"/>
      <c r="G315" s="254"/>
      <c r="H315" s="255"/>
      <c r="I315" s="249"/>
      <c r="J315" s="249"/>
      <c r="K315" s="249"/>
      <c r="L315" s="249"/>
      <c r="M315" s="253"/>
      <c r="N315" s="251"/>
      <c r="O315" s="256"/>
      <c r="P315" s="610"/>
      <c r="Q315" s="611"/>
      <c r="R315" s="611"/>
      <c r="S315" s="611">
        <f ca="1">IF(NOT(ISERROR(MATCH(R315,_xlfn.ANCHORARRAY(H326),0))),Q328&amp;"Por favor no seleccionar los criterios de impacto",R315)</f>
        <v>0</v>
      </c>
      <c r="T315" s="610"/>
      <c r="U315" s="611"/>
      <c r="V315" s="252"/>
      <c r="W315" s="194">
        <v>5</v>
      </c>
      <c r="X315" s="192"/>
      <c r="Y315" s="194" t="str">
        <f t="shared" si="391"/>
        <v/>
      </c>
      <c r="Z315" s="188"/>
      <c r="AA315" s="188"/>
      <c r="AB315" s="185" t="str">
        <f t="shared" si="398"/>
        <v/>
      </c>
      <c r="AC315" s="188"/>
      <c r="AD315" s="188"/>
      <c r="AE315" s="188"/>
      <c r="AF315" s="602" t="str">
        <f t="shared" si="417"/>
        <v/>
      </c>
      <c r="AG315" s="186" t="str">
        <f t="shared" si="392"/>
        <v/>
      </c>
      <c r="AH315" s="185" t="str">
        <f t="shared" si="393"/>
        <v/>
      </c>
      <c r="AI315" s="186" t="str">
        <f t="shared" si="394"/>
        <v/>
      </c>
      <c r="AJ315" s="185" t="str">
        <f t="shared" si="419"/>
        <v/>
      </c>
      <c r="AK315" s="187" t="str">
        <f t="shared" si="395"/>
        <v/>
      </c>
      <c r="AL315" s="603"/>
      <c r="AM315" s="189"/>
      <c r="AN315" s="194"/>
      <c r="AO315" s="190"/>
      <c r="AP315" s="190"/>
      <c r="AQ315" s="191"/>
      <c r="AR315" s="194"/>
    </row>
    <row r="316" spans="1:44" s="605" customFormat="1" ht="69" hidden="1" customHeight="1" x14ac:dyDescent="0.25">
      <c r="A316" s="252"/>
      <c r="B316" s="247"/>
      <c r="C316" s="239"/>
      <c r="D316" s="239"/>
      <c r="E316" s="253"/>
      <c r="F316" s="254"/>
      <c r="G316" s="254"/>
      <c r="H316" s="255"/>
      <c r="I316" s="250"/>
      <c r="J316" s="250"/>
      <c r="K316" s="250"/>
      <c r="L316" s="250"/>
      <c r="M316" s="253"/>
      <c r="N316" s="239"/>
      <c r="O316" s="256"/>
      <c r="P316" s="610"/>
      <c r="Q316" s="611"/>
      <c r="R316" s="611"/>
      <c r="S316" s="611">
        <f ca="1">IF(NOT(ISERROR(MATCH(R316,_xlfn.ANCHORARRAY(H327),0))),Q329&amp;"Por favor no seleccionar los criterios de impacto",R316)</f>
        <v>0</v>
      </c>
      <c r="T316" s="610"/>
      <c r="U316" s="611"/>
      <c r="V316" s="252"/>
      <c r="W316" s="194">
        <v>6</v>
      </c>
      <c r="X316" s="192"/>
      <c r="Y316" s="194" t="str">
        <f t="shared" si="391"/>
        <v/>
      </c>
      <c r="Z316" s="188"/>
      <c r="AA316" s="188"/>
      <c r="AB316" s="185" t="str">
        <f t="shared" si="398"/>
        <v/>
      </c>
      <c r="AC316" s="188"/>
      <c r="AD316" s="188"/>
      <c r="AE316" s="188"/>
      <c r="AF316" s="602" t="str">
        <f t="shared" si="417"/>
        <v/>
      </c>
      <c r="AG316" s="186" t="str">
        <f t="shared" si="392"/>
        <v/>
      </c>
      <c r="AH316" s="185" t="str">
        <f t="shared" si="393"/>
        <v/>
      </c>
      <c r="AI316" s="186" t="str">
        <f t="shared" si="394"/>
        <v/>
      </c>
      <c r="AJ316" s="185" t="str">
        <f t="shared" si="419"/>
        <v/>
      </c>
      <c r="AK316" s="187" t="str">
        <f t="shared" si="395"/>
        <v/>
      </c>
      <c r="AL316" s="603"/>
      <c r="AM316" s="189"/>
      <c r="AN316" s="194"/>
      <c r="AO316" s="190"/>
      <c r="AP316" s="190"/>
      <c r="AQ316" s="191"/>
      <c r="AR316" s="194"/>
    </row>
    <row r="317" spans="1:44" s="605" customFormat="1" ht="165" customHeight="1" x14ac:dyDescent="0.25">
      <c r="A317" s="252">
        <v>51</v>
      </c>
      <c r="B317" s="245" t="s">
        <v>863</v>
      </c>
      <c r="C317" s="238" t="s">
        <v>278</v>
      </c>
      <c r="D317" s="238" t="s">
        <v>857</v>
      </c>
      <c r="E317" s="253" t="s">
        <v>243</v>
      </c>
      <c r="F317" s="254" t="s">
        <v>858</v>
      </c>
      <c r="G317" s="254" t="s">
        <v>864</v>
      </c>
      <c r="H317" s="255" t="s">
        <v>865</v>
      </c>
      <c r="I317" s="248" t="s">
        <v>480</v>
      </c>
      <c r="J317" s="248" t="s">
        <v>480</v>
      </c>
      <c r="K317" s="248" t="s">
        <v>480</v>
      </c>
      <c r="L317" s="248" t="s">
        <v>480</v>
      </c>
      <c r="M317" s="253" t="s">
        <v>242</v>
      </c>
      <c r="N317" s="238"/>
      <c r="O317" s="256">
        <v>365</v>
      </c>
      <c r="P317" s="610" t="str">
        <f>IF(O317&lt;=0,"",IF(O317&lt;=2,"Muy Baja",IF(O317&lt;=24,"Baja",IF(O317&lt;=500,"Media",IF(O317&lt;=5000,"Alta","Muy Alta")))))</f>
        <v>Media</v>
      </c>
      <c r="Q317" s="611">
        <f>IF(P317="","",IF(P317="Muy Baja",0.2,IF(P317="Baja",0.4,IF(P317="Media",0.6,IF(P317="Alta",0.8,IF(P317="Muy Alta",1,))))))</f>
        <v>0.6</v>
      </c>
      <c r="R317" s="611" t="s">
        <v>189</v>
      </c>
      <c r="S317" s="611" t="str">
        <f ca="1">IF(NOT(ISERROR(MATCH(R317,'Tabla Impacto'!$B$221:$B$223,0))),'Tabla Impacto'!$F$223&amp;"Por favor no seleccionar los criterios de impacto(Afectación Económica o presupuestal y Pérdida Reputacional)",R317)</f>
        <v xml:space="preserve">Entre 10 y 50 SMLMV </v>
      </c>
      <c r="T317" s="610" t="str">
        <f ca="1">+IF(OR(S317='[1]Tabla Impacto'!$C$11,S317='[1]Tabla Impacto'!$D$11),"Leve",IF(OR(S317='[1]Tabla Impacto'!$C$12,S317='[1]Tabla Impacto'!$D$12),"Menor",IF(OR(S317='[1]Tabla Impacto'!$C$13,S317='[1]Tabla Impacto'!$D$13),"Moderado",IF(OR(S317='[1]Tabla Impacto'!$C$14,S317='[1]Tabla Impacto'!$D$14),"Mayor",IF(OR(S317='[1]Tabla Impacto'!$C$15,S317='[1]Tabla Impacto'!$D$15),"Catastrófico","")))))</f>
        <v>Menor</v>
      </c>
      <c r="U317" s="611">
        <f t="shared" ref="U317" ca="1" si="420">IF(T317="","",IF(T317="Leve",0.2,IF(T317="Menor",0.4,IF(T317="Moderado",0.6,IF(T317="Mayor",0.8,IF(T317="Catastrófico",1,))))))</f>
        <v>0.4</v>
      </c>
      <c r="V317" s="252" t="str">
        <f t="shared" ref="V317" ca="1" si="421">IF(OR(AND(P317="Muy Baja",T317="Leve"),AND(P317="Muy Baja",T317="Menor"),AND(P317="Baja",T317="Leve")),"Bajo",IF(OR(AND(P317="Muy baja",T317="Moderado"),AND(P317="Baja",T317="Menor"),AND(P317="Baja",T317="Moderado"),AND(P317="Media",T317="Leve"),AND(P317="Media",T317="Menor"),AND(P317="Media",T317="Moderado"),AND(P317="Alta",T317="Leve"),AND(P317="Alta",T317="Menor")),"Moderado",IF(OR(AND(P317="Muy Baja",T317="Mayor"),AND(P317="Baja",T317="Mayor"),AND(P317="Media",T317="Mayor"),AND(P317="Alta",T317="Moderado"),AND(P317="Alta",T317="Mayor"),AND(P317="Muy Alta",T317="Leve"),AND(P317="Muy Alta",T317="Menor"),AND(P317="Muy Alta",T317="Moderado"),AND(P317="Muy Alta",T317="Mayor")),"Alto",IF(OR(AND(P317="Muy Baja",T317="Catastrófico"),AND(P317="Baja",T317="Catastrófico"),AND(P317="Media",T317="Catastrófico"),AND(P317="Alta",T317="Catastrófico"),AND(P317="Muy Alta",T317="Catastrófico")),"Extremo",""))))</f>
        <v>Moderado</v>
      </c>
      <c r="W317" s="194">
        <v>1</v>
      </c>
      <c r="X317" s="192" t="s">
        <v>866</v>
      </c>
      <c r="Y317" s="194" t="str">
        <f t="shared" si="391"/>
        <v>Probabilidad</v>
      </c>
      <c r="Z317" s="188" t="s">
        <v>211</v>
      </c>
      <c r="AA317" s="188" t="s">
        <v>219</v>
      </c>
      <c r="AB317" s="185" t="str">
        <f>IF(AND(Z317="Preventivo",AA317="Automático"),"50%",IF(AND(Z317="Preventivo",AA317="Manual"),"40%",IF(AND(Z317="Detectivo",AA317="Automático"),"40%",IF(AND(Z317="Detectivo",AA317="Manual"),"30%",IF(AND(Z317="Correctivo",AA317="Automático"),"35%",IF(AND(Z317="Correctivo",AA317="Manual"),"25%",""))))))</f>
        <v>40%</v>
      </c>
      <c r="AC317" s="188" t="s">
        <v>222</v>
      </c>
      <c r="AD317" s="188" t="s">
        <v>227</v>
      </c>
      <c r="AE317" s="188" t="s">
        <v>231</v>
      </c>
      <c r="AF317" s="602">
        <f t="shared" ref="AF317" si="422">IFERROR(IF(Y317="Probabilidad",(Q317-(+Q317*AB317)),IF(Y317="Impacto",Q317,"")),"")</f>
        <v>0.36</v>
      </c>
      <c r="AG317" s="186" t="str">
        <f t="shared" si="392"/>
        <v>Baja</v>
      </c>
      <c r="AH317" s="185">
        <f t="shared" si="393"/>
        <v>0.36</v>
      </c>
      <c r="AI317" s="186" t="str">
        <f t="shared" ca="1" si="394"/>
        <v>Menor</v>
      </c>
      <c r="AJ317" s="185">
        <f t="shared" ref="AJ317" ca="1" si="423">IFERROR(IF(Y317="Impacto",(U317-(+U317*AB317)),IF(Y317="Probabilidad",U317,"")),"")</f>
        <v>0.4</v>
      </c>
      <c r="AK317" s="187" t="str">
        <f t="shared" ca="1" si="395"/>
        <v>Moderado</v>
      </c>
      <c r="AL317" s="603" t="s">
        <v>258</v>
      </c>
      <c r="AM317" s="189"/>
      <c r="AN317" s="194"/>
      <c r="AO317" s="190"/>
      <c r="AP317" s="190"/>
      <c r="AQ317" s="191"/>
      <c r="AR317" s="194"/>
    </row>
    <row r="318" spans="1:44" s="605" customFormat="1" ht="69" hidden="1" customHeight="1" x14ac:dyDescent="0.25">
      <c r="A318" s="252"/>
      <c r="B318" s="246"/>
      <c r="C318" s="251"/>
      <c r="D318" s="251"/>
      <c r="E318" s="253"/>
      <c r="F318" s="254"/>
      <c r="G318" s="254"/>
      <c r="H318" s="255"/>
      <c r="I318" s="249"/>
      <c r="J318" s="249"/>
      <c r="K318" s="249"/>
      <c r="L318" s="249"/>
      <c r="M318" s="253"/>
      <c r="N318" s="251"/>
      <c r="O318" s="256"/>
      <c r="P318" s="610"/>
      <c r="Q318" s="611"/>
      <c r="R318" s="611"/>
      <c r="S318" s="611">
        <f ca="1">IF(NOT(ISERROR(MATCH(R318,_xlfn.ANCHORARRAY(H329),0))),Q331&amp;"Por favor no seleccionar los criterios de impacto",R318)</f>
        <v>0</v>
      </c>
      <c r="T318" s="610"/>
      <c r="U318" s="611"/>
      <c r="V318" s="252"/>
      <c r="W318" s="194">
        <v>2</v>
      </c>
      <c r="X318" s="192"/>
      <c r="Y318" s="194" t="str">
        <f t="shared" si="391"/>
        <v/>
      </c>
      <c r="Z318" s="188"/>
      <c r="AA318" s="188"/>
      <c r="AB318" s="185" t="str">
        <f t="shared" si="398"/>
        <v/>
      </c>
      <c r="AC318" s="188"/>
      <c r="AD318" s="188"/>
      <c r="AE318" s="188"/>
      <c r="AF318" s="602" t="str">
        <f t="shared" ref="AF318:AF322" si="424">IFERROR(IF(AND(Y317="Probabilidad",Y318="Probabilidad"),(AH317-(+AH317*AB318)),IF(Y318="Probabilidad",(Q317-(+Q317*AB318)),IF(Y318="Impacto",AH317,""))),"")</f>
        <v/>
      </c>
      <c r="AG318" s="186" t="str">
        <f t="shared" si="392"/>
        <v/>
      </c>
      <c r="AH318" s="185" t="str">
        <f t="shared" si="393"/>
        <v/>
      </c>
      <c r="AI318" s="186" t="str">
        <f t="shared" si="394"/>
        <v/>
      </c>
      <c r="AJ318" s="185" t="str">
        <f t="shared" ref="AJ318" si="425">IFERROR(IF(AND(Y317="Impacto",Y318="Impacto"),(AJ317-(+AJ317*AB318)),IF(Y318="Impacto",(U317-(+U317*AB318)),IF(Y318="Probabilidad",AJ317,""))),"")</f>
        <v/>
      </c>
      <c r="AK318" s="187" t="str">
        <f t="shared" si="395"/>
        <v/>
      </c>
      <c r="AL318" s="603"/>
      <c r="AM318" s="189"/>
      <c r="AN318" s="194"/>
      <c r="AO318" s="190"/>
      <c r="AP318" s="190"/>
      <c r="AQ318" s="191"/>
      <c r="AR318" s="194"/>
    </row>
    <row r="319" spans="1:44" s="605" customFormat="1" ht="69" hidden="1" customHeight="1" x14ac:dyDescent="0.25">
      <c r="A319" s="252"/>
      <c r="B319" s="246"/>
      <c r="C319" s="251"/>
      <c r="D319" s="251"/>
      <c r="E319" s="253"/>
      <c r="F319" s="254"/>
      <c r="G319" s="254"/>
      <c r="H319" s="255"/>
      <c r="I319" s="249"/>
      <c r="J319" s="249"/>
      <c r="K319" s="249"/>
      <c r="L319" s="249"/>
      <c r="M319" s="253"/>
      <c r="N319" s="251"/>
      <c r="O319" s="256"/>
      <c r="P319" s="610"/>
      <c r="Q319" s="611"/>
      <c r="R319" s="611"/>
      <c r="S319" s="611">
        <f ca="1">IF(NOT(ISERROR(MATCH(R319,_xlfn.ANCHORARRAY(H330),0))),Q332&amp;"Por favor no seleccionar los criterios de impacto",R319)</f>
        <v>0</v>
      </c>
      <c r="T319" s="610"/>
      <c r="U319" s="611"/>
      <c r="V319" s="252"/>
      <c r="W319" s="194">
        <v>3</v>
      </c>
      <c r="X319" s="192"/>
      <c r="Y319" s="194" t="str">
        <f t="shared" si="391"/>
        <v/>
      </c>
      <c r="Z319" s="188"/>
      <c r="AA319" s="188"/>
      <c r="AB319" s="185" t="str">
        <f t="shared" si="398"/>
        <v/>
      </c>
      <c r="AC319" s="188"/>
      <c r="AD319" s="188"/>
      <c r="AE319" s="188"/>
      <c r="AF319" s="602" t="str">
        <f t="shared" si="424"/>
        <v/>
      </c>
      <c r="AG319" s="186" t="str">
        <f t="shared" si="392"/>
        <v/>
      </c>
      <c r="AH319" s="185" t="str">
        <f t="shared" si="393"/>
        <v/>
      </c>
      <c r="AI319" s="186" t="str">
        <f t="shared" si="394"/>
        <v/>
      </c>
      <c r="AJ319" s="185" t="str">
        <f t="shared" ref="AJ319:AJ322" si="426">IFERROR(IF(AND(Y318="Impacto",Y319="Impacto"),(AJ318-(+AJ318*AB319)),IF(AND(Y318="Probabilidad",Y319="Impacto"),(AJ317-(+AJ317*AB319)),IF(Y319="Probabilidad",AJ318,""))),"")</f>
        <v/>
      </c>
      <c r="AK319" s="187" t="str">
        <f t="shared" si="395"/>
        <v/>
      </c>
      <c r="AL319" s="603"/>
      <c r="AM319" s="189"/>
      <c r="AN319" s="194"/>
      <c r="AO319" s="190"/>
      <c r="AP319" s="190"/>
      <c r="AQ319" s="191"/>
      <c r="AR319" s="194"/>
    </row>
    <row r="320" spans="1:44" s="605" customFormat="1" ht="69" hidden="1" customHeight="1" x14ac:dyDescent="0.25">
      <c r="A320" s="252"/>
      <c r="B320" s="246"/>
      <c r="C320" s="251"/>
      <c r="D320" s="251"/>
      <c r="E320" s="253"/>
      <c r="F320" s="254"/>
      <c r="G320" s="254"/>
      <c r="H320" s="255"/>
      <c r="I320" s="249"/>
      <c r="J320" s="249"/>
      <c r="K320" s="249"/>
      <c r="L320" s="249"/>
      <c r="M320" s="253"/>
      <c r="N320" s="251"/>
      <c r="O320" s="256"/>
      <c r="P320" s="610"/>
      <c r="Q320" s="611"/>
      <c r="R320" s="611"/>
      <c r="S320" s="611">
        <f ca="1">IF(NOT(ISERROR(MATCH(R320,_xlfn.ANCHORARRAY(H331),0))),Q333&amp;"Por favor no seleccionar los criterios de impacto",R320)</f>
        <v>0</v>
      </c>
      <c r="T320" s="610"/>
      <c r="U320" s="611"/>
      <c r="V320" s="252"/>
      <c r="W320" s="194">
        <v>4</v>
      </c>
      <c r="X320" s="192"/>
      <c r="Y320" s="194" t="str">
        <f t="shared" si="391"/>
        <v/>
      </c>
      <c r="Z320" s="188"/>
      <c r="AA320" s="188"/>
      <c r="AB320" s="185" t="str">
        <f t="shared" si="398"/>
        <v/>
      </c>
      <c r="AC320" s="188"/>
      <c r="AD320" s="188"/>
      <c r="AE320" s="188"/>
      <c r="AF320" s="602" t="str">
        <f t="shared" si="424"/>
        <v/>
      </c>
      <c r="AG320" s="186" t="str">
        <f t="shared" si="392"/>
        <v/>
      </c>
      <c r="AH320" s="185" t="str">
        <f t="shared" si="393"/>
        <v/>
      </c>
      <c r="AI320" s="186" t="str">
        <f t="shared" si="394"/>
        <v/>
      </c>
      <c r="AJ320" s="185" t="str">
        <f t="shared" si="426"/>
        <v/>
      </c>
      <c r="AK320" s="187" t="str">
        <f t="shared" si="395"/>
        <v/>
      </c>
      <c r="AL320" s="603"/>
      <c r="AM320" s="189"/>
      <c r="AN320" s="194"/>
      <c r="AO320" s="190"/>
      <c r="AP320" s="190"/>
      <c r="AQ320" s="191"/>
      <c r="AR320" s="194"/>
    </row>
    <row r="321" spans="1:44" s="605" customFormat="1" ht="69" hidden="1" customHeight="1" x14ac:dyDescent="0.25">
      <c r="A321" s="252"/>
      <c r="B321" s="246"/>
      <c r="C321" s="251"/>
      <c r="D321" s="251"/>
      <c r="E321" s="253"/>
      <c r="F321" s="254"/>
      <c r="G321" s="254"/>
      <c r="H321" s="255"/>
      <c r="I321" s="249"/>
      <c r="J321" s="249"/>
      <c r="K321" s="249"/>
      <c r="L321" s="249"/>
      <c r="M321" s="253"/>
      <c r="N321" s="251"/>
      <c r="O321" s="256"/>
      <c r="P321" s="610"/>
      <c r="Q321" s="611"/>
      <c r="R321" s="611"/>
      <c r="S321" s="611">
        <f ca="1">IF(NOT(ISERROR(MATCH(R321,_xlfn.ANCHORARRAY(H332),0))),Q334&amp;"Por favor no seleccionar los criterios de impacto",R321)</f>
        <v>0</v>
      </c>
      <c r="T321" s="610"/>
      <c r="U321" s="611"/>
      <c r="V321" s="252"/>
      <c r="W321" s="194">
        <v>5</v>
      </c>
      <c r="X321" s="192"/>
      <c r="Y321" s="194" t="str">
        <f t="shared" si="391"/>
        <v/>
      </c>
      <c r="Z321" s="188"/>
      <c r="AA321" s="188"/>
      <c r="AB321" s="185" t="str">
        <f t="shared" si="398"/>
        <v/>
      </c>
      <c r="AC321" s="188"/>
      <c r="AD321" s="188"/>
      <c r="AE321" s="188"/>
      <c r="AF321" s="602" t="str">
        <f t="shared" si="424"/>
        <v/>
      </c>
      <c r="AG321" s="186" t="str">
        <f t="shared" si="392"/>
        <v/>
      </c>
      <c r="AH321" s="185" t="str">
        <f t="shared" si="393"/>
        <v/>
      </c>
      <c r="AI321" s="186" t="str">
        <f t="shared" si="394"/>
        <v/>
      </c>
      <c r="AJ321" s="185" t="str">
        <f t="shared" si="426"/>
        <v/>
      </c>
      <c r="AK321" s="187" t="str">
        <f t="shared" si="395"/>
        <v/>
      </c>
      <c r="AL321" s="603"/>
      <c r="AM321" s="189"/>
      <c r="AN321" s="194"/>
      <c r="AO321" s="190"/>
      <c r="AP321" s="190"/>
      <c r="AQ321" s="191"/>
      <c r="AR321" s="194"/>
    </row>
    <row r="322" spans="1:44" s="605" customFormat="1" ht="69" hidden="1" customHeight="1" x14ac:dyDescent="0.25">
      <c r="A322" s="252"/>
      <c r="B322" s="247"/>
      <c r="C322" s="239"/>
      <c r="D322" s="239"/>
      <c r="E322" s="253"/>
      <c r="F322" s="254"/>
      <c r="G322" s="254"/>
      <c r="H322" s="255"/>
      <c r="I322" s="250"/>
      <c r="J322" s="250"/>
      <c r="K322" s="250"/>
      <c r="L322" s="250"/>
      <c r="M322" s="253"/>
      <c r="N322" s="239"/>
      <c r="O322" s="256"/>
      <c r="P322" s="610"/>
      <c r="Q322" s="611"/>
      <c r="R322" s="611"/>
      <c r="S322" s="611">
        <f ca="1">IF(NOT(ISERROR(MATCH(R322,_xlfn.ANCHORARRAY(H333),0))),Q335&amp;"Por favor no seleccionar los criterios de impacto",R322)</f>
        <v>0</v>
      </c>
      <c r="T322" s="610"/>
      <c r="U322" s="611"/>
      <c r="V322" s="252"/>
      <c r="W322" s="194">
        <v>6</v>
      </c>
      <c r="X322" s="192"/>
      <c r="Y322" s="194" t="str">
        <f t="shared" si="391"/>
        <v/>
      </c>
      <c r="Z322" s="188"/>
      <c r="AA322" s="188"/>
      <c r="AB322" s="185" t="str">
        <f t="shared" si="398"/>
        <v/>
      </c>
      <c r="AC322" s="188"/>
      <c r="AD322" s="188"/>
      <c r="AE322" s="188"/>
      <c r="AF322" s="602" t="str">
        <f t="shared" si="424"/>
        <v/>
      </c>
      <c r="AG322" s="186" t="str">
        <f t="shared" si="392"/>
        <v/>
      </c>
      <c r="AH322" s="185" t="str">
        <f t="shared" si="393"/>
        <v/>
      </c>
      <c r="AI322" s="186" t="str">
        <f t="shared" si="394"/>
        <v/>
      </c>
      <c r="AJ322" s="185" t="str">
        <f t="shared" si="426"/>
        <v/>
      </c>
      <c r="AK322" s="187" t="str">
        <f t="shared" si="395"/>
        <v/>
      </c>
      <c r="AL322" s="603"/>
      <c r="AM322" s="189"/>
      <c r="AN322" s="194"/>
      <c r="AO322" s="190"/>
      <c r="AP322" s="190"/>
      <c r="AQ322" s="191"/>
      <c r="AR322" s="194"/>
    </row>
    <row r="323" spans="1:44" s="605" customFormat="1" ht="116.25" customHeight="1" x14ac:dyDescent="0.25">
      <c r="A323" s="252">
        <v>52</v>
      </c>
      <c r="B323" s="268" t="s">
        <v>867</v>
      </c>
      <c r="C323" s="238" t="s">
        <v>279</v>
      </c>
      <c r="D323" s="245" t="s">
        <v>868</v>
      </c>
      <c r="E323" s="253" t="s">
        <v>243</v>
      </c>
      <c r="F323" s="254" t="s">
        <v>869</v>
      </c>
      <c r="G323" s="254" t="s">
        <v>870</v>
      </c>
      <c r="H323" s="255" t="s">
        <v>871</v>
      </c>
      <c r="I323" s="248" t="s">
        <v>480</v>
      </c>
      <c r="J323" s="248" t="s">
        <v>480</v>
      </c>
      <c r="K323" s="248" t="s">
        <v>480</v>
      </c>
      <c r="L323" s="248" t="s">
        <v>480</v>
      </c>
      <c r="M323" s="253" t="s">
        <v>245</v>
      </c>
      <c r="N323" s="238"/>
      <c r="O323" s="256">
        <v>1095</v>
      </c>
      <c r="P323" s="610" t="str">
        <f>IF(O323&lt;=0,"",IF(O323&lt;=2,"Muy Baja",IF(O323&lt;=24,"Baja",IF(O323&lt;=500,"Media",IF(O323&lt;=5000,"Alta","Muy Alta")))))</f>
        <v>Alta</v>
      </c>
      <c r="Q323" s="611">
        <f>IF(P323="","",IF(P323="Muy Baja",0.2,IF(P323="Baja",0.4,IF(P323="Media",0.6,IF(P323="Alta",0.8,IF(P323="Muy Alta",1,))))))</f>
        <v>0.8</v>
      </c>
      <c r="R323" s="611" t="s">
        <v>189</v>
      </c>
      <c r="S323" s="611" t="str">
        <f ca="1">IF(NOT(ISERROR(MATCH(R323,'Tabla Impacto'!$B$221:$B$223,0))),'Tabla Impacto'!$F$223&amp;"Por favor no seleccionar los criterios de impacto(Afectación Económica o presupuestal y Pérdida Reputacional)",R323)</f>
        <v xml:space="preserve">Entre 10 y 50 SMLMV </v>
      </c>
      <c r="T323" s="610" t="str">
        <f ca="1">+IF(OR(S323='[1]Tabla Impacto'!$C$11,S323='[1]Tabla Impacto'!$D$11),"Leve",IF(OR(S323='[1]Tabla Impacto'!$C$12,S323='[1]Tabla Impacto'!$D$12),"Menor",IF(OR(S323='[1]Tabla Impacto'!$C$13,S323='[1]Tabla Impacto'!$D$13),"Moderado",IF(OR(S323='[1]Tabla Impacto'!$C$14,S323='[1]Tabla Impacto'!$D$14),"Mayor",IF(OR(S323='[1]Tabla Impacto'!$C$15,S323='[1]Tabla Impacto'!$D$15),"Catastrófico","")))))</f>
        <v>Menor</v>
      </c>
      <c r="U323" s="611">
        <f t="shared" ref="U323" ca="1" si="427">IF(T323="","",IF(T323="Leve",0.2,IF(T323="Menor",0.4,IF(T323="Moderado",0.6,IF(T323="Mayor",0.8,IF(T323="Catastrófico",1,))))))</f>
        <v>0.4</v>
      </c>
      <c r="V323" s="252" t="str">
        <f t="shared" ref="V323" ca="1" si="428">IF(OR(AND(P323="Muy Baja",T323="Leve"),AND(P323="Muy Baja",T323="Menor"),AND(P323="Baja",T323="Leve")),"Bajo",IF(OR(AND(P323="Muy baja",T323="Moderado"),AND(P323="Baja",T323="Menor"),AND(P323="Baja",T323="Moderado"),AND(P323="Media",T323="Leve"),AND(P323="Media",T323="Menor"),AND(P323="Media",T323="Moderado"),AND(P323="Alta",T323="Leve"),AND(P323="Alta",T323="Menor")),"Moderado",IF(OR(AND(P323="Muy Baja",T323="Mayor"),AND(P323="Baja",T323="Mayor"),AND(P323="Media",T323="Mayor"),AND(P323="Alta",T323="Moderado"),AND(P323="Alta",T323="Mayor"),AND(P323="Muy Alta",T323="Leve"),AND(P323="Muy Alta",T323="Menor"),AND(P323="Muy Alta",T323="Moderado"),AND(P323="Muy Alta",T323="Mayor")),"Alto",IF(OR(AND(P323="Muy Baja",T323="Catastrófico"),AND(P323="Baja",T323="Catastrófico"),AND(P323="Media",T323="Catastrófico"),AND(P323="Alta",T323="Catastrófico"),AND(P323="Muy Alta",T323="Catastrófico")),"Extremo",""))))</f>
        <v>Moderado</v>
      </c>
      <c r="W323" s="194">
        <v>1</v>
      </c>
      <c r="X323" s="192" t="s">
        <v>872</v>
      </c>
      <c r="Y323" s="194" t="str">
        <f t="shared" si="391"/>
        <v>Probabilidad</v>
      </c>
      <c r="Z323" s="188" t="s">
        <v>211</v>
      </c>
      <c r="AA323" s="188" t="s">
        <v>219</v>
      </c>
      <c r="AB323" s="185" t="str">
        <f>IF(AND(Z323="Preventivo",AA323="Automático"),"50%",IF(AND(Z323="Preventivo",AA323="Manual"),"40%",IF(AND(Z323="Detectivo",AA323="Automático"),"40%",IF(AND(Z323="Detectivo",AA323="Manual"),"30%",IF(AND(Z323="Correctivo",AA323="Automático"),"35%",IF(AND(Z323="Correctivo",AA323="Manual"),"25%",""))))))</f>
        <v>40%</v>
      </c>
      <c r="AC323" s="188" t="s">
        <v>222</v>
      </c>
      <c r="AD323" s="188" t="s">
        <v>227</v>
      </c>
      <c r="AE323" s="188" t="s">
        <v>231</v>
      </c>
      <c r="AF323" s="602">
        <f t="shared" ref="AF323" si="429">IFERROR(IF(Y323="Probabilidad",(Q323-(+Q323*AB323)),IF(Y323="Impacto",Q323,"")),"")</f>
        <v>0.48</v>
      </c>
      <c r="AG323" s="186" t="str">
        <f t="shared" si="392"/>
        <v>Media</v>
      </c>
      <c r="AH323" s="185">
        <f t="shared" si="393"/>
        <v>0.48</v>
      </c>
      <c r="AI323" s="186" t="str">
        <f t="shared" ca="1" si="394"/>
        <v>Menor</v>
      </c>
      <c r="AJ323" s="185">
        <f t="shared" ref="AJ323" ca="1" si="430">IFERROR(IF(Y323="Impacto",(U323-(+U323*AB323)),IF(Y323="Probabilidad",U323,"")),"")</f>
        <v>0.4</v>
      </c>
      <c r="AK323" s="187" t="str">
        <f t="shared" ca="1" si="395"/>
        <v>Moderado</v>
      </c>
      <c r="AL323" s="603" t="s">
        <v>258</v>
      </c>
      <c r="AM323" s="189"/>
      <c r="AN323" s="194"/>
      <c r="AO323" s="190"/>
      <c r="AP323" s="190"/>
      <c r="AQ323" s="191"/>
      <c r="AR323" s="194"/>
    </row>
    <row r="324" spans="1:44" s="605" customFormat="1" ht="141.75" x14ac:dyDescent="0.25">
      <c r="A324" s="252"/>
      <c r="B324" s="264"/>
      <c r="C324" s="251"/>
      <c r="D324" s="246"/>
      <c r="E324" s="253"/>
      <c r="F324" s="254"/>
      <c r="G324" s="254"/>
      <c r="H324" s="255"/>
      <c r="I324" s="249"/>
      <c r="J324" s="249"/>
      <c r="K324" s="249"/>
      <c r="L324" s="249"/>
      <c r="M324" s="253"/>
      <c r="N324" s="251"/>
      <c r="O324" s="256"/>
      <c r="P324" s="610"/>
      <c r="Q324" s="611"/>
      <c r="R324" s="611"/>
      <c r="S324" s="611">
        <f ca="1">IF(NOT(ISERROR(MATCH(R324,_xlfn.ANCHORARRAY(H335),0))),Q337&amp;"Por favor no seleccionar los criterios de impacto",R324)</f>
        <v>0</v>
      </c>
      <c r="T324" s="610"/>
      <c r="U324" s="611"/>
      <c r="V324" s="252"/>
      <c r="W324" s="194">
        <v>2</v>
      </c>
      <c r="X324" s="192" t="s">
        <v>873</v>
      </c>
      <c r="Y324" s="194" t="str">
        <f t="shared" si="391"/>
        <v>Probabilidad</v>
      </c>
      <c r="Z324" s="188" t="s">
        <v>211</v>
      </c>
      <c r="AA324" s="188" t="s">
        <v>219</v>
      </c>
      <c r="AB324" s="185" t="str">
        <f>IF(AND(Z324="Preventivo",AA324="Automático"),"50%",IF(AND(Z324="Preventivo",AA324="Manual"),"40%",IF(AND(Z324="Detectivo",AA324="Automático"),"40%",IF(AND(Z324="Detectivo",AA324="Manual"),"30%",IF(AND(Z324="Correctivo",AA324="Automático"),"35%",IF(AND(Z324="Correctivo",AA324="Manual"),"25%",""))))))</f>
        <v>40%</v>
      </c>
      <c r="AC324" s="188" t="s">
        <v>222</v>
      </c>
      <c r="AD324" s="188" t="s">
        <v>227</v>
      </c>
      <c r="AE324" s="188" t="s">
        <v>231</v>
      </c>
      <c r="AF324" s="602">
        <f t="shared" ref="AF324:AF328" si="431">IFERROR(IF(AND(Y323="Probabilidad",Y324="Probabilidad"),(AH323-(+AH323*AB324)),IF(Y324="Probabilidad",(Q323-(+Q323*AB324)),IF(Y324="Impacto",AH323,""))),"")</f>
        <v>0.28799999999999998</v>
      </c>
      <c r="AG324" s="186" t="str">
        <f t="shared" si="392"/>
        <v>Baja</v>
      </c>
      <c r="AH324" s="185">
        <f t="shared" si="393"/>
        <v>0.28799999999999998</v>
      </c>
      <c r="AI324" s="186" t="str">
        <f t="shared" ca="1" si="394"/>
        <v>Menor</v>
      </c>
      <c r="AJ324" s="185">
        <f t="shared" ref="AJ324" ca="1" si="432">IFERROR(IF(AND(Y323="Impacto",Y324="Impacto"),(AJ323-(+AJ323*AB324)),IF(Y324="Impacto",(U323-(+U323*AB324)),IF(Y324="Probabilidad",AJ323,""))),"")</f>
        <v>0.4</v>
      </c>
      <c r="AK324" s="187" t="str">
        <f t="shared" ca="1" si="395"/>
        <v>Moderado</v>
      </c>
      <c r="AL324" s="603" t="s">
        <v>258</v>
      </c>
      <c r="AM324" s="189"/>
      <c r="AN324" s="194"/>
      <c r="AO324" s="190"/>
      <c r="AP324" s="190"/>
      <c r="AQ324" s="191"/>
      <c r="AR324" s="194"/>
    </row>
    <row r="325" spans="1:44" s="605" customFormat="1" ht="69" hidden="1" customHeight="1" x14ac:dyDescent="0.25">
      <c r="A325" s="252"/>
      <c r="B325" s="264"/>
      <c r="C325" s="251"/>
      <c r="D325" s="246"/>
      <c r="E325" s="253"/>
      <c r="F325" s="254"/>
      <c r="G325" s="254"/>
      <c r="H325" s="255"/>
      <c r="I325" s="249"/>
      <c r="J325" s="249"/>
      <c r="K325" s="249"/>
      <c r="L325" s="249"/>
      <c r="M325" s="253"/>
      <c r="N325" s="251"/>
      <c r="O325" s="256"/>
      <c r="P325" s="610"/>
      <c r="Q325" s="611"/>
      <c r="R325" s="611"/>
      <c r="S325" s="611">
        <f ca="1">IF(NOT(ISERROR(MATCH(R325,_xlfn.ANCHORARRAY(H336),0))),Q338&amp;"Por favor no seleccionar los criterios de impacto",R325)</f>
        <v>0</v>
      </c>
      <c r="T325" s="610"/>
      <c r="U325" s="611"/>
      <c r="V325" s="252"/>
      <c r="W325" s="194">
        <v>3</v>
      </c>
      <c r="X325" s="192"/>
      <c r="Y325" s="194" t="str">
        <f t="shared" si="391"/>
        <v/>
      </c>
      <c r="Z325" s="188"/>
      <c r="AA325" s="188"/>
      <c r="AB325" s="185" t="str">
        <f t="shared" si="398"/>
        <v/>
      </c>
      <c r="AC325" s="188"/>
      <c r="AD325" s="188"/>
      <c r="AE325" s="188"/>
      <c r="AF325" s="602" t="str">
        <f t="shared" si="431"/>
        <v/>
      </c>
      <c r="AG325" s="186" t="str">
        <f t="shared" si="392"/>
        <v/>
      </c>
      <c r="AH325" s="185" t="str">
        <f t="shared" si="393"/>
        <v/>
      </c>
      <c r="AI325" s="186" t="str">
        <f t="shared" si="394"/>
        <v/>
      </c>
      <c r="AJ325" s="185" t="str">
        <f t="shared" ref="AJ325:AJ328" si="433">IFERROR(IF(AND(Y324="Impacto",Y325="Impacto"),(AJ324-(+AJ324*AB325)),IF(AND(Y324="Probabilidad",Y325="Impacto"),(AJ323-(+AJ323*AB325)),IF(Y325="Probabilidad",AJ324,""))),"")</f>
        <v/>
      </c>
      <c r="AK325" s="187" t="str">
        <f t="shared" si="395"/>
        <v/>
      </c>
      <c r="AL325" s="603"/>
      <c r="AM325" s="189"/>
      <c r="AN325" s="194"/>
      <c r="AO325" s="190"/>
      <c r="AP325" s="190"/>
      <c r="AQ325" s="191"/>
      <c r="AR325" s="194"/>
    </row>
    <row r="326" spans="1:44" s="605" customFormat="1" ht="69" hidden="1" customHeight="1" x14ac:dyDescent="0.25">
      <c r="A326" s="252"/>
      <c r="B326" s="264"/>
      <c r="C326" s="251"/>
      <c r="D326" s="246"/>
      <c r="E326" s="253"/>
      <c r="F326" s="254"/>
      <c r="G326" s="254"/>
      <c r="H326" s="255"/>
      <c r="I326" s="249"/>
      <c r="J326" s="249"/>
      <c r="K326" s="249"/>
      <c r="L326" s="249"/>
      <c r="M326" s="253"/>
      <c r="N326" s="251"/>
      <c r="O326" s="256"/>
      <c r="P326" s="610"/>
      <c r="Q326" s="611"/>
      <c r="R326" s="611"/>
      <c r="S326" s="611">
        <f ca="1">IF(NOT(ISERROR(MATCH(R326,_xlfn.ANCHORARRAY(H337),0))),Q339&amp;"Por favor no seleccionar los criterios de impacto",R326)</f>
        <v>0</v>
      </c>
      <c r="T326" s="610"/>
      <c r="U326" s="611"/>
      <c r="V326" s="252"/>
      <c r="W326" s="194">
        <v>4</v>
      </c>
      <c r="X326" s="192"/>
      <c r="Y326" s="194" t="str">
        <f t="shared" si="391"/>
        <v/>
      </c>
      <c r="Z326" s="188"/>
      <c r="AA326" s="188"/>
      <c r="AB326" s="185" t="str">
        <f t="shared" si="398"/>
        <v/>
      </c>
      <c r="AC326" s="188"/>
      <c r="AD326" s="188"/>
      <c r="AE326" s="188"/>
      <c r="AF326" s="602" t="str">
        <f t="shared" si="431"/>
        <v/>
      </c>
      <c r="AG326" s="186" t="str">
        <f t="shared" si="392"/>
        <v/>
      </c>
      <c r="AH326" s="185" t="str">
        <f t="shared" si="393"/>
        <v/>
      </c>
      <c r="AI326" s="186" t="str">
        <f t="shared" si="394"/>
        <v/>
      </c>
      <c r="AJ326" s="185" t="str">
        <f t="shared" si="433"/>
        <v/>
      </c>
      <c r="AK326" s="187" t="str">
        <f t="shared" si="395"/>
        <v/>
      </c>
      <c r="AL326" s="603"/>
      <c r="AM326" s="189"/>
      <c r="AN326" s="194"/>
      <c r="AO326" s="190"/>
      <c r="AP326" s="190"/>
      <c r="AQ326" s="191"/>
      <c r="AR326" s="194"/>
    </row>
    <row r="327" spans="1:44" s="605" customFormat="1" ht="69" hidden="1" customHeight="1" x14ac:dyDescent="0.25">
      <c r="A327" s="252"/>
      <c r="B327" s="264"/>
      <c r="C327" s="251"/>
      <c r="D327" s="246"/>
      <c r="E327" s="253"/>
      <c r="F327" s="254"/>
      <c r="G327" s="254"/>
      <c r="H327" s="255"/>
      <c r="I327" s="249"/>
      <c r="J327" s="249"/>
      <c r="K327" s="249"/>
      <c r="L327" s="249"/>
      <c r="M327" s="253"/>
      <c r="N327" s="251"/>
      <c r="O327" s="256"/>
      <c r="P327" s="610"/>
      <c r="Q327" s="611"/>
      <c r="R327" s="611"/>
      <c r="S327" s="611">
        <f ca="1">IF(NOT(ISERROR(MATCH(R327,_xlfn.ANCHORARRAY(H338),0))),Q340&amp;"Por favor no seleccionar los criterios de impacto",R327)</f>
        <v>0</v>
      </c>
      <c r="T327" s="610"/>
      <c r="U327" s="611"/>
      <c r="V327" s="252"/>
      <c r="W327" s="194">
        <v>5</v>
      </c>
      <c r="X327" s="192"/>
      <c r="Y327" s="194" t="str">
        <f t="shared" si="391"/>
        <v/>
      </c>
      <c r="Z327" s="188"/>
      <c r="AA327" s="188"/>
      <c r="AB327" s="185" t="str">
        <f t="shared" si="398"/>
        <v/>
      </c>
      <c r="AC327" s="188"/>
      <c r="AD327" s="188"/>
      <c r="AE327" s="188"/>
      <c r="AF327" s="602" t="str">
        <f t="shared" si="431"/>
        <v/>
      </c>
      <c r="AG327" s="186" t="str">
        <f t="shared" si="392"/>
        <v/>
      </c>
      <c r="AH327" s="185" t="str">
        <f t="shared" si="393"/>
        <v/>
      </c>
      <c r="AI327" s="186" t="str">
        <f t="shared" si="394"/>
        <v/>
      </c>
      <c r="AJ327" s="185" t="str">
        <f t="shared" si="433"/>
        <v/>
      </c>
      <c r="AK327" s="187" t="str">
        <f t="shared" si="395"/>
        <v/>
      </c>
      <c r="AL327" s="603"/>
      <c r="AM327" s="189"/>
      <c r="AN327" s="194"/>
      <c r="AO327" s="190"/>
      <c r="AP327" s="190"/>
      <c r="AQ327" s="191"/>
      <c r="AR327" s="194"/>
    </row>
    <row r="328" spans="1:44" s="605" customFormat="1" ht="69" hidden="1" customHeight="1" x14ac:dyDescent="0.25">
      <c r="A328" s="252"/>
      <c r="B328" s="265"/>
      <c r="C328" s="239"/>
      <c r="D328" s="247"/>
      <c r="E328" s="253"/>
      <c r="F328" s="254"/>
      <c r="G328" s="254"/>
      <c r="H328" s="255"/>
      <c r="I328" s="250"/>
      <c r="J328" s="250"/>
      <c r="K328" s="250"/>
      <c r="L328" s="250"/>
      <c r="M328" s="253"/>
      <c r="N328" s="239"/>
      <c r="O328" s="256"/>
      <c r="P328" s="610"/>
      <c r="Q328" s="611"/>
      <c r="R328" s="611"/>
      <c r="S328" s="611">
        <f ca="1">IF(NOT(ISERROR(MATCH(R328,_xlfn.ANCHORARRAY(H339),0))),Q341&amp;"Por favor no seleccionar los criterios de impacto",R328)</f>
        <v>0</v>
      </c>
      <c r="T328" s="610"/>
      <c r="U328" s="611"/>
      <c r="V328" s="252"/>
      <c r="W328" s="194">
        <v>6</v>
      </c>
      <c r="X328" s="192"/>
      <c r="Y328" s="194" t="str">
        <f t="shared" si="391"/>
        <v/>
      </c>
      <c r="Z328" s="188"/>
      <c r="AA328" s="188"/>
      <c r="AB328" s="185" t="str">
        <f t="shared" si="398"/>
        <v/>
      </c>
      <c r="AC328" s="188"/>
      <c r="AD328" s="188"/>
      <c r="AE328" s="188"/>
      <c r="AF328" s="602" t="str">
        <f t="shared" si="431"/>
        <v/>
      </c>
      <c r="AG328" s="186" t="str">
        <f t="shared" si="392"/>
        <v/>
      </c>
      <c r="AH328" s="185" t="str">
        <f t="shared" si="393"/>
        <v/>
      </c>
      <c r="AI328" s="186" t="str">
        <f t="shared" si="394"/>
        <v/>
      </c>
      <c r="AJ328" s="185" t="str">
        <f t="shared" si="433"/>
        <v/>
      </c>
      <c r="AK328" s="187" t="str">
        <f t="shared" si="395"/>
        <v/>
      </c>
      <c r="AL328" s="603"/>
      <c r="AM328" s="189"/>
      <c r="AN328" s="194"/>
      <c r="AO328" s="190"/>
      <c r="AP328" s="190"/>
      <c r="AQ328" s="191"/>
      <c r="AR328" s="194"/>
    </row>
    <row r="329" spans="1:44" s="605" customFormat="1" ht="101.25" x14ac:dyDescent="0.25">
      <c r="A329" s="252">
        <v>53</v>
      </c>
      <c r="B329" s="268" t="s">
        <v>874</v>
      </c>
      <c r="C329" s="238" t="s">
        <v>279</v>
      </c>
      <c r="D329" s="238" t="s">
        <v>875</v>
      </c>
      <c r="E329" s="253" t="s">
        <v>243</v>
      </c>
      <c r="F329" s="254" t="s">
        <v>876</v>
      </c>
      <c r="G329" s="254" t="s">
        <v>877</v>
      </c>
      <c r="H329" s="255" t="s">
        <v>878</v>
      </c>
      <c r="I329" s="248" t="s">
        <v>480</v>
      </c>
      <c r="J329" s="248" t="s">
        <v>480</v>
      </c>
      <c r="K329" s="248" t="s">
        <v>480</v>
      </c>
      <c r="L329" s="248" t="s">
        <v>480</v>
      </c>
      <c r="M329" s="253" t="s">
        <v>242</v>
      </c>
      <c r="N329" s="238"/>
      <c r="O329" s="256">
        <v>365</v>
      </c>
      <c r="P329" s="610" t="str">
        <f>IF(O329&lt;=0,"",IF(O329&lt;=2,"Muy Baja",IF(O329&lt;=24,"Baja",IF(O329&lt;=500,"Media",IF(O329&lt;=5000,"Alta","Muy Alta")))))</f>
        <v>Media</v>
      </c>
      <c r="Q329" s="611">
        <f>IF(P329="","",IF(P329="Muy Baja",0.2,IF(P329="Baja",0.4,IF(P329="Media",0.6,IF(P329="Alta",0.8,IF(P329="Muy Alta",1,))))))</f>
        <v>0.6</v>
      </c>
      <c r="R329" s="611" t="s">
        <v>189</v>
      </c>
      <c r="S329" s="611" t="str">
        <f ca="1">IF(NOT(ISERROR(MATCH(R329,'Tabla Impacto'!$B$221:$B$223,0))),'Tabla Impacto'!$F$223&amp;"Por favor no seleccionar los criterios de impacto(Afectación Económica o presupuestal y Pérdida Reputacional)",R329)</f>
        <v xml:space="preserve">Entre 10 y 50 SMLMV </v>
      </c>
      <c r="T329" s="610" t="str">
        <f ca="1">+IF(OR(S329='[1]Tabla Impacto'!$C$11,S329='[1]Tabla Impacto'!$D$11),"Leve",IF(OR(S329='[1]Tabla Impacto'!$C$12,S329='[1]Tabla Impacto'!$D$12),"Menor",IF(OR(S329='[1]Tabla Impacto'!$C$13,S329='[1]Tabla Impacto'!$D$13),"Moderado",IF(OR(S329='[1]Tabla Impacto'!$C$14,S329='[1]Tabla Impacto'!$D$14),"Mayor",IF(OR(S329='[1]Tabla Impacto'!$C$15,S329='[1]Tabla Impacto'!$D$15),"Catastrófico","")))))</f>
        <v>Menor</v>
      </c>
      <c r="U329" s="611">
        <f t="shared" ref="U329" ca="1" si="434">IF(T329="","",IF(T329="Leve",0.2,IF(T329="Menor",0.4,IF(T329="Moderado",0.6,IF(T329="Mayor",0.8,IF(T329="Catastrófico",1,))))))</f>
        <v>0.4</v>
      </c>
      <c r="V329" s="252" t="str">
        <f t="shared" ref="V329" ca="1" si="435">IF(OR(AND(P329="Muy Baja",T329="Leve"),AND(P329="Muy Baja",T329="Menor"),AND(P329="Baja",T329="Leve")),"Bajo",IF(OR(AND(P329="Muy baja",T329="Moderado"),AND(P329="Baja",T329="Menor"),AND(P329="Baja",T329="Moderado"),AND(P329="Media",T329="Leve"),AND(P329="Media",T329="Menor"),AND(P329="Media",T329="Moderado"),AND(P329="Alta",T329="Leve"),AND(P329="Alta",T329="Menor")),"Moderado",IF(OR(AND(P329="Muy Baja",T329="Mayor"),AND(P329="Baja",T329="Mayor"),AND(P329="Media",T329="Mayor"),AND(P329="Alta",T329="Moderado"),AND(P329="Alta",T329="Mayor"),AND(P329="Muy Alta",T329="Leve"),AND(P329="Muy Alta",T329="Menor"),AND(P329="Muy Alta",T329="Moderado"),AND(P329="Muy Alta",T329="Mayor")),"Alto",IF(OR(AND(P329="Muy Baja",T329="Catastrófico"),AND(P329="Baja",T329="Catastrófico"),AND(P329="Media",T329="Catastrófico"),AND(P329="Alta",T329="Catastrófico"),AND(P329="Muy Alta",T329="Catastrófico")),"Extremo",""))))</f>
        <v>Moderado</v>
      </c>
      <c r="W329" s="194">
        <v>1</v>
      </c>
      <c r="X329" s="192" t="s">
        <v>879</v>
      </c>
      <c r="Y329" s="194" t="str">
        <f t="shared" si="391"/>
        <v>Probabilidad</v>
      </c>
      <c r="Z329" s="188" t="s">
        <v>211</v>
      </c>
      <c r="AA329" s="188" t="s">
        <v>219</v>
      </c>
      <c r="AB329" s="185" t="str">
        <f>IF(AND(Z329="Preventivo",AA329="Automático"),"50%",IF(AND(Z329="Preventivo",AA329="Manual"),"40%",IF(AND(Z329="Detectivo",AA329="Automático"),"40%",IF(AND(Z329="Detectivo",AA329="Manual"),"30%",IF(AND(Z329="Correctivo",AA329="Automático"),"35%",IF(AND(Z329="Correctivo",AA329="Manual"),"25%",""))))))</f>
        <v>40%</v>
      </c>
      <c r="AC329" s="188" t="s">
        <v>222</v>
      </c>
      <c r="AD329" s="188" t="s">
        <v>227</v>
      </c>
      <c r="AE329" s="188" t="s">
        <v>231</v>
      </c>
      <c r="AF329" s="602">
        <f t="shared" ref="AF329" si="436">IFERROR(IF(Y329="Probabilidad",(Q329-(+Q329*AB329)),IF(Y329="Impacto",Q329,"")),"")</f>
        <v>0.36</v>
      </c>
      <c r="AG329" s="186" t="str">
        <f t="shared" si="392"/>
        <v>Baja</v>
      </c>
      <c r="AH329" s="185">
        <f t="shared" si="393"/>
        <v>0.36</v>
      </c>
      <c r="AI329" s="186" t="str">
        <f t="shared" ca="1" si="394"/>
        <v>Menor</v>
      </c>
      <c r="AJ329" s="185">
        <f t="shared" ref="AJ329" ca="1" si="437">IFERROR(IF(Y329="Impacto",(U329-(+U329*AB329)),IF(Y329="Probabilidad",U329,"")),"")</f>
        <v>0.4</v>
      </c>
      <c r="AK329" s="187" t="str">
        <f t="shared" ca="1" si="395"/>
        <v>Moderado</v>
      </c>
      <c r="AL329" s="603" t="s">
        <v>258</v>
      </c>
      <c r="AM329" s="189"/>
      <c r="AN329" s="194"/>
      <c r="AO329" s="190"/>
      <c r="AP329" s="190"/>
      <c r="AQ329" s="191"/>
      <c r="AR329" s="194"/>
    </row>
    <row r="330" spans="1:44" s="605" customFormat="1" ht="139.5" customHeight="1" x14ac:dyDescent="0.25">
      <c r="A330" s="252"/>
      <c r="B330" s="264"/>
      <c r="C330" s="251"/>
      <c r="D330" s="251"/>
      <c r="E330" s="253"/>
      <c r="F330" s="254"/>
      <c r="G330" s="254"/>
      <c r="H330" s="255"/>
      <c r="I330" s="249"/>
      <c r="J330" s="249"/>
      <c r="K330" s="249"/>
      <c r="L330" s="249"/>
      <c r="M330" s="253"/>
      <c r="N330" s="251"/>
      <c r="O330" s="256"/>
      <c r="P330" s="610"/>
      <c r="Q330" s="611"/>
      <c r="R330" s="611"/>
      <c r="S330" s="611">
        <f ca="1">IF(NOT(ISERROR(MATCH(R330,_xlfn.ANCHORARRAY(H341),0))),Q343&amp;"Por favor no seleccionar los criterios de impacto",R330)</f>
        <v>0</v>
      </c>
      <c r="T330" s="610"/>
      <c r="U330" s="611"/>
      <c r="V330" s="252"/>
      <c r="W330" s="194">
        <v>2</v>
      </c>
      <c r="X330" s="192" t="s">
        <v>880</v>
      </c>
      <c r="Y330" s="194" t="str">
        <f t="shared" si="391"/>
        <v>Probabilidad</v>
      </c>
      <c r="Z330" s="188" t="s">
        <v>213</v>
      </c>
      <c r="AA330" s="188" t="s">
        <v>219</v>
      </c>
      <c r="AB330" s="185" t="str">
        <f>IF(AND(Z330="Preventivo",AA330="Automático"),"50%",IF(AND(Z330="Preventivo",AA330="Manual"),"40%",IF(AND(Z330="Detectivo",AA330="Automático"),"40%",IF(AND(Z330="Detectivo",AA330="Manual"),"30%",IF(AND(Z330="Correctivo",AA330="Automático"),"35%",IF(AND(Z330="Correctivo",AA330="Manual"),"25%",""))))))</f>
        <v>30%</v>
      </c>
      <c r="AC330" s="188" t="s">
        <v>222</v>
      </c>
      <c r="AD330" s="188" t="s">
        <v>227</v>
      </c>
      <c r="AE330" s="188" t="s">
        <v>231</v>
      </c>
      <c r="AF330" s="602">
        <f t="shared" ref="AF330:AF334" si="438">IFERROR(IF(AND(Y329="Probabilidad",Y330="Probabilidad"),(AH329-(+AH329*AB330)),IF(Y330="Probabilidad",(Q329-(+Q329*AB330)),IF(Y330="Impacto",AH329,""))),"")</f>
        <v>0.252</v>
      </c>
      <c r="AG330" s="186" t="str">
        <f t="shared" si="392"/>
        <v>Baja</v>
      </c>
      <c r="AH330" s="185">
        <f t="shared" si="393"/>
        <v>0.252</v>
      </c>
      <c r="AI330" s="186" t="str">
        <f t="shared" ca="1" si="394"/>
        <v>Menor</v>
      </c>
      <c r="AJ330" s="185">
        <f t="shared" ref="AJ330" ca="1" si="439">IFERROR(IF(AND(Y329="Impacto",Y330="Impacto"),(AJ329-(+AJ329*AB330)),IF(Y330="Impacto",(U329-(+U329*AB330)),IF(Y330="Probabilidad",AJ329,""))),"")</f>
        <v>0.4</v>
      </c>
      <c r="AK330" s="187" t="str">
        <f t="shared" ca="1" si="395"/>
        <v>Moderado</v>
      </c>
      <c r="AL330" s="603" t="s">
        <v>258</v>
      </c>
      <c r="AM330" s="189"/>
      <c r="AN330" s="194"/>
      <c r="AO330" s="190"/>
      <c r="AP330" s="190"/>
      <c r="AQ330" s="191"/>
      <c r="AR330" s="194"/>
    </row>
    <row r="331" spans="1:44" s="605" customFormat="1" ht="69" hidden="1" customHeight="1" x14ac:dyDescent="0.25">
      <c r="A331" s="252"/>
      <c r="B331" s="264"/>
      <c r="C331" s="251"/>
      <c r="D331" s="251"/>
      <c r="E331" s="253"/>
      <c r="F331" s="254"/>
      <c r="G331" s="254"/>
      <c r="H331" s="255"/>
      <c r="I331" s="249"/>
      <c r="J331" s="249"/>
      <c r="K331" s="249"/>
      <c r="L331" s="249"/>
      <c r="M331" s="253"/>
      <c r="N331" s="251"/>
      <c r="O331" s="256"/>
      <c r="P331" s="610"/>
      <c r="Q331" s="611"/>
      <c r="R331" s="611"/>
      <c r="S331" s="611">
        <f ca="1">IF(NOT(ISERROR(MATCH(R331,_xlfn.ANCHORARRAY(H342),0))),Q344&amp;"Por favor no seleccionar los criterios de impacto",R331)</f>
        <v>0</v>
      </c>
      <c r="T331" s="610"/>
      <c r="U331" s="611"/>
      <c r="V331" s="252"/>
      <c r="W331" s="194">
        <v>3</v>
      </c>
      <c r="X331" s="192"/>
      <c r="Y331" s="194" t="str">
        <f t="shared" si="391"/>
        <v/>
      </c>
      <c r="Z331" s="188"/>
      <c r="AA331" s="188"/>
      <c r="AB331" s="185" t="str">
        <f t="shared" si="398"/>
        <v/>
      </c>
      <c r="AC331" s="188"/>
      <c r="AD331" s="188"/>
      <c r="AE331" s="188"/>
      <c r="AF331" s="602" t="str">
        <f t="shared" si="438"/>
        <v/>
      </c>
      <c r="AG331" s="186" t="str">
        <f t="shared" si="392"/>
        <v/>
      </c>
      <c r="AH331" s="185" t="str">
        <f t="shared" si="393"/>
        <v/>
      </c>
      <c r="AI331" s="186" t="str">
        <f t="shared" si="394"/>
        <v/>
      </c>
      <c r="AJ331" s="185" t="str">
        <f t="shared" ref="AJ331:AJ334" si="440">IFERROR(IF(AND(Y330="Impacto",Y331="Impacto"),(AJ330-(+AJ330*AB331)),IF(AND(Y330="Probabilidad",Y331="Impacto"),(AJ329-(+AJ329*AB331)),IF(Y331="Probabilidad",AJ330,""))),"")</f>
        <v/>
      </c>
      <c r="AK331" s="187" t="str">
        <f t="shared" si="395"/>
        <v/>
      </c>
      <c r="AL331" s="603"/>
      <c r="AM331" s="189"/>
      <c r="AN331" s="194"/>
      <c r="AO331" s="190"/>
      <c r="AP331" s="190"/>
      <c r="AQ331" s="191"/>
      <c r="AR331" s="194"/>
    </row>
    <row r="332" spans="1:44" s="605" customFormat="1" ht="69" hidden="1" customHeight="1" x14ac:dyDescent="0.25">
      <c r="A332" s="252"/>
      <c r="B332" s="264"/>
      <c r="C332" s="251"/>
      <c r="D332" s="251"/>
      <c r="E332" s="253"/>
      <c r="F332" s="254"/>
      <c r="G332" s="254"/>
      <c r="H332" s="255"/>
      <c r="I332" s="249"/>
      <c r="J332" s="249"/>
      <c r="K332" s="249"/>
      <c r="L332" s="249"/>
      <c r="M332" s="253"/>
      <c r="N332" s="251"/>
      <c r="O332" s="256"/>
      <c r="P332" s="610"/>
      <c r="Q332" s="611"/>
      <c r="R332" s="611"/>
      <c r="S332" s="611">
        <f ca="1">IF(NOT(ISERROR(MATCH(R332,_xlfn.ANCHORARRAY(H343),0))),Q345&amp;"Por favor no seleccionar los criterios de impacto",R332)</f>
        <v>0</v>
      </c>
      <c r="T332" s="610"/>
      <c r="U332" s="611"/>
      <c r="V332" s="252"/>
      <c r="W332" s="194">
        <v>4</v>
      </c>
      <c r="X332" s="192"/>
      <c r="Y332" s="194" t="str">
        <f t="shared" si="391"/>
        <v/>
      </c>
      <c r="Z332" s="188"/>
      <c r="AA332" s="188"/>
      <c r="AB332" s="185" t="str">
        <f t="shared" si="398"/>
        <v/>
      </c>
      <c r="AC332" s="188"/>
      <c r="AD332" s="188"/>
      <c r="AE332" s="188"/>
      <c r="AF332" s="602" t="str">
        <f t="shared" si="438"/>
        <v/>
      </c>
      <c r="AG332" s="186" t="str">
        <f t="shared" si="392"/>
        <v/>
      </c>
      <c r="AH332" s="185" t="str">
        <f t="shared" si="393"/>
        <v/>
      </c>
      <c r="AI332" s="186" t="str">
        <f t="shared" si="394"/>
        <v/>
      </c>
      <c r="AJ332" s="185" t="str">
        <f t="shared" si="440"/>
        <v/>
      </c>
      <c r="AK332" s="187" t="str">
        <f t="shared" si="395"/>
        <v/>
      </c>
      <c r="AL332" s="603"/>
      <c r="AM332" s="189"/>
      <c r="AN332" s="194"/>
      <c r="AO332" s="190"/>
      <c r="AP332" s="190"/>
      <c r="AQ332" s="191"/>
      <c r="AR332" s="194"/>
    </row>
    <row r="333" spans="1:44" s="605" customFormat="1" ht="69" hidden="1" customHeight="1" x14ac:dyDescent="0.25">
      <c r="A333" s="252"/>
      <c r="B333" s="264"/>
      <c r="C333" s="251"/>
      <c r="D333" s="251"/>
      <c r="E333" s="253"/>
      <c r="F333" s="254"/>
      <c r="G333" s="254"/>
      <c r="H333" s="255"/>
      <c r="I333" s="249"/>
      <c r="J333" s="249"/>
      <c r="K333" s="249"/>
      <c r="L333" s="249"/>
      <c r="M333" s="253"/>
      <c r="N333" s="251"/>
      <c r="O333" s="256"/>
      <c r="P333" s="610"/>
      <c r="Q333" s="611"/>
      <c r="R333" s="611"/>
      <c r="S333" s="611">
        <f ca="1">IF(NOT(ISERROR(MATCH(R333,_xlfn.ANCHORARRAY(H344),0))),Q346&amp;"Por favor no seleccionar los criterios de impacto",R333)</f>
        <v>0</v>
      </c>
      <c r="T333" s="610"/>
      <c r="U333" s="611"/>
      <c r="V333" s="252"/>
      <c r="W333" s="194">
        <v>5</v>
      </c>
      <c r="X333" s="192"/>
      <c r="Y333" s="194" t="str">
        <f t="shared" si="391"/>
        <v/>
      </c>
      <c r="Z333" s="188"/>
      <c r="AA333" s="188"/>
      <c r="AB333" s="185" t="str">
        <f t="shared" si="398"/>
        <v/>
      </c>
      <c r="AC333" s="188"/>
      <c r="AD333" s="188"/>
      <c r="AE333" s="188"/>
      <c r="AF333" s="602" t="str">
        <f t="shared" si="438"/>
        <v/>
      </c>
      <c r="AG333" s="186" t="str">
        <f t="shared" si="392"/>
        <v/>
      </c>
      <c r="AH333" s="185" t="str">
        <f t="shared" si="393"/>
        <v/>
      </c>
      <c r="AI333" s="186" t="str">
        <f t="shared" si="394"/>
        <v/>
      </c>
      <c r="AJ333" s="185" t="str">
        <f t="shared" si="440"/>
        <v/>
      </c>
      <c r="AK333" s="187" t="str">
        <f t="shared" si="395"/>
        <v/>
      </c>
      <c r="AL333" s="603"/>
      <c r="AM333" s="189"/>
      <c r="AN333" s="194"/>
      <c r="AO333" s="190"/>
      <c r="AP333" s="190"/>
      <c r="AQ333" s="191"/>
      <c r="AR333" s="194"/>
    </row>
    <row r="334" spans="1:44" s="605" customFormat="1" ht="69" hidden="1" customHeight="1" x14ac:dyDescent="0.25">
      <c r="A334" s="252"/>
      <c r="B334" s="265"/>
      <c r="C334" s="239"/>
      <c r="D334" s="239"/>
      <c r="E334" s="253"/>
      <c r="F334" s="254"/>
      <c r="G334" s="254"/>
      <c r="H334" s="255"/>
      <c r="I334" s="250"/>
      <c r="J334" s="250"/>
      <c r="K334" s="250"/>
      <c r="L334" s="250"/>
      <c r="M334" s="253"/>
      <c r="N334" s="239"/>
      <c r="O334" s="256"/>
      <c r="P334" s="610"/>
      <c r="Q334" s="611"/>
      <c r="R334" s="611"/>
      <c r="S334" s="611">
        <f ca="1">IF(NOT(ISERROR(MATCH(R334,_xlfn.ANCHORARRAY(H345),0))),Q347&amp;"Por favor no seleccionar los criterios de impacto",R334)</f>
        <v>0</v>
      </c>
      <c r="T334" s="610"/>
      <c r="U334" s="611"/>
      <c r="V334" s="252"/>
      <c r="W334" s="194">
        <v>6</v>
      </c>
      <c r="X334" s="192"/>
      <c r="Y334" s="194" t="str">
        <f t="shared" si="391"/>
        <v/>
      </c>
      <c r="Z334" s="188"/>
      <c r="AA334" s="188"/>
      <c r="AB334" s="185" t="str">
        <f t="shared" si="398"/>
        <v/>
      </c>
      <c r="AC334" s="188"/>
      <c r="AD334" s="188"/>
      <c r="AE334" s="188"/>
      <c r="AF334" s="602" t="str">
        <f t="shared" si="438"/>
        <v/>
      </c>
      <c r="AG334" s="186" t="str">
        <f t="shared" si="392"/>
        <v/>
      </c>
      <c r="AH334" s="185" t="str">
        <f t="shared" si="393"/>
        <v/>
      </c>
      <c r="AI334" s="186" t="str">
        <f t="shared" si="394"/>
        <v/>
      </c>
      <c r="AJ334" s="185" t="str">
        <f t="shared" si="440"/>
        <v/>
      </c>
      <c r="AK334" s="187" t="str">
        <f t="shared" si="395"/>
        <v/>
      </c>
      <c r="AL334" s="603"/>
      <c r="AM334" s="189"/>
      <c r="AN334" s="194"/>
      <c r="AO334" s="190"/>
      <c r="AP334" s="190"/>
      <c r="AQ334" s="191"/>
      <c r="AR334" s="194"/>
    </row>
    <row r="335" spans="1:44" s="605" customFormat="1" ht="141.75" customHeight="1" x14ac:dyDescent="0.25">
      <c r="A335" s="252">
        <v>54</v>
      </c>
      <c r="B335" s="268" t="s">
        <v>881</v>
      </c>
      <c r="C335" s="238" t="s">
        <v>279</v>
      </c>
      <c r="D335" s="238" t="s">
        <v>875</v>
      </c>
      <c r="E335" s="253" t="s">
        <v>243</v>
      </c>
      <c r="F335" s="254" t="s">
        <v>876</v>
      </c>
      <c r="G335" s="254" t="s">
        <v>882</v>
      </c>
      <c r="H335" s="255" t="s">
        <v>883</v>
      </c>
      <c r="I335" s="248" t="s">
        <v>480</v>
      </c>
      <c r="J335" s="248" t="s">
        <v>480</v>
      </c>
      <c r="K335" s="248" t="s">
        <v>480</v>
      </c>
      <c r="L335" s="248" t="s">
        <v>480</v>
      </c>
      <c r="M335" s="253" t="s">
        <v>242</v>
      </c>
      <c r="N335" s="238"/>
      <c r="O335" s="256">
        <v>365</v>
      </c>
      <c r="P335" s="610" t="str">
        <f>IF(O335&lt;=0,"",IF(O335&lt;=2,"Muy Baja",IF(O335&lt;=24,"Baja",IF(O335&lt;=500,"Media",IF(O335&lt;=5000,"Alta","Muy Alta")))))</f>
        <v>Media</v>
      </c>
      <c r="Q335" s="611">
        <f>IF(P335="","",IF(P335="Muy Baja",0.2,IF(P335="Baja",0.4,IF(P335="Media",0.6,IF(P335="Alta",0.8,IF(P335="Muy Alta",1,))))))</f>
        <v>0.6</v>
      </c>
      <c r="R335" s="611" t="s">
        <v>196</v>
      </c>
      <c r="S335" s="611" t="str">
        <f ca="1">IF(NOT(ISERROR(MATCH(R335,'Tabla Impacto'!$B$221:$B$223,0))),'Tabla Impacto'!$F$223&amp;"Por favor no seleccionar los criterios de impacto(Afectación Económica o presupuestal y Pérdida Reputacional)",R335)</f>
        <v>El riesgo afecta la imagen de de la entidad con efecto publicitario sostenido a nivel de sector administrativo, nivel departamental o municipal</v>
      </c>
      <c r="T335" s="610" t="str">
        <f ca="1">+IF(OR(S335='[1]Tabla Impacto'!$C$11,S335='[1]Tabla Impacto'!$D$11),"Leve",IF(OR(S335='[1]Tabla Impacto'!$C$12,S335='[1]Tabla Impacto'!$D$12),"Menor",IF(OR(S335='[1]Tabla Impacto'!$C$13,S335='[1]Tabla Impacto'!$D$13),"Moderado",IF(OR(S335='[1]Tabla Impacto'!$C$14,S335='[1]Tabla Impacto'!$D$14),"Mayor",IF(OR(S335='[1]Tabla Impacto'!$C$15,S335='[1]Tabla Impacto'!$D$15),"Catastrófico","")))))</f>
        <v>Mayor</v>
      </c>
      <c r="U335" s="611">
        <f t="shared" ref="U335" ca="1" si="441">IF(T335="","",IF(T335="Leve",0.2,IF(T335="Menor",0.4,IF(T335="Moderado",0.6,IF(T335="Mayor",0.8,IF(T335="Catastrófico",1,))))))</f>
        <v>0.8</v>
      </c>
      <c r="V335" s="252" t="str">
        <f t="shared" ref="V335" ca="1" si="442">IF(OR(AND(P335="Muy Baja",T335="Leve"),AND(P335="Muy Baja",T335="Menor"),AND(P335="Baja",T335="Leve")),"Bajo",IF(OR(AND(P335="Muy baja",T335="Moderado"),AND(P335="Baja",T335="Menor"),AND(P335="Baja",T335="Moderado"),AND(P335="Media",T335="Leve"),AND(P335="Media",T335="Menor"),AND(P335="Media",T335="Moderado"),AND(P335="Alta",T335="Leve"),AND(P335="Alta",T335="Menor")),"Moderado",IF(OR(AND(P335="Muy Baja",T335="Mayor"),AND(P335="Baja",T335="Mayor"),AND(P335="Media",T335="Mayor"),AND(P335="Alta",T335="Moderado"),AND(P335="Alta",T335="Mayor"),AND(P335="Muy Alta",T335="Leve"),AND(P335="Muy Alta",T335="Menor"),AND(P335="Muy Alta",T335="Moderado"),AND(P335="Muy Alta",T335="Mayor")),"Alto",IF(OR(AND(P335="Muy Baja",T335="Catastrófico"),AND(P335="Baja",T335="Catastrófico"),AND(P335="Media",T335="Catastrófico"),AND(P335="Alta",T335="Catastrófico"),AND(P335="Muy Alta",T335="Catastrófico")),"Extremo",""))))</f>
        <v>Alto</v>
      </c>
      <c r="W335" s="194">
        <v>1</v>
      </c>
      <c r="X335" s="192" t="s">
        <v>884</v>
      </c>
      <c r="Y335" s="194" t="str">
        <f t="shared" si="391"/>
        <v>Probabilidad</v>
      </c>
      <c r="Z335" s="188" t="s">
        <v>211</v>
      </c>
      <c r="AA335" s="188" t="s">
        <v>219</v>
      </c>
      <c r="AB335" s="185" t="str">
        <f t="shared" si="398"/>
        <v>40%</v>
      </c>
      <c r="AC335" s="188" t="s">
        <v>222</v>
      </c>
      <c r="AD335" s="188" t="s">
        <v>227</v>
      </c>
      <c r="AE335" s="188" t="s">
        <v>231</v>
      </c>
      <c r="AF335" s="602">
        <f t="shared" ref="AF335" si="443">IFERROR(IF(Y335="Probabilidad",(Q335-(+Q335*AB335)),IF(Y335="Impacto",Q335,"")),"")</f>
        <v>0.36</v>
      </c>
      <c r="AG335" s="186" t="str">
        <f t="shared" si="392"/>
        <v>Baja</v>
      </c>
      <c r="AH335" s="185">
        <f t="shared" si="393"/>
        <v>0.36</v>
      </c>
      <c r="AI335" s="186" t="str">
        <f t="shared" ca="1" si="394"/>
        <v>Mayor</v>
      </c>
      <c r="AJ335" s="185">
        <f t="shared" ref="AJ335" ca="1" si="444">IFERROR(IF(Y335="Impacto",(U335-(+U335*AB335)),IF(Y335="Probabilidad",U335,"")),"")</f>
        <v>0.8</v>
      </c>
      <c r="AK335" s="187" t="str">
        <f t="shared" ca="1" si="395"/>
        <v>Alto</v>
      </c>
      <c r="AL335" s="603" t="s">
        <v>265</v>
      </c>
      <c r="AM335" s="189" t="s">
        <v>885</v>
      </c>
      <c r="AN335" s="191" t="s">
        <v>886</v>
      </c>
      <c r="AO335" s="517">
        <v>45292</v>
      </c>
      <c r="AP335" s="190" t="s">
        <v>564</v>
      </c>
      <c r="AQ335" s="191" t="s">
        <v>887</v>
      </c>
      <c r="AR335" s="194" t="s">
        <v>262</v>
      </c>
    </row>
    <row r="336" spans="1:44" s="605" customFormat="1" ht="69" hidden="1" customHeight="1" x14ac:dyDescent="0.25">
      <c r="A336" s="252"/>
      <c r="B336" s="264"/>
      <c r="C336" s="251"/>
      <c r="D336" s="251"/>
      <c r="E336" s="253"/>
      <c r="F336" s="254"/>
      <c r="G336" s="254"/>
      <c r="H336" s="255"/>
      <c r="I336" s="249"/>
      <c r="J336" s="249"/>
      <c r="K336" s="249"/>
      <c r="L336" s="249"/>
      <c r="M336" s="253"/>
      <c r="N336" s="251"/>
      <c r="O336" s="256"/>
      <c r="P336" s="610"/>
      <c r="Q336" s="611"/>
      <c r="R336" s="611"/>
      <c r="S336" s="611">
        <f ca="1">IF(NOT(ISERROR(MATCH(R336,_xlfn.ANCHORARRAY(H347),0))),Q349&amp;"Por favor no seleccionar los criterios de impacto",R336)</f>
        <v>0</v>
      </c>
      <c r="T336" s="610"/>
      <c r="U336" s="611"/>
      <c r="V336" s="252"/>
      <c r="W336" s="194">
        <v>2</v>
      </c>
      <c r="X336" s="192"/>
      <c r="Y336" s="194" t="str">
        <f t="shared" si="391"/>
        <v/>
      </c>
      <c r="Z336" s="188"/>
      <c r="AA336" s="188"/>
      <c r="AB336" s="185" t="str">
        <f t="shared" si="398"/>
        <v/>
      </c>
      <c r="AC336" s="188"/>
      <c r="AD336" s="188"/>
      <c r="AE336" s="188"/>
      <c r="AF336" s="602" t="str">
        <f t="shared" ref="AF336:AF340" si="445">IFERROR(IF(AND(Y335="Probabilidad",Y336="Probabilidad"),(AH335-(+AH335*AB336)),IF(Y336="Probabilidad",(Q335-(+Q335*AB336)),IF(Y336="Impacto",AH335,""))),"")</f>
        <v/>
      </c>
      <c r="AG336" s="186" t="str">
        <f t="shared" si="392"/>
        <v/>
      </c>
      <c r="AH336" s="185" t="str">
        <f t="shared" si="393"/>
        <v/>
      </c>
      <c r="AI336" s="186" t="str">
        <f t="shared" si="394"/>
        <v/>
      </c>
      <c r="AJ336" s="185" t="str">
        <f t="shared" ref="AJ336" si="446">IFERROR(IF(AND(Y335="Impacto",Y336="Impacto"),(AJ335-(+AJ335*AB336)),IF(Y336="Impacto",(U335-(+U335*AB336)),IF(Y336="Probabilidad",AJ335,""))),"")</f>
        <v/>
      </c>
      <c r="AK336" s="187" t="str">
        <f t="shared" si="395"/>
        <v/>
      </c>
      <c r="AL336" s="603"/>
      <c r="AM336" s="189"/>
      <c r="AN336" s="194"/>
      <c r="AO336" s="190"/>
      <c r="AP336" s="190"/>
      <c r="AQ336" s="191"/>
      <c r="AR336" s="194"/>
    </row>
    <row r="337" spans="1:44" s="605" customFormat="1" ht="69" hidden="1" customHeight="1" x14ac:dyDescent="0.25">
      <c r="A337" s="252"/>
      <c r="B337" s="264"/>
      <c r="C337" s="251"/>
      <c r="D337" s="251"/>
      <c r="E337" s="253"/>
      <c r="F337" s="254"/>
      <c r="G337" s="254"/>
      <c r="H337" s="255"/>
      <c r="I337" s="249"/>
      <c r="J337" s="249"/>
      <c r="K337" s="249"/>
      <c r="L337" s="249"/>
      <c r="M337" s="253"/>
      <c r="N337" s="251"/>
      <c r="O337" s="256"/>
      <c r="P337" s="610"/>
      <c r="Q337" s="611"/>
      <c r="R337" s="611"/>
      <c r="S337" s="611">
        <f ca="1">IF(NOT(ISERROR(MATCH(R337,_xlfn.ANCHORARRAY(H348),0))),Q350&amp;"Por favor no seleccionar los criterios de impacto",R337)</f>
        <v>0</v>
      </c>
      <c r="T337" s="610"/>
      <c r="U337" s="611"/>
      <c r="V337" s="252"/>
      <c r="W337" s="194">
        <v>3</v>
      </c>
      <c r="X337" s="192"/>
      <c r="Y337" s="194" t="str">
        <f t="shared" si="391"/>
        <v/>
      </c>
      <c r="Z337" s="188"/>
      <c r="AA337" s="188"/>
      <c r="AB337" s="185" t="str">
        <f t="shared" si="398"/>
        <v/>
      </c>
      <c r="AC337" s="188"/>
      <c r="AD337" s="188"/>
      <c r="AE337" s="188"/>
      <c r="AF337" s="602" t="str">
        <f t="shared" si="445"/>
        <v/>
      </c>
      <c r="AG337" s="186" t="str">
        <f t="shared" si="392"/>
        <v/>
      </c>
      <c r="AH337" s="185" t="str">
        <f t="shared" si="393"/>
        <v/>
      </c>
      <c r="AI337" s="186" t="str">
        <f t="shared" si="394"/>
        <v/>
      </c>
      <c r="AJ337" s="185" t="str">
        <f t="shared" ref="AJ337:AJ340" si="447">IFERROR(IF(AND(Y336="Impacto",Y337="Impacto"),(AJ336-(+AJ336*AB337)),IF(AND(Y336="Probabilidad",Y337="Impacto"),(AJ335-(+AJ335*AB337)),IF(Y337="Probabilidad",AJ336,""))),"")</f>
        <v/>
      </c>
      <c r="AK337" s="187" t="str">
        <f t="shared" si="395"/>
        <v/>
      </c>
      <c r="AL337" s="603"/>
      <c r="AM337" s="189"/>
      <c r="AN337" s="194"/>
      <c r="AO337" s="190"/>
      <c r="AP337" s="190"/>
      <c r="AQ337" s="191"/>
      <c r="AR337" s="194"/>
    </row>
    <row r="338" spans="1:44" s="605" customFormat="1" ht="69" hidden="1" customHeight="1" x14ac:dyDescent="0.25">
      <c r="A338" s="252"/>
      <c r="B338" s="264"/>
      <c r="C338" s="251"/>
      <c r="D338" s="251"/>
      <c r="E338" s="253"/>
      <c r="F338" s="254"/>
      <c r="G338" s="254"/>
      <c r="H338" s="255"/>
      <c r="I338" s="249"/>
      <c r="J338" s="249"/>
      <c r="K338" s="249"/>
      <c r="L338" s="249"/>
      <c r="M338" s="253"/>
      <c r="N338" s="251"/>
      <c r="O338" s="256"/>
      <c r="P338" s="610"/>
      <c r="Q338" s="611"/>
      <c r="R338" s="611"/>
      <c r="S338" s="611">
        <f ca="1">IF(NOT(ISERROR(MATCH(R338,_xlfn.ANCHORARRAY(H349),0))),Q351&amp;"Por favor no seleccionar los criterios de impacto",R338)</f>
        <v>0</v>
      </c>
      <c r="T338" s="610"/>
      <c r="U338" s="611"/>
      <c r="V338" s="252"/>
      <c r="W338" s="194">
        <v>4</v>
      </c>
      <c r="X338" s="192"/>
      <c r="Y338" s="194" t="str">
        <f t="shared" si="391"/>
        <v/>
      </c>
      <c r="Z338" s="188"/>
      <c r="AA338" s="188"/>
      <c r="AB338" s="185" t="str">
        <f t="shared" si="398"/>
        <v/>
      </c>
      <c r="AC338" s="188"/>
      <c r="AD338" s="188"/>
      <c r="AE338" s="188"/>
      <c r="AF338" s="602" t="str">
        <f t="shared" si="445"/>
        <v/>
      </c>
      <c r="AG338" s="186" t="str">
        <f t="shared" si="392"/>
        <v/>
      </c>
      <c r="AH338" s="185" t="str">
        <f t="shared" si="393"/>
        <v/>
      </c>
      <c r="AI338" s="186" t="str">
        <f t="shared" si="394"/>
        <v/>
      </c>
      <c r="AJ338" s="185" t="str">
        <f t="shared" si="447"/>
        <v/>
      </c>
      <c r="AK338" s="187" t="str">
        <f t="shared" si="395"/>
        <v/>
      </c>
      <c r="AL338" s="603"/>
      <c r="AM338" s="189"/>
      <c r="AN338" s="194"/>
      <c r="AO338" s="190"/>
      <c r="AP338" s="190"/>
      <c r="AQ338" s="191"/>
      <c r="AR338" s="194"/>
    </row>
    <row r="339" spans="1:44" s="605" customFormat="1" ht="69" hidden="1" customHeight="1" x14ac:dyDescent="0.25">
      <c r="A339" s="252"/>
      <c r="B339" s="264"/>
      <c r="C339" s="251"/>
      <c r="D339" s="251"/>
      <c r="E339" s="253"/>
      <c r="F339" s="254"/>
      <c r="G339" s="254"/>
      <c r="H339" s="255"/>
      <c r="I339" s="249"/>
      <c r="J339" s="249"/>
      <c r="K339" s="249"/>
      <c r="L339" s="249"/>
      <c r="M339" s="253"/>
      <c r="N339" s="251"/>
      <c r="O339" s="256"/>
      <c r="P339" s="610"/>
      <c r="Q339" s="611"/>
      <c r="R339" s="611"/>
      <c r="S339" s="611">
        <f ca="1">IF(NOT(ISERROR(MATCH(R339,_xlfn.ANCHORARRAY(H350),0))),Q352&amp;"Por favor no seleccionar los criterios de impacto",R339)</f>
        <v>0</v>
      </c>
      <c r="T339" s="610"/>
      <c r="U339" s="611"/>
      <c r="V339" s="252"/>
      <c r="W339" s="194">
        <v>5</v>
      </c>
      <c r="X339" s="192"/>
      <c r="Y339" s="194" t="str">
        <f t="shared" si="391"/>
        <v/>
      </c>
      <c r="Z339" s="188"/>
      <c r="AA339" s="188"/>
      <c r="AB339" s="185" t="str">
        <f t="shared" si="398"/>
        <v/>
      </c>
      <c r="AC339" s="188"/>
      <c r="AD339" s="188"/>
      <c r="AE339" s="188"/>
      <c r="AF339" s="602" t="str">
        <f t="shared" si="445"/>
        <v/>
      </c>
      <c r="AG339" s="186" t="str">
        <f t="shared" si="392"/>
        <v/>
      </c>
      <c r="AH339" s="185" t="str">
        <f t="shared" si="393"/>
        <v/>
      </c>
      <c r="AI339" s="186" t="str">
        <f t="shared" si="394"/>
        <v/>
      </c>
      <c r="AJ339" s="185" t="str">
        <f t="shared" si="447"/>
        <v/>
      </c>
      <c r="AK339" s="187" t="str">
        <f t="shared" si="395"/>
        <v/>
      </c>
      <c r="AL339" s="603"/>
      <c r="AM339" s="189"/>
      <c r="AN339" s="194"/>
      <c r="AO339" s="190"/>
      <c r="AP339" s="190"/>
      <c r="AQ339" s="191"/>
      <c r="AR339" s="194"/>
    </row>
    <row r="340" spans="1:44" s="605" customFormat="1" ht="69" hidden="1" customHeight="1" x14ac:dyDescent="0.25">
      <c r="A340" s="252"/>
      <c r="B340" s="265"/>
      <c r="C340" s="239"/>
      <c r="D340" s="239"/>
      <c r="E340" s="253"/>
      <c r="F340" s="254"/>
      <c r="G340" s="254"/>
      <c r="H340" s="255"/>
      <c r="I340" s="250"/>
      <c r="J340" s="250"/>
      <c r="K340" s="250"/>
      <c r="L340" s="250"/>
      <c r="M340" s="253"/>
      <c r="N340" s="239"/>
      <c r="O340" s="256"/>
      <c r="P340" s="610"/>
      <c r="Q340" s="611"/>
      <c r="R340" s="611"/>
      <c r="S340" s="611">
        <f ca="1">IF(NOT(ISERROR(MATCH(R340,_xlfn.ANCHORARRAY(H351),0))),Q353&amp;"Por favor no seleccionar los criterios de impacto",R340)</f>
        <v>0</v>
      </c>
      <c r="T340" s="610"/>
      <c r="U340" s="611"/>
      <c r="V340" s="252"/>
      <c r="W340" s="194">
        <v>6</v>
      </c>
      <c r="X340" s="192"/>
      <c r="Y340" s="194" t="str">
        <f t="shared" si="391"/>
        <v/>
      </c>
      <c r="Z340" s="188"/>
      <c r="AA340" s="188"/>
      <c r="AB340" s="185" t="str">
        <f t="shared" si="398"/>
        <v/>
      </c>
      <c r="AC340" s="188"/>
      <c r="AD340" s="188"/>
      <c r="AE340" s="188"/>
      <c r="AF340" s="602" t="str">
        <f t="shared" si="445"/>
        <v/>
      </c>
      <c r="AG340" s="186" t="str">
        <f t="shared" si="392"/>
        <v/>
      </c>
      <c r="AH340" s="185" t="str">
        <f t="shared" si="393"/>
        <v/>
      </c>
      <c r="AI340" s="186" t="str">
        <f t="shared" si="394"/>
        <v/>
      </c>
      <c r="AJ340" s="185" t="str">
        <f t="shared" si="447"/>
        <v/>
      </c>
      <c r="AK340" s="187" t="str">
        <f t="shared" si="395"/>
        <v/>
      </c>
      <c r="AL340" s="603"/>
      <c r="AM340" s="189"/>
      <c r="AN340" s="194"/>
      <c r="AO340" s="190"/>
      <c r="AP340" s="190"/>
      <c r="AQ340" s="191"/>
      <c r="AR340" s="194"/>
    </row>
    <row r="341" spans="1:44" s="605" customFormat="1" ht="108.75" customHeight="1" x14ac:dyDescent="0.25">
      <c r="A341" s="252">
        <v>55</v>
      </c>
      <c r="B341" s="268" t="s">
        <v>888</v>
      </c>
      <c r="C341" s="263" t="s">
        <v>279</v>
      </c>
      <c r="D341" s="263" t="s">
        <v>875</v>
      </c>
      <c r="E341" s="505" t="s">
        <v>243</v>
      </c>
      <c r="F341" s="506" t="s">
        <v>889</v>
      </c>
      <c r="G341" s="506" t="s">
        <v>890</v>
      </c>
      <c r="H341" s="507" t="s">
        <v>891</v>
      </c>
      <c r="I341" s="248" t="s">
        <v>480</v>
      </c>
      <c r="J341" s="248" t="s">
        <v>480</v>
      </c>
      <c r="K341" s="248" t="s">
        <v>480</v>
      </c>
      <c r="L341" s="248" t="s">
        <v>480</v>
      </c>
      <c r="M341" s="253" t="s">
        <v>242</v>
      </c>
      <c r="N341" s="238"/>
      <c r="O341" s="256">
        <v>365</v>
      </c>
      <c r="P341" s="610" t="str">
        <f>IF(O341&lt;=0,"",IF(O341&lt;=2,"Muy Baja",IF(O341&lt;=24,"Baja",IF(O341&lt;=500,"Media",IF(O341&lt;=5000,"Alta","Muy Alta")))))</f>
        <v>Media</v>
      </c>
      <c r="Q341" s="611">
        <f>IF(P341="","",IF(P341="Muy Baja",0.2,IF(P341="Baja",0.4,IF(P341="Media",0.6,IF(P341="Alta",0.8,IF(P341="Muy Alta",1,))))))</f>
        <v>0.6</v>
      </c>
      <c r="R341" s="611" t="s">
        <v>198</v>
      </c>
      <c r="S341" s="611" t="str">
        <f ca="1">IF(NOT(ISERROR(MATCH(R341,'Tabla Impacto'!$B$221:$B$223,0))),'Tabla Impacto'!$F$223&amp;"Por favor no seleccionar los criterios de impacto(Afectación Económica o presupuestal y Pérdida Reputacional)",R341)</f>
        <v xml:space="preserve">Mayor a 500 SMLMV </v>
      </c>
      <c r="T341" s="610" t="str">
        <f ca="1">+IF(OR(S341='[1]Tabla Impacto'!$C$11,S341='[1]Tabla Impacto'!$D$11),"Leve",IF(OR(S341='[1]Tabla Impacto'!$C$12,S341='[1]Tabla Impacto'!$D$12),"Menor",IF(OR(S341='[1]Tabla Impacto'!$C$13,S341='[1]Tabla Impacto'!$D$13),"Moderado",IF(OR(S341='[1]Tabla Impacto'!$C$14,S341='[1]Tabla Impacto'!$D$14),"Mayor",IF(OR(S341='[1]Tabla Impacto'!$C$15,S341='[1]Tabla Impacto'!$D$15),"Catastrófico","")))))</f>
        <v>Catastrófico</v>
      </c>
      <c r="U341" s="611">
        <f t="shared" ref="U341" ca="1" si="448">IF(T341="","",IF(T341="Leve",0.2,IF(T341="Menor",0.4,IF(T341="Moderado",0.6,IF(T341="Mayor",0.8,IF(T341="Catastrófico",1,))))))</f>
        <v>1</v>
      </c>
      <c r="V341" s="252" t="str">
        <f t="shared" ref="V341" ca="1" si="449">IF(OR(AND(P341="Muy Baja",T341="Leve"),AND(P341="Muy Baja",T341="Menor"),AND(P341="Baja",T341="Leve")),"Bajo",IF(OR(AND(P341="Muy baja",T341="Moderado"),AND(P341="Baja",T341="Menor"),AND(P341="Baja",T341="Moderado"),AND(P341="Media",T341="Leve"),AND(P341="Media",T341="Menor"),AND(P341="Media",T341="Moderado"),AND(P341="Alta",T341="Leve"),AND(P341="Alta",T341="Menor")),"Moderado",IF(OR(AND(P341="Muy Baja",T341="Mayor"),AND(P341="Baja",T341="Mayor"),AND(P341="Media",T341="Mayor"),AND(P341="Alta",T341="Moderado"),AND(P341="Alta",T341="Mayor"),AND(P341="Muy Alta",T341="Leve"),AND(P341="Muy Alta",T341="Menor"),AND(P341="Muy Alta",T341="Moderado"),AND(P341="Muy Alta",T341="Mayor")),"Alto",IF(OR(AND(P341="Muy Baja",T341="Catastrófico"),AND(P341="Baja",T341="Catastrófico"),AND(P341="Media",T341="Catastrófico"),AND(P341="Alta",T341="Catastrófico"),AND(P341="Muy Alta",T341="Catastrófico")),"Extremo",""))))</f>
        <v>Extremo</v>
      </c>
      <c r="W341" s="194">
        <v>1</v>
      </c>
      <c r="X341" s="192" t="s">
        <v>892</v>
      </c>
      <c r="Y341" s="194" t="str">
        <f t="shared" si="391"/>
        <v>Probabilidad</v>
      </c>
      <c r="Z341" s="188" t="s">
        <v>211</v>
      </c>
      <c r="AA341" s="188" t="s">
        <v>219</v>
      </c>
      <c r="AB341" s="185" t="str">
        <f t="shared" si="398"/>
        <v>40%</v>
      </c>
      <c r="AC341" s="188" t="s">
        <v>222</v>
      </c>
      <c r="AD341" s="188" t="s">
        <v>227</v>
      </c>
      <c r="AE341" s="188" t="s">
        <v>231</v>
      </c>
      <c r="AF341" s="602">
        <f t="shared" ref="AF341" si="450">IFERROR(IF(Y341="Probabilidad",(Q341-(+Q341*AB341)),IF(Y341="Impacto",Q341,"")),"")</f>
        <v>0.36</v>
      </c>
      <c r="AG341" s="186" t="str">
        <f t="shared" si="392"/>
        <v>Baja</v>
      </c>
      <c r="AH341" s="185">
        <f t="shared" si="393"/>
        <v>0.36</v>
      </c>
      <c r="AI341" s="186" t="str">
        <f t="shared" ca="1" si="394"/>
        <v>Catastrófico</v>
      </c>
      <c r="AJ341" s="185">
        <f t="shared" ref="AJ341" ca="1" si="451">IFERROR(IF(Y341="Impacto",(U341-(+U341*AB341)),IF(Y341="Probabilidad",U341,"")),"")</f>
        <v>1</v>
      </c>
      <c r="AK341" s="187" t="str">
        <f t="shared" ca="1" si="395"/>
        <v>Extremo</v>
      </c>
      <c r="AL341" s="603" t="s">
        <v>265</v>
      </c>
      <c r="AM341" s="236" t="s">
        <v>894</v>
      </c>
      <c r="AN341" s="238" t="s">
        <v>886</v>
      </c>
      <c r="AO341" s="518" t="s">
        <v>895</v>
      </c>
      <c r="AP341" s="519" t="s">
        <v>896</v>
      </c>
      <c r="AQ341" s="238" t="s">
        <v>897</v>
      </c>
      <c r="AR341" s="245" t="s">
        <v>262</v>
      </c>
    </row>
    <row r="342" spans="1:44" s="605" customFormat="1" ht="118.5" customHeight="1" x14ac:dyDescent="0.25">
      <c r="A342" s="252"/>
      <c r="B342" s="264"/>
      <c r="C342" s="266"/>
      <c r="D342" s="266"/>
      <c r="E342" s="505"/>
      <c r="F342" s="506"/>
      <c r="G342" s="506"/>
      <c r="H342" s="507"/>
      <c r="I342" s="249"/>
      <c r="J342" s="249"/>
      <c r="K342" s="249"/>
      <c r="L342" s="249"/>
      <c r="M342" s="253"/>
      <c r="N342" s="251"/>
      <c r="O342" s="256"/>
      <c r="P342" s="610"/>
      <c r="Q342" s="611"/>
      <c r="R342" s="611"/>
      <c r="S342" s="611">
        <f ca="1">IF(NOT(ISERROR(MATCH(R342,_xlfn.ANCHORARRAY(H353),0))),Q355&amp;"Por favor no seleccionar los criterios de impacto",R342)</f>
        <v>0</v>
      </c>
      <c r="T342" s="610"/>
      <c r="U342" s="611"/>
      <c r="V342" s="252"/>
      <c r="W342" s="194">
        <v>2</v>
      </c>
      <c r="X342" s="192" t="s">
        <v>893</v>
      </c>
      <c r="Y342" s="194" t="str">
        <f t="shared" si="391"/>
        <v>Probabilidad</v>
      </c>
      <c r="Z342" s="188" t="s">
        <v>211</v>
      </c>
      <c r="AA342" s="188" t="s">
        <v>219</v>
      </c>
      <c r="AB342" s="185" t="str">
        <f t="shared" si="398"/>
        <v>40%</v>
      </c>
      <c r="AC342" s="188" t="s">
        <v>222</v>
      </c>
      <c r="AD342" s="188" t="s">
        <v>227</v>
      </c>
      <c r="AE342" s="188" t="s">
        <v>231</v>
      </c>
      <c r="AF342" s="602">
        <f t="shared" ref="AF342:AF346" si="452">IFERROR(IF(AND(Y341="Probabilidad",Y342="Probabilidad"),(AH341-(+AH341*AB342)),IF(Y342="Probabilidad",(Q341-(+Q341*AB342)),IF(Y342="Impacto",AH341,""))),"")</f>
        <v>0.216</v>
      </c>
      <c r="AG342" s="186" t="str">
        <f t="shared" si="392"/>
        <v>Baja</v>
      </c>
      <c r="AH342" s="185">
        <f t="shared" si="393"/>
        <v>0.216</v>
      </c>
      <c r="AI342" s="186" t="str">
        <f t="shared" ca="1" si="394"/>
        <v>Catastrófico</v>
      </c>
      <c r="AJ342" s="185">
        <f t="shared" ref="AJ342" ca="1" si="453">IFERROR(IF(AND(Y341="Impacto",Y342="Impacto"),(AJ341-(+AJ341*AB342)),IF(Y342="Impacto",(U341-(+U341*AB342)),IF(Y342="Probabilidad",AJ341,""))),"")</f>
        <v>1</v>
      </c>
      <c r="AK342" s="187" t="str">
        <f t="shared" ca="1" si="395"/>
        <v>Extremo</v>
      </c>
      <c r="AL342" s="603" t="s">
        <v>265</v>
      </c>
      <c r="AM342" s="237"/>
      <c r="AN342" s="239"/>
      <c r="AO342" s="520"/>
      <c r="AP342" s="521"/>
      <c r="AQ342" s="239"/>
      <c r="AR342" s="247"/>
    </row>
    <row r="343" spans="1:44" s="605" customFormat="1" ht="69" hidden="1" customHeight="1" x14ac:dyDescent="0.25">
      <c r="A343" s="252"/>
      <c r="B343" s="264"/>
      <c r="C343" s="266"/>
      <c r="D343" s="266"/>
      <c r="E343" s="505"/>
      <c r="F343" s="506"/>
      <c r="G343" s="506"/>
      <c r="H343" s="507"/>
      <c r="I343" s="249"/>
      <c r="J343" s="249"/>
      <c r="K343" s="249"/>
      <c r="L343" s="249"/>
      <c r="M343" s="253"/>
      <c r="N343" s="251"/>
      <c r="O343" s="256"/>
      <c r="P343" s="610"/>
      <c r="Q343" s="611"/>
      <c r="R343" s="611"/>
      <c r="S343" s="611">
        <f ca="1">IF(NOT(ISERROR(MATCH(R343,_xlfn.ANCHORARRAY(H354),0))),Q356&amp;"Por favor no seleccionar los criterios de impacto",R343)</f>
        <v>0</v>
      </c>
      <c r="T343" s="610"/>
      <c r="U343" s="611"/>
      <c r="V343" s="252"/>
      <c r="W343" s="194">
        <v>3</v>
      </c>
      <c r="X343" s="192"/>
      <c r="Y343" s="194" t="str">
        <f t="shared" si="391"/>
        <v/>
      </c>
      <c r="Z343" s="188"/>
      <c r="AA343" s="188"/>
      <c r="AB343" s="185" t="str">
        <f t="shared" si="398"/>
        <v/>
      </c>
      <c r="AC343" s="188"/>
      <c r="AD343" s="188"/>
      <c r="AE343" s="188"/>
      <c r="AF343" s="602" t="str">
        <f t="shared" si="452"/>
        <v/>
      </c>
      <c r="AG343" s="186" t="str">
        <f t="shared" si="392"/>
        <v/>
      </c>
      <c r="AH343" s="185" t="str">
        <f t="shared" si="393"/>
        <v/>
      </c>
      <c r="AI343" s="186" t="str">
        <f t="shared" si="394"/>
        <v/>
      </c>
      <c r="AJ343" s="185" t="str">
        <f t="shared" ref="AJ343:AJ346" si="454">IFERROR(IF(AND(Y342="Impacto",Y343="Impacto"),(AJ342-(+AJ342*AB343)),IF(AND(Y342="Probabilidad",Y343="Impacto"),(AJ341-(+AJ341*AB343)),IF(Y343="Probabilidad",AJ342,""))),"")</f>
        <v/>
      </c>
      <c r="AK343" s="187" t="str">
        <f t="shared" si="395"/>
        <v/>
      </c>
      <c r="AL343" s="603"/>
      <c r="AM343" s="189"/>
      <c r="AN343" s="194"/>
      <c r="AO343" s="190"/>
      <c r="AP343" s="190"/>
      <c r="AQ343" s="191"/>
      <c r="AR343" s="194"/>
    </row>
    <row r="344" spans="1:44" s="605" customFormat="1" ht="69" hidden="1" customHeight="1" x14ac:dyDescent="0.25">
      <c r="A344" s="252"/>
      <c r="B344" s="264"/>
      <c r="C344" s="266"/>
      <c r="D344" s="266"/>
      <c r="E344" s="505"/>
      <c r="F344" s="506"/>
      <c r="G344" s="506"/>
      <c r="H344" s="507"/>
      <c r="I344" s="249"/>
      <c r="J344" s="249"/>
      <c r="K344" s="249"/>
      <c r="L344" s="249"/>
      <c r="M344" s="253"/>
      <c r="N344" s="251"/>
      <c r="O344" s="256"/>
      <c r="P344" s="610"/>
      <c r="Q344" s="611"/>
      <c r="R344" s="611"/>
      <c r="S344" s="611">
        <f ca="1">IF(NOT(ISERROR(MATCH(R344,_xlfn.ANCHORARRAY(H355),0))),Q357&amp;"Por favor no seleccionar los criterios de impacto",R344)</f>
        <v>0</v>
      </c>
      <c r="T344" s="610"/>
      <c r="U344" s="611"/>
      <c r="V344" s="252"/>
      <c r="W344" s="194">
        <v>4</v>
      </c>
      <c r="X344" s="192"/>
      <c r="Y344" s="194" t="str">
        <f t="shared" si="391"/>
        <v/>
      </c>
      <c r="Z344" s="188"/>
      <c r="AA344" s="188"/>
      <c r="AB344" s="185" t="str">
        <f t="shared" si="398"/>
        <v/>
      </c>
      <c r="AC344" s="188"/>
      <c r="AD344" s="188"/>
      <c r="AE344" s="188"/>
      <c r="AF344" s="602" t="str">
        <f t="shared" si="452"/>
        <v/>
      </c>
      <c r="AG344" s="186" t="str">
        <f t="shared" si="392"/>
        <v/>
      </c>
      <c r="AH344" s="185" t="str">
        <f t="shared" si="393"/>
        <v/>
      </c>
      <c r="AI344" s="186" t="str">
        <f t="shared" si="394"/>
        <v/>
      </c>
      <c r="AJ344" s="185" t="str">
        <f t="shared" si="454"/>
        <v/>
      </c>
      <c r="AK344" s="187" t="str">
        <f t="shared" si="395"/>
        <v/>
      </c>
      <c r="AL344" s="603"/>
      <c r="AM344" s="189"/>
      <c r="AN344" s="194"/>
      <c r="AO344" s="190"/>
      <c r="AP344" s="190"/>
      <c r="AQ344" s="191"/>
      <c r="AR344" s="194"/>
    </row>
    <row r="345" spans="1:44" s="605" customFormat="1" ht="69" hidden="1" customHeight="1" x14ac:dyDescent="0.25">
      <c r="A345" s="252"/>
      <c r="B345" s="264"/>
      <c r="C345" s="266"/>
      <c r="D345" s="266"/>
      <c r="E345" s="505"/>
      <c r="F345" s="506"/>
      <c r="G345" s="506"/>
      <c r="H345" s="507"/>
      <c r="I345" s="249"/>
      <c r="J345" s="249"/>
      <c r="K345" s="249"/>
      <c r="L345" s="249"/>
      <c r="M345" s="253"/>
      <c r="N345" s="251"/>
      <c r="O345" s="256"/>
      <c r="P345" s="610"/>
      <c r="Q345" s="611"/>
      <c r="R345" s="611"/>
      <c r="S345" s="611">
        <f ca="1">IF(NOT(ISERROR(MATCH(R345,_xlfn.ANCHORARRAY(H356),0))),Q358&amp;"Por favor no seleccionar los criterios de impacto",R345)</f>
        <v>0</v>
      </c>
      <c r="T345" s="610"/>
      <c r="U345" s="611"/>
      <c r="V345" s="252"/>
      <c r="W345" s="194">
        <v>5</v>
      </c>
      <c r="X345" s="192"/>
      <c r="Y345" s="194" t="str">
        <f t="shared" si="391"/>
        <v/>
      </c>
      <c r="Z345" s="188"/>
      <c r="AA345" s="188"/>
      <c r="AB345" s="185" t="str">
        <f t="shared" si="398"/>
        <v/>
      </c>
      <c r="AC345" s="188"/>
      <c r="AD345" s="188"/>
      <c r="AE345" s="188"/>
      <c r="AF345" s="602" t="str">
        <f t="shared" si="452"/>
        <v/>
      </c>
      <c r="AG345" s="186" t="str">
        <f t="shared" si="392"/>
        <v/>
      </c>
      <c r="AH345" s="185" t="str">
        <f t="shared" si="393"/>
        <v/>
      </c>
      <c r="AI345" s="186" t="str">
        <f t="shared" si="394"/>
        <v/>
      </c>
      <c r="AJ345" s="185" t="str">
        <f t="shared" si="454"/>
        <v/>
      </c>
      <c r="AK345" s="187" t="str">
        <f t="shared" si="395"/>
        <v/>
      </c>
      <c r="AL345" s="603"/>
      <c r="AM345" s="189"/>
      <c r="AN345" s="194"/>
      <c r="AO345" s="190"/>
      <c r="AP345" s="190"/>
      <c r="AQ345" s="191"/>
      <c r="AR345" s="194"/>
    </row>
    <row r="346" spans="1:44" s="605" customFormat="1" ht="69" hidden="1" customHeight="1" x14ac:dyDescent="0.25">
      <c r="A346" s="252"/>
      <c r="B346" s="265"/>
      <c r="C346" s="267"/>
      <c r="D346" s="267"/>
      <c r="E346" s="505"/>
      <c r="F346" s="506"/>
      <c r="G346" s="506"/>
      <c r="H346" s="507"/>
      <c r="I346" s="250"/>
      <c r="J346" s="250"/>
      <c r="K346" s="250"/>
      <c r="L346" s="250"/>
      <c r="M346" s="253"/>
      <c r="N346" s="239"/>
      <c r="O346" s="256"/>
      <c r="P346" s="610"/>
      <c r="Q346" s="611"/>
      <c r="R346" s="611"/>
      <c r="S346" s="611">
        <f ca="1">IF(NOT(ISERROR(MATCH(R346,_xlfn.ANCHORARRAY(H357),0))),Q359&amp;"Por favor no seleccionar los criterios de impacto",R346)</f>
        <v>0</v>
      </c>
      <c r="T346" s="610"/>
      <c r="U346" s="611"/>
      <c r="V346" s="252"/>
      <c r="W346" s="194">
        <v>6</v>
      </c>
      <c r="X346" s="192"/>
      <c r="Y346" s="194" t="str">
        <f t="shared" si="391"/>
        <v/>
      </c>
      <c r="Z346" s="188"/>
      <c r="AA346" s="188"/>
      <c r="AB346" s="185" t="str">
        <f t="shared" si="398"/>
        <v/>
      </c>
      <c r="AC346" s="188"/>
      <c r="AD346" s="188"/>
      <c r="AE346" s="188"/>
      <c r="AF346" s="602" t="str">
        <f t="shared" si="452"/>
        <v/>
      </c>
      <c r="AG346" s="186" t="str">
        <f t="shared" si="392"/>
        <v/>
      </c>
      <c r="AH346" s="185" t="str">
        <f t="shared" si="393"/>
        <v/>
      </c>
      <c r="AI346" s="186" t="str">
        <f t="shared" si="394"/>
        <v/>
      </c>
      <c r="AJ346" s="185" t="str">
        <f t="shared" si="454"/>
        <v/>
      </c>
      <c r="AK346" s="187" t="str">
        <f t="shared" si="395"/>
        <v/>
      </c>
      <c r="AL346" s="603"/>
      <c r="AM346" s="189"/>
      <c r="AN346" s="194"/>
      <c r="AO346" s="190"/>
      <c r="AP346" s="190"/>
      <c r="AQ346" s="191"/>
      <c r="AR346" s="194"/>
    </row>
    <row r="347" spans="1:44" s="605" customFormat="1" ht="104.25" customHeight="1" x14ac:dyDescent="0.25">
      <c r="A347" s="252">
        <v>56</v>
      </c>
      <c r="B347" s="268" t="s">
        <v>898</v>
      </c>
      <c r="C347" s="263" t="s">
        <v>279</v>
      </c>
      <c r="D347" s="268" t="s">
        <v>899</v>
      </c>
      <c r="E347" s="505" t="s">
        <v>243</v>
      </c>
      <c r="F347" s="506" t="s">
        <v>900</v>
      </c>
      <c r="G347" s="506" t="s">
        <v>901</v>
      </c>
      <c r="H347" s="507" t="s">
        <v>902</v>
      </c>
      <c r="I347" s="248" t="s">
        <v>480</v>
      </c>
      <c r="J347" s="248" t="s">
        <v>480</v>
      </c>
      <c r="K347" s="248" t="s">
        <v>480</v>
      </c>
      <c r="L347" s="248" t="s">
        <v>480</v>
      </c>
      <c r="M347" s="253" t="s">
        <v>240</v>
      </c>
      <c r="N347" s="238"/>
      <c r="O347" s="256">
        <v>365</v>
      </c>
      <c r="P347" s="610" t="str">
        <f>IF(O347&lt;=0,"",IF(O347&lt;=2,"Muy Baja",IF(O347&lt;=24,"Baja",IF(O347&lt;=500,"Media",IF(O347&lt;=5000,"Alta","Muy Alta")))))</f>
        <v>Media</v>
      </c>
      <c r="Q347" s="611">
        <f>IF(P347="","",IF(P347="Muy Baja",0.2,IF(P347="Baja",0.4,IF(P347="Media",0.6,IF(P347="Alta",0.8,IF(P347="Muy Alta",1,))))))</f>
        <v>0.6</v>
      </c>
      <c r="R347" s="611" t="s">
        <v>193</v>
      </c>
      <c r="S347" s="611" t="str">
        <f ca="1">IF(NOT(ISERROR(MATCH(R347,'Tabla Impacto'!$B$221:$B$223,0))),'Tabla Impacto'!$F$223&amp;"Por favor no seleccionar los criterios de impacto(Afectación Económica o presupuestal y Pérdida Reputacional)",R347)</f>
        <v>El riesgo afecta la imagen de la entidad con algunos usuarios de relevancia frente al logro de los objetivos</v>
      </c>
      <c r="T347" s="610" t="str">
        <f ca="1">+IF(OR(S347='[1]Tabla Impacto'!$C$11,S347='[1]Tabla Impacto'!$D$11),"Leve",IF(OR(S347='[1]Tabla Impacto'!$C$12,S347='[1]Tabla Impacto'!$D$12),"Menor",IF(OR(S347='[1]Tabla Impacto'!$C$13,S347='[1]Tabla Impacto'!$D$13),"Moderado",IF(OR(S347='[1]Tabla Impacto'!$C$14,S347='[1]Tabla Impacto'!$D$14),"Mayor",IF(OR(S347='[1]Tabla Impacto'!$C$15,S347='[1]Tabla Impacto'!$D$15),"Catastrófico","")))))</f>
        <v>Moderado</v>
      </c>
      <c r="U347" s="611">
        <f t="shared" ref="U347" ca="1" si="455">IF(T347="","",IF(T347="Leve",0.2,IF(T347="Menor",0.4,IF(T347="Moderado",0.6,IF(T347="Mayor",0.8,IF(T347="Catastrófico",1,))))))</f>
        <v>0.6</v>
      </c>
      <c r="V347" s="252" t="str">
        <f t="shared" ref="V347" ca="1" si="456">IF(OR(AND(P347="Muy Baja",T347="Leve"),AND(P347="Muy Baja",T347="Menor"),AND(P347="Baja",T347="Leve")),"Bajo",IF(OR(AND(P347="Muy baja",T347="Moderado"),AND(P347="Baja",T347="Menor"),AND(P347="Baja",T347="Moderado"),AND(P347="Media",T347="Leve"),AND(P347="Media",T347="Menor"),AND(P347="Media",T347="Moderado"),AND(P347="Alta",T347="Leve"),AND(P347="Alta",T347="Menor")),"Moderado",IF(OR(AND(P347="Muy Baja",T347="Mayor"),AND(P347="Baja",T347="Mayor"),AND(P347="Media",T347="Mayor"),AND(P347="Alta",T347="Moderado"),AND(P347="Alta",T347="Mayor"),AND(P347="Muy Alta",T347="Leve"),AND(P347="Muy Alta",T347="Menor"),AND(P347="Muy Alta",T347="Moderado"),AND(P347="Muy Alta",T347="Mayor")),"Alto",IF(OR(AND(P347="Muy Baja",T347="Catastrófico"),AND(P347="Baja",T347="Catastrófico"),AND(P347="Media",T347="Catastrófico"),AND(P347="Alta",T347="Catastrófico"),AND(P347="Muy Alta",T347="Catastrófico")),"Extremo",""))))</f>
        <v>Moderado</v>
      </c>
      <c r="W347" s="194">
        <v>1</v>
      </c>
      <c r="X347" s="192" t="s">
        <v>903</v>
      </c>
      <c r="Y347" s="194" t="str">
        <f t="shared" si="391"/>
        <v>Probabilidad</v>
      </c>
      <c r="Z347" s="188" t="s">
        <v>211</v>
      </c>
      <c r="AA347" s="188" t="s">
        <v>219</v>
      </c>
      <c r="AB347" s="185" t="str">
        <f t="shared" si="398"/>
        <v>40%</v>
      </c>
      <c r="AC347" s="188" t="s">
        <v>222</v>
      </c>
      <c r="AD347" s="188" t="s">
        <v>229</v>
      </c>
      <c r="AE347" s="188" t="s">
        <v>231</v>
      </c>
      <c r="AF347" s="602">
        <f t="shared" ref="AF347" si="457">IFERROR(IF(Y347="Probabilidad",(Q347-(+Q347*AB347)),IF(Y347="Impacto",Q347,"")),"")</f>
        <v>0.36</v>
      </c>
      <c r="AG347" s="186" t="str">
        <f t="shared" si="392"/>
        <v>Baja</v>
      </c>
      <c r="AH347" s="185">
        <f t="shared" si="393"/>
        <v>0.36</v>
      </c>
      <c r="AI347" s="186" t="str">
        <f t="shared" ca="1" si="394"/>
        <v>Moderado</v>
      </c>
      <c r="AJ347" s="185">
        <f t="shared" ref="AJ347" ca="1" si="458">IFERROR(IF(Y347="Impacto",(U347-(+U347*AB347)),IF(Y347="Probabilidad",U347,"")),"")</f>
        <v>0.6</v>
      </c>
      <c r="AK347" s="187" t="str">
        <f t="shared" ca="1" si="395"/>
        <v>Moderado</v>
      </c>
      <c r="AL347" s="603" t="s">
        <v>258</v>
      </c>
      <c r="AM347" s="189"/>
      <c r="AN347" s="194"/>
      <c r="AO347" s="190"/>
      <c r="AP347" s="190"/>
      <c r="AQ347" s="191"/>
      <c r="AR347" s="194"/>
    </row>
    <row r="348" spans="1:44" s="605" customFormat="1" ht="131.25" customHeight="1" x14ac:dyDescent="0.25">
      <c r="A348" s="252"/>
      <c r="B348" s="264"/>
      <c r="C348" s="266"/>
      <c r="D348" s="264"/>
      <c r="E348" s="505"/>
      <c r="F348" s="506"/>
      <c r="G348" s="506"/>
      <c r="H348" s="507"/>
      <c r="I348" s="249"/>
      <c r="J348" s="249"/>
      <c r="K348" s="249"/>
      <c r="L348" s="249"/>
      <c r="M348" s="253"/>
      <c r="N348" s="251"/>
      <c r="O348" s="256"/>
      <c r="P348" s="610"/>
      <c r="Q348" s="611"/>
      <c r="R348" s="611"/>
      <c r="S348" s="611">
        <f ca="1">IF(NOT(ISERROR(MATCH(R348,_xlfn.ANCHORARRAY(H359),0))),Q361&amp;"Por favor no seleccionar los criterios de impacto",R348)</f>
        <v>0</v>
      </c>
      <c r="T348" s="610"/>
      <c r="U348" s="611"/>
      <c r="V348" s="252"/>
      <c r="W348" s="194">
        <v>2</v>
      </c>
      <c r="X348" s="522" t="s">
        <v>904</v>
      </c>
      <c r="Y348" s="194" t="str">
        <f t="shared" si="391"/>
        <v>Probabilidad</v>
      </c>
      <c r="Z348" s="188" t="s">
        <v>213</v>
      </c>
      <c r="AA348" s="188" t="s">
        <v>217</v>
      </c>
      <c r="AB348" s="185" t="str">
        <f t="shared" si="398"/>
        <v>40%</v>
      </c>
      <c r="AC348" s="188" t="s">
        <v>222</v>
      </c>
      <c r="AD348" s="188" t="s">
        <v>229</v>
      </c>
      <c r="AE348" s="188" t="s">
        <v>231</v>
      </c>
      <c r="AF348" s="602">
        <f t="shared" ref="AF348:AF352" si="459">IFERROR(IF(AND(Y347="Probabilidad",Y348="Probabilidad"),(AH347-(+AH347*AB348)),IF(Y348="Probabilidad",(Q347-(+Q347*AB348)),IF(Y348="Impacto",AH347,""))),"")</f>
        <v>0.216</v>
      </c>
      <c r="AG348" s="186" t="str">
        <f t="shared" si="392"/>
        <v>Baja</v>
      </c>
      <c r="AH348" s="185">
        <f t="shared" si="393"/>
        <v>0.216</v>
      </c>
      <c r="AI348" s="186" t="str">
        <f t="shared" ca="1" si="394"/>
        <v>Moderado</v>
      </c>
      <c r="AJ348" s="185">
        <f t="shared" ref="AJ348" ca="1" si="460">IFERROR(IF(AND(Y347="Impacto",Y348="Impacto"),(AJ347-(+AJ347*AB348)),IF(Y348="Impacto",(U347-(+U347*AB348)),IF(Y348="Probabilidad",AJ347,""))),"")</f>
        <v>0.6</v>
      </c>
      <c r="AK348" s="187" t="str">
        <f t="shared" ca="1" si="395"/>
        <v>Moderado</v>
      </c>
      <c r="AL348" s="603" t="s">
        <v>258</v>
      </c>
      <c r="AM348" s="189"/>
      <c r="AN348" s="194"/>
      <c r="AO348" s="190"/>
      <c r="AP348" s="190"/>
      <c r="AQ348" s="191"/>
      <c r="AR348" s="194"/>
    </row>
    <row r="349" spans="1:44" s="605" customFormat="1" ht="69" hidden="1" customHeight="1" x14ac:dyDescent="0.25">
      <c r="A349" s="252"/>
      <c r="B349" s="264"/>
      <c r="C349" s="266"/>
      <c r="D349" s="264"/>
      <c r="E349" s="505"/>
      <c r="F349" s="506"/>
      <c r="G349" s="506"/>
      <c r="H349" s="507"/>
      <c r="I349" s="249"/>
      <c r="J349" s="249"/>
      <c r="K349" s="249"/>
      <c r="L349" s="249"/>
      <c r="M349" s="253"/>
      <c r="N349" s="251"/>
      <c r="O349" s="256"/>
      <c r="P349" s="610"/>
      <c r="Q349" s="611"/>
      <c r="R349" s="611"/>
      <c r="S349" s="611">
        <f ca="1">IF(NOT(ISERROR(MATCH(R349,_xlfn.ANCHORARRAY(H360),0))),Q362&amp;"Por favor no seleccionar los criterios de impacto",R349)</f>
        <v>0</v>
      </c>
      <c r="T349" s="610"/>
      <c r="U349" s="611"/>
      <c r="V349" s="252"/>
      <c r="W349" s="194">
        <v>3</v>
      </c>
      <c r="X349" s="192"/>
      <c r="Y349" s="194" t="str">
        <f t="shared" si="391"/>
        <v/>
      </c>
      <c r="Z349" s="188"/>
      <c r="AA349" s="188"/>
      <c r="AB349" s="185" t="str">
        <f t="shared" si="398"/>
        <v/>
      </c>
      <c r="AC349" s="188"/>
      <c r="AD349" s="188"/>
      <c r="AE349" s="188"/>
      <c r="AF349" s="602" t="str">
        <f t="shared" si="459"/>
        <v/>
      </c>
      <c r="AG349" s="186" t="str">
        <f t="shared" si="392"/>
        <v/>
      </c>
      <c r="AH349" s="185" t="str">
        <f t="shared" si="393"/>
        <v/>
      </c>
      <c r="AI349" s="186" t="str">
        <f t="shared" si="394"/>
        <v/>
      </c>
      <c r="AJ349" s="185" t="str">
        <f t="shared" ref="AJ349:AJ352" si="461">IFERROR(IF(AND(Y348="Impacto",Y349="Impacto"),(AJ348-(+AJ348*AB349)),IF(AND(Y348="Probabilidad",Y349="Impacto"),(AJ347-(+AJ347*AB349)),IF(Y349="Probabilidad",AJ348,""))),"")</f>
        <v/>
      </c>
      <c r="AK349" s="187" t="str">
        <f t="shared" si="395"/>
        <v/>
      </c>
      <c r="AL349" s="603"/>
      <c r="AM349" s="189"/>
      <c r="AN349" s="194"/>
      <c r="AO349" s="190"/>
      <c r="AP349" s="190"/>
      <c r="AQ349" s="191"/>
      <c r="AR349" s="194"/>
    </row>
    <row r="350" spans="1:44" s="605" customFormat="1" ht="69" hidden="1" customHeight="1" x14ac:dyDescent="0.25">
      <c r="A350" s="252"/>
      <c r="B350" s="264"/>
      <c r="C350" s="266"/>
      <c r="D350" s="264"/>
      <c r="E350" s="505"/>
      <c r="F350" s="506"/>
      <c r="G350" s="506"/>
      <c r="H350" s="507"/>
      <c r="I350" s="249"/>
      <c r="J350" s="249"/>
      <c r="K350" s="249"/>
      <c r="L350" s="249"/>
      <c r="M350" s="253"/>
      <c r="N350" s="251"/>
      <c r="O350" s="256"/>
      <c r="P350" s="610"/>
      <c r="Q350" s="611"/>
      <c r="R350" s="611"/>
      <c r="S350" s="611">
        <f ca="1">IF(NOT(ISERROR(MATCH(R350,_xlfn.ANCHORARRAY(H361),0))),Q363&amp;"Por favor no seleccionar los criterios de impacto",R350)</f>
        <v>0</v>
      </c>
      <c r="T350" s="610"/>
      <c r="U350" s="611"/>
      <c r="V350" s="252"/>
      <c r="W350" s="194">
        <v>4</v>
      </c>
      <c r="X350" s="192"/>
      <c r="Y350" s="194" t="str">
        <f t="shared" si="391"/>
        <v/>
      </c>
      <c r="Z350" s="188"/>
      <c r="AA350" s="188"/>
      <c r="AB350" s="185" t="str">
        <f t="shared" si="398"/>
        <v/>
      </c>
      <c r="AC350" s="188"/>
      <c r="AD350" s="188"/>
      <c r="AE350" s="188"/>
      <c r="AF350" s="602" t="str">
        <f t="shared" si="459"/>
        <v/>
      </c>
      <c r="AG350" s="186" t="str">
        <f t="shared" si="392"/>
        <v/>
      </c>
      <c r="AH350" s="185" t="str">
        <f t="shared" si="393"/>
        <v/>
      </c>
      <c r="AI350" s="186" t="str">
        <f t="shared" si="394"/>
        <v/>
      </c>
      <c r="AJ350" s="185" t="str">
        <f t="shared" si="461"/>
        <v/>
      </c>
      <c r="AK350" s="187" t="str">
        <f t="shared" si="395"/>
        <v/>
      </c>
      <c r="AL350" s="603"/>
      <c r="AM350" s="189"/>
      <c r="AN350" s="194"/>
      <c r="AO350" s="190"/>
      <c r="AP350" s="190"/>
      <c r="AQ350" s="191"/>
      <c r="AR350" s="194"/>
    </row>
    <row r="351" spans="1:44" s="605" customFormat="1" ht="69" hidden="1" customHeight="1" x14ac:dyDescent="0.25">
      <c r="A351" s="252"/>
      <c r="B351" s="264"/>
      <c r="C351" s="266"/>
      <c r="D351" s="264"/>
      <c r="E351" s="505"/>
      <c r="F351" s="506"/>
      <c r="G351" s="506"/>
      <c r="H351" s="507"/>
      <c r="I351" s="249"/>
      <c r="J351" s="249"/>
      <c r="K351" s="249"/>
      <c r="L351" s="249"/>
      <c r="M351" s="253"/>
      <c r="N351" s="251"/>
      <c r="O351" s="256"/>
      <c r="P351" s="610"/>
      <c r="Q351" s="611"/>
      <c r="R351" s="611"/>
      <c r="S351" s="611">
        <f ca="1">IF(NOT(ISERROR(MATCH(R351,_xlfn.ANCHORARRAY(H362),0))),Q364&amp;"Por favor no seleccionar los criterios de impacto",R351)</f>
        <v>0</v>
      </c>
      <c r="T351" s="610"/>
      <c r="U351" s="611"/>
      <c r="V351" s="252"/>
      <c r="W351" s="194">
        <v>5</v>
      </c>
      <c r="X351" s="192"/>
      <c r="Y351" s="194" t="str">
        <f t="shared" si="391"/>
        <v/>
      </c>
      <c r="Z351" s="188"/>
      <c r="AA351" s="188"/>
      <c r="AB351" s="185" t="str">
        <f t="shared" si="398"/>
        <v/>
      </c>
      <c r="AC351" s="188"/>
      <c r="AD351" s="188"/>
      <c r="AE351" s="188"/>
      <c r="AF351" s="602" t="str">
        <f t="shared" si="459"/>
        <v/>
      </c>
      <c r="AG351" s="186" t="str">
        <f t="shared" si="392"/>
        <v/>
      </c>
      <c r="AH351" s="185" t="str">
        <f t="shared" si="393"/>
        <v/>
      </c>
      <c r="AI351" s="186" t="str">
        <f t="shared" si="394"/>
        <v/>
      </c>
      <c r="AJ351" s="185" t="str">
        <f t="shared" si="461"/>
        <v/>
      </c>
      <c r="AK351" s="187" t="str">
        <f t="shared" si="395"/>
        <v/>
      </c>
      <c r="AL351" s="603"/>
      <c r="AM351" s="189"/>
      <c r="AN351" s="194"/>
      <c r="AO351" s="190"/>
      <c r="AP351" s="190"/>
      <c r="AQ351" s="191"/>
      <c r="AR351" s="194"/>
    </row>
    <row r="352" spans="1:44" s="605" customFormat="1" ht="69" hidden="1" customHeight="1" x14ac:dyDescent="0.25">
      <c r="A352" s="252"/>
      <c r="B352" s="265"/>
      <c r="C352" s="267"/>
      <c r="D352" s="265"/>
      <c r="E352" s="505"/>
      <c r="F352" s="506"/>
      <c r="G352" s="506"/>
      <c r="H352" s="507"/>
      <c r="I352" s="250"/>
      <c r="J352" s="250"/>
      <c r="K352" s="250"/>
      <c r="L352" s="250"/>
      <c r="M352" s="253"/>
      <c r="N352" s="239"/>
      <c r="O352" s="256"/>
      <c r="P352" s="610"/>
      <c r="Q352" s="611"/>
      <c r="R352" s="611"/>
      <c r="S352" s="611">
        <f ca="1">IF(NOT(ISERROR(MATCH(R352,_xlfn.ANCHORARRAY(H363),0))),Q365&amp;"Por favor no seleccionar los criterios de impacto",R352)</f>
        <v>0</v>
      </c>
      <c r="T352" s="610"/>
      <c r="U352" s="611"/>
      <c r="V352" s="252"/>
      <c r="W352" s="194">
        <v>6</v>
      </c>
      <c r="X352" s="192"/>
      <c r="Y352" s="194" t="str">
        <f t="shared" si="391"/>
        <v/>
      </c>
      <c r="Z352" s="188"/>
      <c r="AA352" s="188"/>
      <c r="AB352" s="185" t="str">
        <f t="shared" si="398"/>
        <v/>
      </c>
      <c r="AC352" s="188"/>
      <c r="AD352" s="188"/>
      <c r="AE352" s="188"/>
      <c r="AF352" s="602" t="str">
        <f t="shared" si="459"/>
        <v/>
      </c>
      <c r="AG352" s="186" t="str">
        <f t="shared" si="392"/>
        <v/>
      </c>
      <c r="AH352" s="185" t="str">
        <f t="shared" si="393"/>
        <v/>
      </c>
      <c r="AI352" s="186" t="str">
        <f t="shared" si="394"/>
        <v/>
      </c>
      <c r="AJ352" s="185" t="str">
        <f t="shared" si="461"/>
        <v/>
      </c>
      <c r="AK352" s="187" t="str">
        <f t="shared" si="395"/>
        <v/>
      </c>
      <c r="AL352" s="603"/>
      <c r="AM352" s="189"/>
      <c r="AN352" s="194"/>
      <c r="AO352" s="190"/>
      <c r="AP352" s="190"/>
      <c r="AQ352" s="191"/>
      <c r="AR352" s="194"/>
    </row>
    <row r="353" spans="1:44" s="605" customFormat="1" ht="141" customHeight="1" x14ac:dyDescent="0.25">
      <c r="A353" s="252">
        <v>57</v>
      </c>
      <c r="B353" s="268" t="s">
        <v>905</v>
      </c>
      <c r="C353" s="238" t="s">
        <v>279</v>
      </c>
      <c r="D353" s="245" t="s">
        <v>899</v>
      </c>
      <c r="E353" s="238" t="s">
        <v>243</v>
      </c>
      <c r="F353" s="269" t="s">
        <v>906</v>
      </c>
      <c r="G353" s="269" t="s">
        <v>907</v>
      </c>
      <c r="H353" s="257" t="s">
        <v>908</v>
      </c>
      <c r="I353" s="248" t="s">
        <v>480</v>
      </c>
      <c r="J353" s="248" t="s">
        <v>480</v>
      </c>
      <c r="K353" s="248" t="s">
        <v>480</v>
      </c>
      <c r="L353" s="248" t="s">
        <v>480</v>
      </c>
      <c r="M353" s="253" t="s">
        <v>245</v>
      </c>
      <c r="N353" s="238"/>
      <c r="O353" s="256">
        <v>365</v>
      </c>
      <c r="P353" s="610" t="str">
        <f>IF(O353&lt;=0,"",IF(O353&lt;=2,"Muy Baja",IF(O353&lt;=24,"Baja",IF(O353&lt;=500,"Media",IF(O353&lt;=5000,"Alta","Muy Alta")))))</f>
        <v>Media</v>
      </c>
      <c r="Q353" s="611">
        <f>IF(P353="","",IF(P353="Muy Baja",0.2,IF(P353="Baja",0.4,IF(P353="Media",0.6,IF(P353="Alta",0.8,IF(P353="Muy Alta",1,))))))</f>
        <v>0.6</v>
      </c>
      <c r="R353" s="611" t="s">
        <v>193</v>
      </c>
      <c r="S353" s="611" t="str">
        <f ca="1">IF(NOT(ISERROR(MATCH(R353,'Tabla Impacto'!$B$221:$B$223,0))),'Tabla Impacto'!$F$223&amp;"Por favor no seleccionar los criterios de impacto(Afectación Económica o presupuestal y Pérdida Reputacional)",R353)</f>
        <v>El riesgo afecta la imagen de la entidad con algunos usuarios de relevancia frente al logro de los objetivos</v>
      </c>
      <c r="T353" s="610" t="str">
        <f ca="1">+IF(OR(S353='[1]Tabla Impacto'!$C$11,S353='[1]Tabla Impacto'!$D$11),"Leve",IF(OR(S353='[1]Tabla Impacto'!$C$12,S353='[1]Tabla Impacto'!$D$12),"Menor",IF(OR(S353='[1]Tabla Impacto'!$C$13,S353='[1]Tabla Impacto'!$D$13),"Moderado",IF(OR(S353='[1]Tabla Impacto'!$C$14,S353='[1]Tabla Impacto'!$D$14),"Mayor",IF(OR(S353='[1]Tabla Impacto'!$C$15,S353='[1]Tabla Impacto'!$D$15),"Catastrófico","")))))</f>
        <v>Moderado</v>
      </c>
      <c r="U353" s="611">
        <f t="shared" ref="U353" ca="1" si="462">IF(T353="","",IF(T353="Leve",0.2,IF(T353="Menor",0.4,IF(T353="Moderado",0.6,IF(T353="Mayor",0.8,IF(T353="Catastrófico",1,))))))</f>
        <v>0.6</v>
      </c>
      <c r="V353" s="252" t="str">
        <f t="shared" ref="V353" ca="1" si="463">IF(OR(AND(P353="Muy Baja",T353="Leve"),AND(P353="Muy Baja",T353="Menor"),AND(P353="Baja",T353="Leve")),"Bajo",IF(OR(AND(P353="Muy baja",T353="Moderado"),AND(P353="Baja",T353="Menor"),AND(P353="Baja",T353="Moderado"),AND(P353="Media",T353="Leve"),AND(P353="Media",T353="Menor"),AND(P353="Media",T353="Moderado"),AND(P353="Alta",T353="Leve"),AND(P353="Alta",T353="Menor")),"Moderado",IF(OR(AND(P353="Muy Baja",T353="Mayor"),AND(P353="Baja",T353="Mayor"),AND(P353="Media",T353="Mayor"),AND(P353="Alta",T353="Moderado"),AND(P353="Alta",T353="Mayor"),AND(P353="Muy Alta",T353="Leve"),AND(P353="Muy Alta",T353="Menor"),AND(P353="Muy Alta",T353="Moderado"),AND(P353="Muy Alta",T353="Mayor")),"Alto",IF(OR(AND(P353="Muy Baja",T353="Catastrófico"),AND(P353="Baja",T353="Catastrófico"),AND(P353="Media",T353="Catastrófico"),AND(P353="Alta",T353="Catastrófico"),AND(P353="Muy Alta",T353="Catastrófico")),"Extremo",""))))</f>
        <v>Moderado</v>
      </c>
      <c r="W353" s="194">
        <v>1</v>
      </c>
      <c r="X353" s="192" t="s">
        <v>909</v>
      </c>
      <c r="Y353" s="194" t="str">
        <f t="shared" si="391"/>
        <v>Probabilidad</v>
      </c>
      <c r="Z353" s="188" t="s">
        <v>211</v>
      </c>
      <c r="AA353" s="188" t="s">
        <v>219</v>
      </c>
      <c r="AB353" s="185" t="str">
        <f t="shared" si="398"/>
        <v>40%</v>
      </c>
      <c r="AC353" s="188" t="s">
        <v>222</v>
      </c>
      <c r="AD353" s="188" t="s">
        <v>227</v>
      </c>
      <c r="AE353" s="188" t="s">
        <v>231</v>
      </c>
      <c r="AF353" s="602">
        <f t="shared" ref="AF353" si="464">IFERROR(IF(Y353="Probabilidad",(Q353-(+Q353*AB353)),IF(Y353="Impacto",Q353,"")),"")</f>
        <v>0.36</v>
      </c>
      <c r="AG353" s="186" t="str">
        <f t="shared" si="392"/>
        <v>Baja</v>
      </c>
      <c r="AH353" s="185">
        <f t="shared" si="393"/>
        <v>0.36</v>
      </c>
      <c r="AI353" s="186" t="str">
        <f t="shared" ca="1" si="394"/>
        <v>Moderado</v>
      </c>
      <c r="AJ353" s="185">
        <f t="shared" ref="AJ353" ca="1" si="465">IFERROR(IF(Y353="Impacto",(U353-(+U353*AB353)),IF(Y353="Probabilidad",U353,"")),"")</f>
        <v>0.6</v>
      </c>
      <c r="AK353" s="187" t="str">
        <f t="shared" ca="1" si="395"/>
        <v>Moderado</v>
      </c>
      <c r="AL353" s="603" t="s">
        <v>258</v>
      </c>
      <c r="AM353" s="189"/>
      <c r="AN353" s="194"/>
      <c r="AO353" s="190"/>
      <c r="AP353" s="190"/>
      <c r="AQ353" s="191"/>
      <c r="AR353" s="194"/>
    </row>
    <row r="354" spans="1:44" s="605" customFormat="1" ht="181.5" customHeight="1" x14ac:dyDescent="0.25">
      <c r="A354" s="252"/>
      <c r="B354" s="264"/>
      <c r="C354" s="251"/>
      <c r="D354" s="246"/>
      <c r="E354" s="251"/>
      <c r="F354" s="270"/>
      <c r="G354" s="270"/>
      <c r="H354" s="258"/>
      <c r="I354" s="249"/>
      <c r="J354" s="249"/>
      <c r="K354" s="249"/>
      <c r="L354" s="249"/>
      <c r="M354" s="253"/>
      <c r="N354" s="251"/>
      <c r="O354" s="256"/>
      <c r="P354" s="610"/>
      <c r="Q354" s="611"/>
      <c r="R354" s="611"/>
      <c r="S354" s="611">
        <f ca="1">IF(NOT(ISERROR(MATCH(R354,_xlfn.ANCHORARRAY(H365),0))),Q367&amp;"Por favor no seleccionar los criterios de impacto",R354)</f>
        <v>0</v>
      </c>
      <c r="T354" s="610"/>
      <c r="U354" s="611"/>
      <c r="V354" s="252"/>
      <c r="W354" s="194">
        <v>2</v>
      </c>
      <c r="X354" s="192" t="s">
        <v>910</v>
      </c>
      <c r="Y354" s="194" t="str">
        <f t="shared" si="391"/>
        <v>Probabilidad</v>
      </c>
      <c r="Z354" s="188" t="s">
        <v>211</v>
      </c>
      <c r="AA354" s="188" t="s">
        <v>219</v>
      </c>
      <c r="AB354" s="185" t="str">
        <f t="shared" si="398"/>
        <v>40%</v>
      </c>
      <c r="AC354" s="188" t="s">
        <v>222</v>
      </c>
      <c r="AD354" s="188" t="s">
        <v>227</v>
      </c>
      <c r="AE354" s="188" t="s">
        <v>231</v>
      </c>
      <c r="AF354" s="602">
        <f t="shared" ref="AF354:AF358" si="466">IFERROR(IF(AND(Y353="Probabilidad",Y354="Probabilidad"),(AH353-(+AH353*AB354)),IF(Y354="Probabilidad",(Q353-(+Q353*AB354)),IF(Y354="Impacto",AH353,""))),"")</f>
        <v>0.216</v>
      </c>
      <c r="AG354" s="186" t="str">
        <f t="shared" si="392"/>
        <v>Baja</v>
      </c>
      <c r="AH354" s="185">
        <f t="shared" si="393"/>
        <v>0.216</v>
      </c>
      <c r="AI354" s="186" t="str">
        <f t="shared" ca="1" si="394"/>
        <v>Moderado</v>
      </c>
      <c r="AJ354" s="185">
        <f t="shared" ref="AJ354" ca="1" si="467">IFERROR(IF(AND(Y353="Impacto",Y354="Impacto"),(AJ353-(+AJ353*AB354)),IF(Y354="Impacto",(U353-(+U353*AB354)),IF(Y354="Probabilidad",AJ353,""))),"")</f>
        <v>0.6</v>
      </c>
      <c r="AK354" s="187" t="str">
        <f t="shared" ca="1" si="395"/>
        <v>Moderado</v>
      </c>
      <c r="AL354" s="603" t="s">
        <v>258</v>
      </c>
      <c r="AM354" s="189"/>
      <c r="AN354" s="194"/>
      <c r="AO354" s="190"/>
      <c r="AP354" s="190"/>
      <c r="AQ354" s="191"/>
      <c r="AR354" s="194"/>
    </row>
    <row r="355" spans="1:44" s="605" customFormat="1" ht="69" hidden="1" customHeight="1" x14ac:dyDescent="0.25">
      <c r="A355" s="252"/>
      <c r="B355" s="264"/>
      <c r="C355" s="251"/>
      <c r="D355" s="246"/>
      <c r="E355" s="251"/>
      <c r="F355" s="270"/>
      <c r="G355" s="270"/>
      <c r="H355" s="258"/>
      <c r="I355" s="249"/>
      <c r="J355" s="249"/>
      <c r="K355" s="249"/>
      <c r="L355" s="249"/>
      <c r="M355" s="253"/>
      <c r="N355" s="251"/>
      <c r="O355" s="256"/>
      <c r="P355" s="610"/>
      <c r="Q355" s="611"/>
      <c r="R355" s="611"/>
      <c r="S355" s="611">
        <f ca="1">IF(NOT(ISERROR(MATCH(R355,_xlfn.ANCHORARRAY(H366),0))),Q368&amp;"Por favor no seleccionar los criterios de impacto",R355)</f>
        <v>0</v>
      </c>
      <c r="T355" s="610"/>
      <c r="U355" s="611"/>
      <c r="V355" s="252"/>
      <c r="W355" s="194">
        <v>3</v>
      </c>
      <c r="X355" s="192"/>
      <c r="Y355" s="194" t="str">
        <f t="shared" si="391"/>
        <v/>
      </c>
      <c r="Z355" s="188"/>
      <c r="AA355" s="188"/>
      <c r="AB355" s="185" t="str">
        <f t="shared" si="398"/>
        <v/>
      </c>
      <c r="AC355" s="188"/>
      <c r="AD355" s="188"/>
      <c r="AE355" s="188"/>
      <c r="AF355" s="602" t="str">
        <f t="shared" si="466"/>
        <v/>
      </c>
      <c r="AG355" s="186" t="str">
        <f t="shared" si="392"/>
        <v/>
      </c>
      <c r="AH355" s="185" t="str">
        <f t="shared" si="393"/>
        <v/>
      </c>
      <c r="AI355" s="186" t="str">
        <f t="shared" si="394"/>
        <v/>
      </c>
      <c r="AJ355" s="185" t="str">
        <f t="shared" ref="AJ355:AJ358" si="468">IFERROR(IF(AND(Y354="Impacto",Y355="Impacto"),(AJ354-(+AJ354*AB355)),IF(AND(Y354="Probabilidad",Y355="Impacto"),(AJ353-(+AJ353*AB355)),IF(Y355="Probabilidad",AJ354,""))),"")</f>
        <v/>
      </c>
      <c r="AK355" s="187" t="str">
        <f t="shared" si="395"/>
        <v/>
      </c>
      <c r="AL355" s="603"/>
      <c r="AM355" s="189"/>
      <c r="AN355" s="194"/>
      <c r="AO355" s="190"/>
      <c r="AP355" s="190"/>
      <c r="AQ355" s="191"/>
      <c r="AR355" s="194"/>
    </row>
    <row r="356" spans="1:44" s="605" customFormat="1" ht="69" hidden="1" customHeight="1" x14ac:dyDescent="0.25">
      <c r="A356" s="252"/>
      <c r="B356" s="264"/>
      <c r="C356" s="251"/>
      <c r="D356" s="246"/>
      <c r="E356" s="251"/>
      <c r="F356" s="270"/>
      <c r="G356" s="270"/>
      <c r="H356" s="258"/>
      <c r="I356" s="249"/>
      <c r="J356" s="249"/>
      <c r="K356" s="249"/>
      <c r="L356" s="249"/>
      <c r="M356" s="253"/>
      <c r="N356" s="251"/>
      <c r="O356" s="256"/>
      <c r="P356" s="610"/>
      <c r="Q356" s="611"/>
      <c r="R356" s="611"/>
      <c r="S356" s="611">
        <f ca="1">IF(NOT(ISERROR(MATCH(R356,_xlfn.ANCHORARRAY(H367),0))),Q369&amp;"Por favor no seleccionar los criterios de impacto",R356)</f>
        <v>0</v>
      </c>
      <c r="T356" s="610"/>
      <c r="U356" s="611"/>
      <c r="V356" s="252"/>
      <c r="W356" s="194">
        <v>4</v>
      </c>
      <c r="X356" s="192"/>
      <c r="Y356" s="194" t="str">
        <f t="shared" si="391"/>
        <v/>
      </c>
      <c r="Z356" s="188"/>
      <c r="AA356" s="188"/>
      <c r="AB356" s="185" t="str">
        <f t="shared" si="398"/>
        <v/>
      </c>
      <c r="AC356" s="188"/>
      <c r="AD356" s="188"/>
      <c r="AE356" s="188"/>
      <c r="AF356" s="602" t="str">
        <f t="shared" si="466"/>
        <v/>
      </c>
      <c r="AG356" s="186" t="str">
        <f t="shared" si="392"/>
        <v/>
      </c>
      <c r="AH356" s="185" t="str">
        <f t="shared" si="393"/>
        <v/>
      </c>
      <c r="AI356" s="186" t="str">
        <f t="shared" si="394"/>
        <v/>
      </c>
      <c r="AJ356" s="185" t="str">
        <f t="shared" si="468"/>
        <v/>
      </c>
      <c r="AK356" s="187" t="str">
        <f t="shared" si="395"/>
        <v/>
      </c>
      <c r="AL356" s="603"/>
      <c r="AM356" s="189"/>
      <c r="AN356" s="194"/>
      <c r="AO356" s="190"/>
      <c r="AP356" s="190"/>
      <c r="AQ356" s="191"/>
      <c r="AR356" s="194"/>
    </row>
    <row r="357" spans="1:44" s="605" customFormat="1" ht="69" hidden="1" customHeight="1" x14ac:dyDescent="0.25">
      <c r="A357" s="252"/>
      <c r="B357" s="264"/>
      <c r="C357" s="251"/>
      <c r="D357" s="246"/>
      <c r="E357" s="251"/>
      <c r="F357" s="270"/>
      <c r="G357" s="270"/>
      <c r="H357" s="258"/>
      <c r="I357" s="249"/>
      <c r="J357" s="249"/>
      <c r="K357" s="249"/>
      <c r="L357" s="249"/>
      <c r="M357" s="253"/>
      <c r="N357" s="251"/>
      <c r="O357" s="256"/>
      <c r="P357" s="610"/>
      <c r="Q357" s="611"/>
      <c r="R357" s="611"/>
      <c r="S357" s="611">
        <f ca="1">IF(NOT(ISERROR(MATCH(R357,_xlfn.ANCHORARRAY(H368),0))),Q370&amp;"Por favor no seleccionar los criterios de impacto",R357)</f>
        <v>0</v>
      </c>
      <c r="T357" s="610"/>
      <c r="U357" s="611"/>
      <c r="V357" s="252"/>
      <c r="W357" s="194">
        <v>5</v>
      </c>
      <c r="X357" s="192"/>
      <c r="Y357" s="194" t="str">
        <f t="shared" si="391"/>
        <v/>
      </c>
      <c r="Z357" s="188"/>
      <c r="AA357" s="188"/>
      <c r="AB357" s="185" t="str">
        <f t="shared" si="398"/>
        <v/>
      </c>
      <c r="AC357" s="188"/>
      <c r="AD357" s="188"/>
      <c r="AE357" s="188"/>
      <c r="AF357" s="602" t="str">
        <f t="shared" si="466"/>
        <v/>
      </c>
      <c r="AG357" s="186" t="str">
        <f t="shared" si="392"/>
        <v/>
      </c>
      <c r="AH357" s="185" t="str">
        <f t="shared" si="393"/>
        <v/>
      </c>
      <c r="AI357" s="186" t="str">
        <f t="shared" si="394"/>
        <v/>
      </c>
      <c r="AJ357" s="185" t="str">
        <f t="shared" si="468"/>
        <v/>
      </c>
      <c r="AK357" s="187" t="str">
        <f t="shared" si="395"/>
        <v/>
      </c>
      <c r="AL357" s="603"/>
      <c r="AM357" s="189"/>
      <c r="AN357" s="194"/>
      <c r="AO357" s="190"/>
      <c r="AP357" s="190"/>
      <c r="AQ357" s="191"/>
      <c r="AR357" s="194"/>
    </row>
    <row r="358" spans="1:44" s="605" customFormat="1" ht="69" hidden="1" customHeight="1" x14ac:dyDescent="0.25">
      <c r="A358" s="252"/>
      <c r="B358" s="265"/>
      <c r="C358" s="239"/>
      <c r="D358" s="247"/>
      <c r="E358" s="239"/>
      <c r="F358" s="271"/>
      <c r="G358" s="271"/>
      <c r="H358" s="259"/>
      <c r="I358" s="250"/>
      <c r="J358" s="250"/>
      <c r="K358" s="250"/>
      <c r="L358" s="250"/>
      <c r="M358" s="253"/>
      <c r="N358" s="239"/>
      <c r="O358" s="256"/>
      <c r="P358" s="610"/>
      <c r="Q358" s="611"/>
      <c r="R358" s="611"/>
      <c r="S358" s="611">
        <f ca="1">IF(NOT(ISERROR(MATCH(R358,_xlfn.ANCHORARRAY(H369),0))),Q371&amp;"Por favor no seleccionar los criterios de impacto",R358)</f>
        <v>0</v>
      </c>
      <c r="T358" s="610"/>
      <c r="U358" s="611"/>
      <c r="V358" s="252"/>
      <c r="W358" s="194">
        <v>6</v>
      </c>
      <c r="X358" s="192"/>
      <c r="Y358" s="194" t="str">
        <f t="shared" ref="Y358:Y421" si="469">IF(OR(Z358="Preventivo",Z358="Detectivo"),"Probabilidad",IF(Z358="Correctivo","Impacto",""))</f>
        <v/>
      </c>
      <c r="Z358" s="188"/>
      <c r="AA358" s="188"/>
      <c r="AB358" s="185" t="str">
        <f t="shared" si="398"/>
        <v/>
      </c>
      <c r="AC358" s="188"/>
      <c r="AD358" s="188"/>
      <c r="AE358" s="188"/>
      <c r="AF358" s="602" t="str">
        <f t="shared" si="466"/>
        <v/>
      </c>
      <c r="AG358" s="186" t="str">
        <f t="shared" ref="AG358:AG421" si="470">IFERROR(IF(AF358="","",IF(AF358&lt;=0.2,"Muy Baja",IF(AF358&lt;=0.4,"Baja",IF(AF358&lt;=0.6,"Media",IF(AF358&lt;=0.8,"Alta","Muy Alta"))))),"")</f>
        <v/>
      </c>
      <c r="AH358" s="185" t="str">
        <f t="shared" ref="AH358:AH421" si="471">+AF358</f>
        <v/>
      </c>
      <c r="AI358" s="186" t="str">
        <f t="shared" ref="AI358:AI421" si="472">IFERROR(IF(AJ358="","",IF(AJ358&lt;=0.2,"Leve",IF(AJ358&lt;=0.4,"Menor",IF(AJ358&lt;=0.6,"Moderado",IF(AJ358&lt;=0.8,"Mayor","Catastrófico"))))),"")</f>
        <v/>
      </c>
      <c r="AJ358" s="185" t="str">
        <f t="shared" si="468"/>
        <v/>
      </c>
      <c r="AK358" s="187" t="str">
        <f t="shared" ref="AK358:AK421" si="473">IFERROR(IF(OR(AND(AG358="Muy Baja",AI358="Leve"),AND(AG358="Muy Baja",AI358="Menor"),AND(AG358="Baja",AI358="Leve")),"Bajo",IF(OR(AND(AG358="Muy baja",AI358="Moderado"),AND(AG358="Baja",AI358="Menor"),AND(AG358="Baja",AI358="Moderado"),AND(AG358="Media",AI358="Leve"),AND(AG358="Media",AI358="Menor"),AND(AG358="Media",AI358="Moderado"),AND(AG358="Alta",AI358="Leve"),AND(AG358="Alta",AI358="Menor")),"Moderado",IF(OR(AND(AG358="Muy Baja",AI358="Mayor"),AND(AG358="Baja",AI358="Mayor"),AND(AG358="Media",AI358="Mayor"),AND(AG358="Alta",AI358="Moderado"),AND(AG358="Alta",AI358="Mayor"),AND(AG358="Muy Alta",AI358="Leve"),AND(AG358="Muy Alta",AI358="Menor"),AND(AG358="Muy Alta",AI358="Moderado"),AND(AG358="Muy Alta",AI358="Mayor")),"Alto",IF(OR(AND(AG358="Muy Baja",AI358="Catastrófico"),AND(AG358="Baja",AI358="Catastrófico"),AND(AG358="Media",AI358="Catastrófico"),AND(AG358="Alta",AI358="Catastrófico"),AND(AG358="Muy Alta",AI358="Catastrófico")),"Extremo","")))),"")</f>
        <v/>
      </c>
      <c r="AL358" s="603"/>
      <c r="AM358" s="189"/>
      <c r="AN358" s="194"/>
      <c r="AO358" s="190"/>
      <c r="AP358" s="190"/>
      <c r="AQ358" s="191"/>
      <c r="AR358" s="194"/>
    </row>
    <row r="359" spans="1:44" s="605" customFormat="1" ht="162" customHeight="1" x14ac:dyDescent="0.25">
      <c r="A359" s="252">
        <v>58</v>
      </c>
      <c r="B359" s="268" t="s">
        <v>911</v>
      </c>
      <c r="C359" s="263" t="s">
        <v>279</v>
      </c>
      <c r="D359" s="268" t="s">
        <v>899</v>
      </c>
      <c r="E359" s="263" t="s">
        <v>243</v>
      </c>
      <c r="F359" s="506" t="s">
        <v>912</v>
      </c>
      <c r="G359" s="506" t="s">
        <v>913</v>
      </c>
      <c r="H359" s="507" t="s">
        <v>914</v>
      </c>
      <c r="I359" s="248" t="s">
        <v>480</v>
      </c>
      <c r="J359" s="248" t="s">
        <v>480</v>
      </c>
      <c r="K359" s="248" t="s">
        <v>480</v>
      </c>
      <c r="L359" s="248" t="s">
        <v>480</v>
      </c>
      <c r="M359" s="253" t="s">
        <v>245</v>
      </c>
      <c r="N359" s="238"/>
      <c r="O359" s="256">
        <v>365</v>
      </c>
      <c r="P359" s="610" t="str">
        <f>IF(O359&lt;=0,"",IF(O359&lt;=2,"Muy Baja",IF(O359&lt;=24,"Baja",IF(O359&lt;=500,"Media",IF(O359&lt;=5000,"Alta","Muy Alta")))))</f>
        <v>Media</v>
      </c>
      <c r="Q359" s="611">
        <f>IF(P359="","",IF(P359="Muy Baja",0.2,IF(P359="Baja",0.4,IF(P359="Media",0.6,IF(P359="Alta",0.8,IF(P359="Muy Alta",1,))))))</f>
        <v>0.6</v>
      </c>
      <c r="R359" s="611" t="s">
        <v>195</v>
      </c>
      <c r="S359" s="611" t="str">
        <f ca="1">IF(NOT(ISERROR(MATCH(R359,'Tabla Impacto'!$B$221:$B$223,0))),'Tabla Impacto'!$F$223&amp;"Por favor no seleccionar los criterios de impacto(Afectación Económica o presupuestal y Pérdida Reputacional)",R359)</f>
        <v xml:space="preserve">Entre 100 y 500 SMLMV </v>
      </c>
      <c r="T359" s="610" t="str">
        <f ca="1">+IF(OR(S359='[1]Tabla Impacto'!$C$11,S359='[1]Tabla Impacto'!$D$11),"Leve",IF(OR(S359='[1]Tabla Impacto'!$C$12,S359='[1]Tabla Impacto'!$D$12),"Menor",IF(OR(S359='[1]Tabla Impacto'!$C$13,S359='[1]Tabla Impacto'!$D$13),"Moderado",IF(OR(S359='[1]Tabla Impacto'!$C$14,S359='[1]Tabla Impacto'!$D$14),"Mayor",IF(OR(S359='[1]Tabla Impacto'!$C$15,S359='[1]Tabla Impacto'!$D$15),"Catastrófico","")))))</f>
        <v>Mayor</v>
      </c>
      <c r="U359" s="611">
        <f t="shared" ref="U359" ca="1" si="474">IF(T359="","",IF(T359="Leve",0.2,IF(T359="Menor",0.4,IF(T359="Moderado",0.6,IF(T359="Mayor",0.8,IF(T359="Catastrófico",1,))))))</f>
        <v>0.8</v>
      </c>
      <c r="V359" s="252" t="str">
        <f t="shared" ref="V359" ca="1" si="475">IF(OR(AND(P359="Muy Baja",T359="Leve"),AND(P359="Muy Baja",T359="Menor"),AND(P359="Baja",T359="Leve")),"Bajo",IF(OR(AND(P359="Muy baja",T359="Moderado"),AND(P359="Baja",T359="Menor"),AND(P359="Baja",T359="Moderado"),AND(P359="Media",T359="Leve"),AND(P359="Media",T359="Menor"),AND(P359="Media",T359="Moderado"),AND(P359="Alta",T359="Leve"),AND(P359="Alta",T359="Menor")),"Moderado",IF(OR(AND(P359="Muy Baja",T359="Mayor"),AND(P359="Baja",T359="Mayor"),AND(P359="Media",T359="Mayor"),AND(P359="Alta",T359="Moderado"),AND(P359="Alta",T359="Mayor"),AND(P359="Muy Alta",T359="Leve"),AND(P359="Muy Alta",T359="Menor"),AND(P359="Muy Alta",T359="Moderado"),AND(P359="Muy Alta",T359="Mayor")),"Alto",IF(OR(AND(P359="Muy Baja",T359="Catastrófico"),AND(P359="Baja",T359="Catastrófico"),AND(P359="Media",T359="Catastrófico"),AND(P359="Alta",T359="Catastrófico"),AND(P359="Muy Alta",T359="Catastrófico")),"Extremo",""))))</f>
        <v>Alto</v>
      </c>
      <c r="W359" s="194">
        <v>1</v>
      </c>
      <c r="X359" s="192" t="s">
        <v>915</v>
      </c>
      <c r="Y359" s="194" t="str">
        <f t="shared" si="469"/>
        <v>Probabilidad</v>
      </c>
      <c r="Z359" s="188" t="s">
        <v>211</v>
      </c>
      <c r="AA359" s="188" t="s">
        <v>219</v>
      </c>
      <c r="AB359" s="185" t="str">
        <f t="shared" ref="AB359:AB360" si="476">IF(AND(Z359="Preventivo",AA359="Automático"),"50%",IF(AND(Z359="Preventivo",AA359="Manual"),"40%",IF(AND(Z359="Detectivo",AA359="Automático"),"40%",IF(AND(Z359="Detectivo",AA359="Manual"),"30%",IF(AND(Z359="Correctivo",AA359="Automático"),"35%",IF(AND(Z359="Correctivo",AA359="Manual"),"25%",""))))))</f>
        <v>40%</v>
      </c>
      <c r="AC359" s="188" t="s">
        <v>222</v>
      </c>
      <c r="AD359" s="188" t="s">
        <v>227</v>
      </c>
      <c r="AE359" s="188" t="s">
        <v>231</v>
      </c>
      <c r="AF359" s="602">
        <f t="shared" ref="AF359" si="477">IFERROR(IF(Y359="Probabilidad",(Q359-(+Q359*AB359)),IF(Y359="Impacto",Q359,"")),"")</f>
        <v>0.36</v>
      </c>
      <c r="AG359" s="186" t="str">
        <f t="shared" si="470"/>
        <v>Baja</v>
      </c>
      <c r="AH359" s="185">
        <f t="shared" si="471"/>
        <v>0.36</v>
      </c>
      <c r="AI359" s="186" t="str">
        <f t="shared" ca="1" si="472"/>
        <v>Mayor</v>
      </c>
      <c r="AJ359" s="185">
        <f t="shared" ref="AJ359" ca="1" si="478">IFERROR(IF(Y359="Impacto",(U359-(+U359*AB359)),IF(Y359="Probabilidad",U359,"")),"")</f>
        <v>0.8</v>
      </c>
      <c r="AK359" s="187" t="str">
        <f t="shared" ca="1" si="473"/>
        <v>Alto</v>
      </c>
      <c r="AL359" s="603" t="s">
        <v>265</v>
      </c>
      <c r="AM359" s="189"/>
      <c r="AN359" s="194"/>
      <c r="AO359" s="190"/>
      <c r="AP359" s="190"/>
      <c r="AQ359" s="191"/>
      <c r="AR359" s="194"/>
    </row>
    <row r="360" spans="1:44" s="605" customFormat="1" ht="157.5" customHeight="1" x14ac:dyDescent="0.25">
      <c r="A360" s="252"/>
      <c r="B360" s="264"/>
      <c r="C360" s="266"/>
      <c r="D360" s="264"/>
      <c r="E360" s="266"/>
      <c r="F360" s="506"/>
      <c r="G360" s="506"/>
      <c r="H360" s="507"/>
      <c r="I360" s="249"/>
      <c r="J360" s="249"/>
      <c r="K360" s="249"/>
      <c r="L360" s="249"/>
      <c r="M360" s="253"/>
      <c r="N360" s="251"/>
      <c r="O360" s="256"/>
      <c r="P360" s="610"/>
      <c r="Q360" s="611"/>
      <c r="R360" s="611"/>
      <c r="S360" s="611">
        <f ca="1">IF(NOT(ISERROR(MATCH(R360,_xlfn.ANCHORARRAY(H371),0))),Q373&amp;"Por favor no seleccionar los criterios de impacto",R360)</f>
        <v>0</v>
      </c>
      <c r="T360" s="610"/>
      <c r="U360" s="611"/>
      <c r="V360" s="252"/>
      <c r="W360" s="194">
        <v>2</v>
      </c>
      <c r="X360" s="192" t="s">
        <v>916</v>
      </c>
      <c r="Y360" s="194" t="str">
        <f t="shared" si="469"/>
        <v>Impacto</v>
      </c>
      <c r="Z360" s="188" t="s">
        <v>215</v>
      </c>
      <c r="AA360" s="188" t="s">
        <v>219</v>
      </c>
      <c r="AB360" s="185" t="str">
        <f t="shared" si="476"/>
        <v>25%</v>
      </c>
      <c r="AC360" s="188" t="s">
        <v>222</v>
      </c>
      <c r="AD360" s="188" t="s">
        <v>227</v>
      </c>
      <c r="AE360" s="188" t="s">
        <v>231</v>
      </c>
      <c r="AF360" s="602">
        <f t="shared" ref="AF360:AF364" si="479">IFERROR(IF(AND(Y359="Probabilidad",Y360="Probabilidad"),(AH359-(+AH359*AB360)),IF(Y360="Probabilidad",(Q359-(+Q359*AB360)),IF(Y360="Impacto",AH359,""))),"")</f>
        <v>0.36</v>
      </c>
      <c r="AG360" s="186" t="str">
        <f t="shared" si="470"/>
        <v>Baja</v>
      </c>
      <c r="AH360" s="185">
        <f t="shared" si="471"/>
        <v>0.36</v>
      </c>
      <c r="AI360" s="186" t="str">
        <f t="shared" ca="1" si="472"/>
        <v>Moderado</v>
      </c>
      <c r="AJ360" s="185">
        <f t="shared" ref="AJ360" ca="1" si="480">IFERROR(IF(AND(Y359="Impacto",Y360="Impacto"),(AJ359-(+AJ359*AB360)),IF(Y360="Impacto",(U359-(+U359*AB360)),IF(Y360="Probabilidad",AJ359,""))),"")</f>
        <v>0.60000000000000009</v>
      </c>
      <c r="AK360" s="187" t="str">
        <f t="shared" ca="1" si="473"/>
        <v>Moderado</v>
      </c>
      <c r="AL360" s="603" t="s">
        <v>258</v>
      </c>
      <c r="AM360" s="189"/>
      <c r="AN360" s="194"/>
      <c r="AO360" s="190"/>
      <c r="AP360" s="190"/>
      <c r="AQ360" s="191"/>
      <c r="AR360" s="194"/>
    </row>
    <row r="361" spans="1:44" s="605" customFormat="1" ht="69" hidden="1" customHeight="1" x14ac:dyDescent="0.25">
      <c r="A361" s="252"/>
      <c r="B361" s="264"/>
      <c r="C361" s="266"/>
      <c r="D361" s="264"/>
      <c r="E361" s="266"/>
      <c r="F361" s="506"/>
      <c r="G361" s="506"/>
      <c r="H361" s="507"/>
      <c r="I361" s="249"/>
      <c r="J361" s="249"/>
      <c r="K361" s="249"/>
      <c r="L361" s="249"/>
      <c r="M361" s="253"/>
      <c r="N361" s="251"/>
      <c r="O361" s="256"/>
      <c r="P361" s="610"/>
      <c r="Q361" s="611"/>
      <c r="R361" s="611"/>
      <c r="S361" s="611">
        <f ca="1">IF(NOT(ISERROR(MATCH(R361,_xlfn.ANCHORARRAY(H372),0))),Q374&amp;"Por favor no seleccionar los criterios de impacto",R361)</f>
        <v>0</v>
      </c>
      <c r="T361" s="610"/>
      <c r="U361" s="611"/>
      <c r="V361" s="252"/>
      <c r="W361" s="194">
        <v>3</v>
      </c>
      <c r="X361" s="192"/>
      <c r="Y361" s="194" t="str">
        <f t="shared" si="469"/>
        <v/>
      </c>
      <c r="Z361" s="188"/>
      <c r="AA361" s="188"/>
      <c r="AB361" s="185" t="str">
        <f t="shared" ref="AB359:AB422" si="481">IF(AND(Z361="Preventivo",AA361="Automático"),"50%",IF(AND(Z361="Preventivo",AA361="Manual"),"40%",IF(AND(Z361="Detectivo",AA361="Automático"),"40%",IF(AND(Z361="Detectivo",AA361="Manual"),"30%",IF(AND(Z361="Correctivo",AA361="Automático"),"35%",IF(AND(Z361="Correctivo",AA361="Manual"),"25%",""))))))</f>
        <v/>
      </c>
      <c r="AC361" s="188"/>
      <c r="AD361" s="188"/>
      <c r="AE361" s="188"/>
      <c r="AF361" s="602" t="str">
        <f t="shared" si="479"/>
        <v/>
      </c>
      <c r="AG361" s="186" t="str">
        <f t="shared" si="470"/>
        <v/>
      </c>
      <c r="AH361" s="185" t="str">
        <f t="shared" si="471"/>
        <v/>
      </c>
      <c r="AI361" s="186" t="str">
        <f t="shared" si="472"/>
        <v/>
      </c>
      <c r="AJ361" s="185" t="str">
        <f t="shared" ref="AJ361:AJ364" si="482">IFERROR(IF(AND(Y360="Impacto",Y361="Impacto"),(AJ360-(+AJ360*AB361)),IF(AND(Y360="Probabilidad",Y361="Impacto"),(AJ359-(+AJ359*AB361)),IF(Y361="Probabilidad",AJ360,""))),"")</f>
        <v/>
      </c>
      <c r="AK361" s="187" t="str">
        <f t="shared" si="473"/>
        <v/>
      </c>
      <c r="AL361" s="603"/>
      <c r="AM361" s="189"/>
      <c r="AN361" s="194"/>
      <c r="AO361" s="190"/>
      <c r="AP361" s="190"/>
      <c r="AQ361" s="191"/>
      <c r="AR361" s="194"/>
    </row>
    <row r="362" spans="1:44" s="605" customFormat="1" ht="69" hidden="1" customHeight="1" x14ac:dyDescent="0.25">
      <c r="A362" s="252"/>
      <c r="B362" s="264"/>
      <c r="C362" s="266"/>
      <c r="D362" s="264"/>
      <c r="E362" s="266"/>
      <c r="F362" s="506"/>
      <c r="G362" s="506"/>
      <c r="H362" s="507"/>
      <c r="I362" s="249"/>
      <c r="J362" s="249"/>
      <c r="K362" s="249"/>
      <c r="L362" s="249"/>
      <c r="M362" s="253"/>
      <c r="N362" s="251"/>
      <c r="O362" s="256"/>
      <c r="P362" s="610"/>
      <c r="Q362" s="611"/>
      <c r="R362" s="611"/>
      <c r="S362" s="611">
        <f ca="1">IF(NOT(ISERROR(MATCH(R362,_xlfn.ANCHORARRAY(H373),0))),Q375&amp;"Por favor no seleccionar los criterios de impacto",R362)</f>
        <v>0</v>
      </c>
      <c r="T362" s="610"/>
      <c r="U362" s="611"/>
      <c r="V362" s="252"/>
      <c r="W362" s="194">
        <v>4</v>
      </c>
      <c r="X362" s="192"/>
      <c r="Y362" s="194" t="str">
        <f t="shared" si="469"/>
        <v/>
      </c>
      <c r="Z362" s="188"/>
      <c r="AA362" s="188"/>
      <c r="AB362" s="185" t="str">
        <f t="shared" si="481"/>
        <v/>
      </c>
      <c r="AC362" s="188"/>
      <c r="AD362" s="188"/>
      <c r="AE362" s="188"/>
      <c r="AF362" s="602" t="str">
        <f t="shared" si="479"/>
        <v/>
      </c>
      <c r="AG362" s="186" t="str">
        <f t="shared" si="470"/>
        <v/>
      </c>
      <c r="AH362" s="185" t="str">
        <f t="shared" si="471"/>
        <v/>
      </c>
      <c r="AI362" s="186" t="str">
        <f t="shared" si="472"/>
        <v/>
      </c>
      <c r="AJ362" s="185" t="str">
        <f t="shared" si="482"/>
        <v/>
      </c>
      <c r="AK362" s="187" t="str">
        <f t="shared" si="473"/>
        <v/>
      </c>
      <c r="AL362" s="603"/>
      <c r="AM362" s="189"/>
      <c r="AN362" s="194"/>
      <c r="AO362" s="190"/>
      <c r="AP362" s="190"/>
      <c r="AQ362" s="191"/>
      <c r="AR362" s="194"/>
    </row>
    <row r="363" spans="1:44" s="605" customFormat="1" ht="69" hidden="1" customHeight="1" x14ac:dyDescent="0.25">
      <c r="A363" s="252"/>
      <c r="B363" s="264"/>
      <c r="C363" s="266"/>
      <c r="D363" s="264"/>
      <c r="E363" s="266"/>
      <c r="F363" s="506"/>
      <c r="G363" s="506"/>
      <c r="H363" s="507"/>
      <c r="I363" s="249"/>
      <c r="J363" s="249"/>
      <c r="K363" s="249"/>
      <c r="L363" s="249"/>
      <c r="M363" s="253"/>
      <c r="N363" s="251"/>
      <c r="O363" s="256"/>
      <c r="P363" s="610"/>
      <c r="Q363" s="611"/>
      <c r="R363" s="611"/>
      <c r="S363" s="611">
        <f ca="1">IF(NOT(ISERROR(MATCH(R363,_xlfn.ANCHORARRAY(H374),0))),Q376&amp;"Por favor no seleccionar los criterios de impacto",R363)</f>
        <v>0</v>
      </c>
      <c r="T363" s="610"/>
      <c r="U363" s="611"/>
      <c r="V363" s="252"/>
      <c r="W363" s="194">
        <v>5</v>
      </c>
      <c r="X363" s="192"/>
      <c r="Y363" s="194" t="str">
        <f t="shared" si="469"/>
        <v/>
      </c>
      <c r="Z363" s="188"/>
      <c r="AA363" s="188"/>
      <c r="AB363" s="185" t="str">
        <f t="shared" si="481"/>
        <v/>
      </c>
      <c r="AC363" s="188"/>
      <c r="AD363" s="188"/>
      <c r="AE363" s="188"/>
      <c r="AF363" s="602" t="str">
        <f t="shared" si="479"/>
        <v/>
      </c>
      <c r="AG363" s="186" t="str">
        <f t="shared" si="470"/>
        <v/>
      </c>
      <c r="AH363" s="185" t="str">
        <f t="shared" si="471"/>
        <v/>
      </c>
      <c r="AI363" s="186" t="str">
        <f t="shared" si="472"/>
        <v/>
      </c>
      <c r="AJ363" s="185" t="str">
        <f t="shared" si="482"/>
        <v/>
      </c>
      <c r="AK363" s="187" t="str">
        <f t="shared" si="473"/>
        <v/>
      </c>
      <c r="AL363" s="603"/>
      <c r="AM363" s="189"/>
      <c r="AN363" s="194"/>
      <c r="AO363" s="190"/>
      <c r="AP363" s="190"/>
      <c r="AQ363" s="191"/>
      <c r="AR363" s="194"/>
    </row>
    <row r="364" spans="1:44" s="605" customFormat="1" ht="69" hidden="1" customHeight="1" x14ac:dyDescent="0.25">
      <c r="A364" s="252"/>
      <c r="B364" s="265"/>
      <c r="C364" s="267"/>
      <c r="D364" s="265"/>
      <c r="E364" s="267"/>
      <c r="F364" s="506"/>
      <c r="G364" s="506"/>
      <c r="H364" s="507"/>
      <c r="I364" s="250"/>
      <c r="J364" s="250"/>
      <c r="K364" s="250"/>
      <c r="L364" s="250"/>
      <c r="M364" s="253"/>
      <c r="N364" s="239"/>
      <c r="O364" s="256"/>
      <c r="P364" s="610"/>
      <c r="Q364" s="611"/>
      <c r="R364" s="611"/>
      <c r="S364" s="611">
        <f ca="1">IF(NOT(ISERROR(MATCH(R364,_xlfn.ANCHORARRAY(H375),0))),Q377&amp;"Por favor no seleccionar los criterios de impacto",R364)</f>
        <v>0</v>
      </c>
      <c r="T364" s="610"/>
      <c r="U364" s="611"/>
      <c r="V364" s="252"/>
      <c r="W364" s="194">
        <v>6</v>
      </c>
      <c r="X364" s="192"/>
      <c r="Y364" s="194" t="str">
        <f t="shared" si="469"/>
        <v/>
      </c>
      <c r="Z364" s="188"/>
      <c r="AA364" s="188"/>
      <c r="AB364" s="185" t="str">
        <f t="shared" si="481"/>
        <v/>
      </c>
      <c r="AC364" s="188"/>
      <c r="AD364" s="188"/>
      <c r="AE364" s="188"/>
      <c r="AF364" s="602" t="str">
        <f t="shared" si="479"/>
        <v/>
      </c>
      <c r="AG364" s="186" t="str">
        <f t="shared" si="470"/>
        <v/>
      </c>
      <c r="AH364" s="185" t="str">
        <f t="shared" si="471"/>
        <v/>
      </c>
      <c r="AI364" s="186" t="str">
        <f t="shared" si="472"/>
        <v/>
      </c>
      <c r="AJ364" s="185" t="str">
        <f t="shared" si="482"/>
        <v/>
      </c>
      <c r="AK364" s="187" t="str">
        <f t="shared" si="473"/>
        <v/>
      </c>
      <c r="AL364" s="603"/>
      <c r="AM364" s="189"/>
      <c r="AN364" s="194"/>
      <c r="AO364" s="190"/>
      <c r="AP364" s="190"/>
      <c r="AQ364" s="191"/>
      <c r="AR364" s="194"/>
    </row>
    <row r="365" spans="1:44" s="605" customFormat="1" ht="121.5" customHeight="1" x14ac:dyDescent="0.25">
      <c r="A365" s="252">
        <v>59</v>
      </c>
      <c r="B365" s="268" t="s">
        <v>917</v>
      </c>
      <c r="C365" s="263" t="s">
        <v>279</v>
      </c>
      <c r="D365" s="263" t="s">
        <v>875</v>
      </c>
      <c r="E365" s="505" t="s">
        <v>243</v>
      </c>
      <c r="F365" s="506" t="s">
        <v>918</v>
      </c>
      <c r="G365" s="506" t="s">
        <v>919</v>
      </c>
      <c r="H365" s="507" t="s">
        <v>920</v>
      </c>
      <c r="I365" s="248" t="s">
        <v>480</v>
      </c>
      <c r="J365" s="248" t="s">
        <v>480</v>
      </c>
      <c r="K365" s="248" t="s">
        <v>480</v>
      </c>
      <c r="L365" s="248" t="s">
        <v>480</v>
      </c>
      <c r="M365" s="253" t="s">
        <v>244</v>
      </c>
      <c r="N365" s="238"/>
      <c r="O365" s="256">
        <v>501</v>
      </c>
      <c r="P365" s="610" t="str">
        <f>IF(O365&lt;=0,"",IF(O365&lt;=2,"Muy Baja",IF(O365&lt;=24,"Baja",IF(O365&lt;=500,"Media",IF(O365&lt;=5000,"Alta","Muy Alta")))))</f>
        <v>Alta</v>
      </c>
      <c r="Q365" s="611">
        <f>IF(P365="","",IF(P365="Muy Baja",0.2,IF(P365="Baja",0.4,IF(P365="Media",0.6,IF(P365="Alta",0.8,IF(P365="Muy Alta",1,))))))</f>
        <v>0.8</v>
      </c>
      <c r="R365" s="611" t="s">
        <v>190</v>
      </c>
      <c r="S365" s="611" t="str">
        <f ca="1">IF(NOT(ISERROR(MATCH(R365,'Tabla Impacto'!$B$221:$B$223,0))),'Tabla Impacto'!$F$223&amp;"Por favor no seleccionar los criterios de impacto(Afectación Económica o presupuestal y Pérdida Reputacional)",R365)</f>
        <v>El riesgo afecta la imagen de la entidad internamente, de conocimiento general, nivel interno, de junta dircetiva y accionistas y/o de provedores</v>
      </c>
      <c r="T365" s="610" t="str">
        <f ca="1">+IF(OR(S365='[1]Tabla Impacto'!$C$11,S365='[1]Tabla Impacto'!$D$11),"Leve",IF(OR(S365='[1]Tabla Impacto'!$C$12,S365='[1]Tabla Impacto'!$D$12),"Menor",IF(OR(S365='[1]Tabla Impacto'!$C$13,S365='[1]Tabla Impacto'!$D$13),"Moderado",IF(OR(S365='[1]Tabla Impacto'!$C$14,S365='[1]Tabla Impacto'!$D$14),"Mayor",IF(OR(S365='[1]Tabla Impacto'!$C$15,S365='[1]Tabla Impacto'!$D$15),"Catastrófico","")))))</f>
        <v>Menor</v>
      </c>
      <c r="U365" s="611">
        <f t="shared" ref="U365" ca="1" si="483">IF(T365="","",IF(T365="Leve",0.2,IF(T365="Menor",0.4,IF(T365="Moderado",0.6,IF(T365="Mayor",0.8,IF(T365="Catastrófico",1,))))))</f>
        <v>0.4</v>
      </c>
      <c r="V365" s="252" t="str">
        <f t="shared" ref="V365" ca="1" si="484">IF(OR(AND(P365="Muy Baja",T365="Leve"),AND(P365="Muy Baja",T365="Menor"),AND(P365="Baja",T365="Leve")),"Bajo",IF(OR(AND(P365="Muy baja",T365="Moderado"),AND(P365="Baja",T365="Menor"),AND(P365="Baja",T365="Moderado"),AND(P365="Media",T365="Leve"),AND(P365="Media",T365="Menor"),AND(P365="Media",T365="Moderado"),AND(P365="Alta",T365="Leve"),AND(P365="Alta",T365="Menor")),"Moderado",IF(OR(AND(P365="Muy Baja",T365="Mayor"),AND(P365="Baja",T365="Mayor"),AND(P365="Media",T365="Mayor"),AND(P365="Alta",T365="Moderado"),AND(P365="Alta",T365="Mayor"),AND(P365="Muy Alta",T365="Leve"),AND(P365="Muy Alta",T365="Menor"),AND(P365="Muy Alta",T365="Moderado"),AND(P365="Muy Alta",T365="Mayor")),"Alto",IF(OR(AND(P365="Muy Baja",T365="Catastrófico"),AND(P365="Baja",T365="Catastrófico"),AND(P365="Media",T365="Catastrófico"),AND(P365="Alta",T365="Catastrófico"),AND(P365="Muy Alta",T365="Catastrófico")),"Extremo",""))))</f>
        <v>Moderado</v>
      </c>
      <c r="W365" s="194">
        <v>1</v>
      </c>
      <c r="X365" s="192" t="s">
        <v>921</v>
      </c>
      <c r="Y365" s="194" t="str">
        <f t="shared" si="469"/>
        <v>Probabilidad</v>
      </c>
      <c r="Z365" s="188" t="s">
        <v>211</v>
      </c>
      <c r="AA365" s="188" t="s">
        <v>219</v>
      </c>
      <c r="AB365" s="185" t="str">
        <f t="shared" si="481"/>
        <v>40%</v>
      </c>
      <c r="AC365" s="188" t="s">
        <v>222</v>
      </c>
      <c r="AD365" s="188" t="s">
        <v>227</v>
      </c>
      <c r="AE365" s="188" t="s">
        <v>231</v>
      </c>
      <c r="AF365" s="602">
        <f t="shared" ref="AF365" si="485">IFERROR(IF(Y365="Probabilidad",(Q365-(+Q365*AB365)),IF(Y365="Impacto",Q365,"")),"")</f>
        <v>0.48</v>
      </c>
      <c r="AG365" s="186" t="str">
        <f t="shared" si="470"/>
        <v>Media</v>
      </c>
      <c r="AH365" s="185">
        <f t="shared" si="471"/>
        <v>0.48</v>
      </c>
      <c r="AI365" s="186" t="str">
        <f t="shared" ca="1" si="472"/>
        <v>Menor</v>
      </c>
      <c r="AJ365" s="185">
        <f t="shared" ref="AJ365" ca="1" si="486">IFERROR(IF(Y365="Impacto",(U365-(+U365*AB365)),IF(Y365="Probabilidad",U365,"")),"")</f>
        <v>0.4</v>
      </c>
      <c r="AK365" s="187" t="str">
        <f t="shared" ca="1" si="473"/>
        <v>Moderado</v>
      </c>
      <c r="AL365" s="603" t="s">
        <v>258</v>
      </c>
      <c r="AM365" s="189"/>
      <c r="AN365" s="194"/>
      <c r="AO365" s="190"/>
      <c r="AP365" s="190"/>
      <c r="AQ365" s="191"/>
      <c r="AR365" s="194"/>
    </row>
    <row r="366" spans="1:44" s="605" customFormat="1" ht="127.5" customHeight="1" x14ac:dyDescent="0.25">
      <c r="A366" s="252"/>
      <c r="B366" s="264"/>
      <c r="C366" s="266"/>
      <c r="D366" s="266"/>
      <c r="E366" s="505"/>
      <c r="F366" s="506"/>
      <c r="G366" s="506"/>
      <c r="H366" s="507"/>
      <c r="I366" s="249"/>
      <c r="J366" s="249"/>
      <c r="K366" s="249"/>
      <c r="L366" s="249"/>
      <c r="M366" s="253"/>
      <c r="N366" s="251"/>
      <c r="O366" s="256"/>
      <c r="P366" s="610"/>
      <c r="Q366" s="611"/>
      <c r="R366" s="611"/>
      <c r="S366" s="611">
        <f ca="1">IF(NOT(ISERROR(MATCH(R366,_xlfn.ANCHORARRAY(H377),0))),Q379&amp;"Por favor no seleccionar los criterios de impacto",R366)</f>
        <v>0</v>
      </c>
      <c r="T366" s="610"/>
      <c r="U366" s="611"/>
      <c r="V366" s="252"/>
      <c r="W366" s="194">
        <v>2</v>
      </c>
      <c r="X366" s="192" t="s">
        <v>922</v>
      </c>
      <c r="Y366" s="194" t="str">
        <f t="shared" si="469"/>
        <v>Probabilidad</v>
      </c>
      <c r="Z366" s="188" t="s">
        <v>211</v>
      </c>
      <c r="AA366" s="188" t="s">
        <v>219</v>
      </c>
      <c r="AB366" s="185" t="str">
        <f t="shared" si="481"/>
        <v>40%</v>
      </c>
      <c r="AC366" s="188" t="s">
        <v>225</v>
      </c>
      <c r="AD366" s="188" t="s">
        <v>227</v>
      </c>
      <c r="AE366" s="188" t="s">
        <v>231</v>
      </c>
      <c r="AF366" s="602">
        <f t="shared" ref="AF366:AF370" si="487">IFERROR(IF(AND(Y365="Probabilidad",Y366="Probabilidad"),(AH365-(+AH365*AB366)),IF(Y366="Probabilidad",(Q365-(+Q365*AB366)),IF(Y366="Impacto",AH365,""))),"")</f>
        <v>0.28799999999999998</v>
      </c>
      <c r="AG366" s="186" t="str">
        <f t="shared" si="470"/>
        <v>Baja</v>
      </c>
      <c r="AH366" s="185">
        <f t="shared" si="471"/>
        <v>0.28799999999999998</v>
      </c>
      <c r="AI366" s="186" t="str">
        <f t="shared" ca="1" si="472"/>
        <v>Menor</v>
      </c>
      <c r="AJ366" s="185">
        <f t="shared" ref="AJ366" ca="1" si="488">IFERROR(IF(AND(Y365="Impacto",Y366="Impacto"),(AJ365-(+AJ365*AB366)),IF(Y366="Impacto",(U365-(+U365*AB366)),IF(Y366="Probabilidad",AJ365,""))),"")</f>
        <v>0.4</v>
      </c>
      <c r="AK366" s="187" t="str">
        <f t="shared" ca="1" si="473"/>
        <v>Moderado</v>
      </c>
      <c r="AL366" s="603" t="s">
        <v>258</v>
      </c>
      <c r="AM366" s="189"/>
      <c r="AN366" s="194"/>
      <c r="AO366" s="190"/>
      <c r="AP366" s="190"/>
      <c r="AQ366" s="191"/>
      <c r="AR366" s="194"/>
    </row>
    <row r="367" spans="1:44" s="605" customFormat="1" ht="118.5" customHeight="1" x14ac:dyDescent="0.25">
      <c r="A367" s="252"/>
      <c r="B367" s="264"/>
      <c r="C367" s="266"/>
      <c r="D367" s="266"/>
      <c r="E367" s="505"/>
      <c r="F367" s="506"/>
      <c r="G367" s="506"/>
      <c r="H367" s="507"/>
      <c r="I367" s="249"/>
      <c r="J367" s="249"/>
      <c r="K367" s="249"/>
      <c r="L367" s="249"/>
      <c r="M367" s="253"/>
      <c r="N367" s="251"/>
      <c r="O367" s="256"/>
      <c r="P367" s="610"/>
      <c r="Q367" s="611"/>
      <c r="R367" s="611"/>
      <c r="S367" s="611">
        <f ca="1">IF(NOT(ISERROR(MATCH(R367,_xlfn.ANCHORARRAY(H378),0))),Q380&amp;"Por favor no seleccionar los criterios de impacto",R367)</f>
        <v>0</v>
      </c>
      <c r="T367" s="610"/>
      <c r="U367" s="611"/>
      <c r="V367" s="252"/>
      <c r="W367" s="194">
        <v>3</v>
      </c>
      <c r="X367" s="192" t="s">
        <v>923</v>
      </c>
      <c r="Y367" s="194" t="str">
        <f t="shared" si="469"/>
        <v>Probabilidad</v>
      </c>
      <c r="Z367" s="188" t="s">
        <v>211</v>
      </c>
      <c r="AA367" s="188" t="s">
        <v>219</v>
      </c>
      <c r="AB367" s="185" t="str">
        <f t="shared" si="481"/>
        <v>40%</v>
      </c>
      <c r="AC367" s="188" t="s">
        <v>222</v>
      </c>
      <c r="AD367" s="188" t="s">
        <v>227</v>
      </c>
      <c r="AE367" s="188" t="s">
        <v>231</v>
      </c>
      <c r="AF367" s="602">
        <f t="shared" si="487"/>
        <v>0.17279999999999998</v>
      </c>
      <c r="AG367" s="186" t="str">
        <f t="shared" si="470"/>
        <v>Muy Baja</v>
      </c>
      <c r="AH367" s="185">
        <f t="shared" si="471"/>
        <v>0.17279999999999998</v>
      </c>
      <c r="AI367" s="186" t="str">
        <f t="shared" ca="1" si="472"/>
        <v>Menor</v>
      </c>
      <c r="AJ367" s="185">
        <f t="shared" ref="AJ367:AJ370" ca="1" si="489">IFERROR(IF(AND(Y366="Impacto",Y367="Impacto"),(AJ366-(+AJ366*AB367)),IF(AND(Y366="Probabilidad",Y367="Impacto"),(AJ365-(+AJ365*AB367)),IF(Y367="Probabilidad",AJ366,""))),"")</f>
        <v>0.4</v>
      </c>
      <c r="AK367" s="187" t="str">
        <f t="shared" ca="1" si="473"/>
        <v>Bajo</v>
      </c>
      <c r="AL367" s="603" t="s">
        <v>258</v>
      </c>
      <c r="AM367" s="189"/>
      <c r="AN367" s="194"/>
      <c r="AO367" s="190"/>
      <c r="AP367" s="190"/>
      <c r="AQ367" s="191"/>
      <c r="AR367" s="194"/>
    </row>
    <row r="368" spans="1:44" s="605" customFormat="1" ht="69" hidden="1" customHeight="1" x14ac:dyDescent="0.25">
      <c r="A368" s="252"/>
      <c r="B368" s="264"/>
      <c r="C368" s="266"/>
      <c r="D368" s="266"/>
      <c r="E368" s="505"/>
      <c r="F368" s="506"/>
      <c r="G368" s="506"/>
      <c r="H368" s="507"/>
      <c r="I368" s="249"/>
      <c r="J368" s="249"/>
      <c r="K368" s="249"/>
      <c r="L368" s="249"/>
      <c r="M368" s="253"/>
      <c r="N368" s="251"/>
      <c r="O368" s="256"/>
      <c r="P368" s="610"/>
      <c r="Q368" s="611"/>
      <c r="R368" s="611"/>
      <c r="S368" s="611">
        <f ca="1">IF(NOT(ISERROR(MATCH(R368,_xlfn.ANCHORARRAY(H379),0))),Q381&amp;"Por favor no seleccionar los criterios de impacto",R368)</f>
        <v>0</v>
      </c>
      <c r="T368" s="610"/>
      <c r="U368" s="611"/>
      <c r="V368" s="252"/>
      <c r="W368" s="194">
        <v>4</v>
      </c>
      <c r="X368" s="192"/>
      <c r="Y368" s="194" t="str">
        <f t="shared" si="469"/>
        <v/>
      </c>
      <c r="Z368" s="188"/>
      <c r="AA368" s="188"/>
      <c r="AB368" s="185" t="str">
        <f t="shared" si="481"/>
        <v/>
      </c>
      <c r="AC368" s="188"/>
      <c r="AD368" s="188"/>
      <c r="AE368" s="188"/>
      <c r="AF368" s="602" t="str">
        <f t="shared" si="487"/>
        <v/>
      </c>
      <c r="AG368" s="186" t="str">
        <f t="shared" si="470"/>
        <v/>
      </c>
      <c r="AH368" s="185" t="str">
        <f t="shared" si="471"/>
        <v/>
      </c>
      <c r="AI368" s="186" t="str">
        <f t="shared" si="472"/>
        <v/>
      </c>
      <c r="AJ368" s="185" t="str">
        <f t="shared" si="489"/>
        <v/>
      </c>
      <c r="AK368" s="187" t="str">
        <f t="shared" si="473"/>
        <v/>
      </c>
      <c r="AL368" s="603"/>
      <c r="AM368" s="189"/>
      <c r="AN368" s="194"/>
      <c r="AO368" s="190"/>
      <c r="AP368" s="190"/>
      <c r="AQ368" s="191"/>
      <c r="AR368" s="194"/>
    </row>
    <row r="369" spans="1:44" s="605" customFormat="1" ht="69" hidden="1" customHeight="1" x14ac:dyDescent="0.25">
      <c r="A369" s="252"/>
      <c r="B369" s="264"/>
      <c r="C369" s="266"/>
      <c r="D369" s="266"/>
      <c r="E369" s="505"/>
      <c r="F369" s="506"/>
      <c r="G369" s="506"/>
      <c r="H369" s="507"/>
      <c r="I369" s="249"/>
      <c r="J369" s="249"/>
      <c r="K369" s="249"/>
      <c r="L369" s="249"/>
      <c r="M369" s="253"/>
      <c r="N369" s="251"/>
      <c r="O369" s="256"/>
      <c r="P369" s="610"/>
      <c r="Q369" s="611"/>
      <c r="R369" s="611"/>
      <c r="S369" s="611">
        <f ca="1">IF(NOT(ISERROR(MATCH(R369,_xlfn.ANCHORARRAY(H380),0))),Q382&amp;"Por favor no seleccionar los criterios de impacto",R369)</f>
        <v>0</v>
      </c>
      <c r="T369" s="610"/>
      <c r="U369" s="611"/>
      <c r="V369" s="252"/>
      <c r="W369" s="194">
        <v>5</v>
      </c>
      <c r="X369" s="192"/>
      <c r="Y369" s="194" t="str">
        <f t="shared" si="469"/>
        <v/>
      </c>
      <c r="Z369" s="188"/>
      <c r="AA369" s="188"/>
      <c r="AB369" s="185" t="str">
        <f t="shared" si="481"/>
        <v/>
      </c>
      <c r="AC369" s="188"/>
      <c r="AD369" s="188"/>
      <c r="AE369" s="188"/>
      <c r="AF369" s="602" t="str">
        <f t="shared" si="487"/>
        <v/>
      </c>
      <c r="AG369" s="186" t="str">
        <f t="shared" si="470"/>
        <v/>
      </c>
      <c r="AH369" s="185" t="str">
        <f t="shared" si="471"/>
        <v/>
      </c>
      <c r="AI369" s="186" t="str">
        <f t="shared" si="472"/>
        <v/>
      </c>
      <c r="AJ369" s="185" t="str">
        <f t="shared" si="489"/>
        <v/>
      </c>
      <c r="AK369" s="187" t="str">
        <f t="shared" si="473"/>
        <v/>
      </c>
      <c r="AL369" s="603"/>
      <c r="AM369" s="189"/>
      <c r="AN369" s="194"/>
      <c r="AO369" s="190"/>
      <c r="AP369" s="190"/>
      <c r="AQ369" s="191"/>
      <c r="AR369" s="194"/>
    </row>
    <row r="370" spans="1:44" s="605" customFormat="1" ht="69" hidden="1" customHeight="1" x14ac:dyDescent="0.25">
      <c r="A370" s="252"/>
      <c r="B370" s="265"/>
      <c r="C370" s="267"/>
      <c r="D370" s="267"/>
      <c r="E370" s="505"/>
      <c r="F370" s="506"/>
      <c r="G370" s="506"/>
      <c r="H370" s="507"/>
      <c r="I370" s="250"/>
      <c r="J370" s="250"/>
      <c r="K370" s="250"/>
      <c r="L370" s="250"/>
      <c r="M370" s="253"/>
      <c r="N370" s="239"/>
      <c r="O370" s="256"/>
      <c r="P370" s="610"/>
      <c r="Q370" s="611"/>
      <c r="R370" s="611"/>
      <c r="S370" s="611">
        <f ca="1">IF(NOT(ISERROR(MATCH(R370,_xlfn.ANCHORARRAY(H381),0))),Q383&amp;"Por favor no seleccionar los criterios de impacto",R370)</f>
        <v>0</v>
      </c>
      <c r="T370" s="610"/>
      <c r="U370" s="611"/>
      <c r="V370" s="252"/>
      <c r="W370" s="194">
        <v>6</v>
      </c>
      <c r="X370" s="192"/>
      <c r="Y370" s="194" t="str">
        <f t="shared" si="469"/>
        <v/>
      </c>
      <c r="Z370" s="188"/>
      <c r="AA370" s="188"/>
      <c r="AB370" s="185" t="str">
        <f t="shared" si="481"/>
        <v/>
      </c>
      <c r="AC370" s="188"/>
      <c r="AD370" s="188"/>
      <c r="AE370" s="188"/>
      <c r="AF370" s="602" t="str">
        <f t="shared" si="487"/>
        <v/>
      </c>
      <c r="AG370" s="186" t="str">
        <f t="shared" si="470"/>
        <v/>
      </c>
      <c r="AH370" s="185" t="str">
        <f t="shared" si="471"/>
        <v/>
      </c>
      <c r="AI370" s="186" t="str">
        <f t="shared" si="472"/>
        <v/>
      </c>
      <c r="AJ370" s="185" t="str">
        <f t="shared" si="489"/>
        <v/>
      </c>
      <c r="AK370" s="187" t="str">
        <f t="shared" si="473"/>
        <v/>
      </c>
      <c r="AL370" s="603"/>
      <c r="AM370" s="189"/>
      <c r="AN370" s="194"/>
      <c r="AO370" s="190"/>
      <c r="AP370" s="190"/>
      <c r="AQ370" s="191"/>
      <c r="AR370" s="194"/>
    </row>
    <row r="371" spans="1:44" s="605" customFormat="1" ht="149.25" customHeight="1" x14ac:dyDescent="0.25">
      <c r="A371" s="252">
        <v>60</v>
      </c>
      <c r="B371" s="268" t="s">
        <v>924</v>
      </c>
      <c r="C371" s="263" t="s">
        <v>279</v>
      </c>
      <c r="D371" s="268" t="s">
        <v>925</v>
      </c>
      <c r="E371" s="505" t="s">
        <v>243</v>
      </c>
      <c r="F371" s="506" t="s">
        <v>926</v>
      </c>
      <c r="G371" s="506" t="s">
        <v>927</v>
      </c>
      <c r="H371" s="507" t="s">
        <v>928</v>
      </c>
      <c r="I371" s="248" t="s">
        <v>480</v>
      </c>
      <c r="J371" s="248" t="s">
        <v>480</v>
      </c>
      <c r="K371" s="248" t="s">
        <v>480</v>
      </c>
      <c r="L371" s="248" t="s">
        <v>480</v>
      </c>
      <c r="M371" s="253" t="s">
        <v>249</v>
      </c>
      <c r="N371" s="238"/>
      <c r="O371" s="256">
        <v>365</v>
      </c>
      <c r="P371" s="610" t="str">
        <f t="shared" ref="P371" si="490">IF(O371&lt;=0,"",IF(O371&lt;=2,"Muy Baja",IF(O371&lt;=24,"Baja",IF(O371&lt;=500,"Media",IF(O371&lt;=5000,"Alta","Muy Alta")))))</f>
        <v>Media</v>
      </c>
      <c r="Q371" s="611">
        <f t="shared" ref="Q371" si="491">IF(P371="","",IF(P371="Muy Baja",0.2,IF(P371="Baja",0.4,IF(P371="Media",0.6,IF(P371="Alta",0.8,IF(P371="Muy Alta",1,))))))</f>
        <v>0.6</v>
      </c>
      <c r="R371" s="611" t="s">
        <v>193</v>
      </c>
      <c r="S371" s="611" t="str">
        <f ca="1">IF(NOT(ISERROR(MATCH(R371,'Tabla Impacto'!$B$221:$B$223,0))),'Tabla Impacto'!$F$223&amp;"Por favor no seleccionar los criterios de impacto(Afectación Económica o presupuestal y Pérdida Reputacional)",R371)</f>
        <v>El riesgo afecta la imagen de la entidad con algunos usuarios de relevancia frente al logro de los objetivos</v>
      </c>
      <c r="T371" s="610" t="str">
        <f ca="1">+IF(OR(S371='[1]Tabla Impacto'!$C$11,S371='[1]Tabla Impacto'!$D$11),"Leve",IF(OR(S371='[1]Tabla Impacto'!$C$12,S371='[1]Tabla Impacto'!$D$12),"Menor",IF(OR(S371='[1]Tabla Impacto'!$C$13,S371='[1]Tabla Impacto'!$D$13),"Moderado",IF(OR(S371='[1]Tabla Impacto'!$C$14,S371='[1]Tabla Impacto'!$D$14),"Mayor",IF(OR(S371='[1]Tabla Impacto'!$C$15,S371='[1]Tabla Impacto'!$D$15),"Catastrófico","")))))</f>
        <v>Moderado</v>
      </c>
      <c r="U371" s="611">
        <f t="shared" ref="U371" ca="1" si="492">IF(T371="","",IF(T371="Leve",0.2,IF(T371="Menor",0.4,IF(T371="Moderado",0.6,IF(T371="Mayor",0.8,IF(T371="Catastrófico",1,))))))</f>
        <v>0.6</v>
      </c>
      <c r="V371" s="252" t="str">
        <f t="shared" ref="V371" ca="1" si="493">IF(OR(AND(P371="Muy Baja",T371="Leve"),AND(P371="Muy Baja",T371="Menor"),AND(P371="Baja",T371="Leve")),"Bajo",IF(OR(AND(P371="Muy baja",T371="Moderado"),AND(P371="Baja",T371="Menor"),AND(P371="Baja",T371="Moderado"),AND(P371="Media",T371="Leve"),AND(P371="Media",T371="Menor"),AND(P371="Media",T371="Moderado"),AND(P371="Alta",T371="Leve"),AND(P371="Alta",T371="Menor")),"Moderado",IF(OR(AND(P371="Muy Baja",T371="Mayor"),AND(P371="Baja",T371="Mayor"),AND(P371="Media",T371="Mayor"),AND(P371="Alta",T371="Moderado"),AND(P371="Alta",T371="Mayor"),AND(P371="Muy Alta",T371="Leve"),AND(P371="Muy Alta",T371="Menor"),AND(P371="Muy Alta",T371="Moderado"),AND(P371="Muy Alta",T371="Mayor")),"Alto",IF(OR(AND(P371="Muy Baja",T371="Catastrófico"),AND(P371="Baja",T371="Catastrófico"),AND(P371="Media",T371="Catastrófico"),AND(P371="Alta",T371="Catastrófico"),AND(P371="Muy Alta",T371="Catastrófico")),"Extremo",""))))</f>
        <v>Moderado</v>
      </c>
      <c r="W371" s="194">
        <v>1</v>
      </c>
      <c r="X371" s="192" t="s">
        <v>929</v>
      </c>
      <c r="Y371" s="194" t="str">
        <f t="shared" si="469"/>
        <v>Probabilidad</v>
      </c>
      <c r="Z371" s="188" t="s">
        <v>211</v>
      </c>
      <c r="AA371" s="188" t="s">
        <v>219</v>
      </c>
      <c r="AB371" s="185" t="str">
        <f t="shared" si="481"/>
        <v>40%</v>
      </c>
      <c r="AC371" s="188" t="s">
        <v>222</v>
      </c>
      <c r="AD371" s="188" t="s">
        <v>227</v>
      </c>
      <c r="AE371" s="188" t="s">
        <v>231</v>
      </c>
      <c r="AF371" s="602">
        <f t="shared" ref="AF371" si="494">IFERROR(IF(Y371="Probabilidad",(Q371-(+Q371*AB371)),IF(Y371="Impacto",Q371,"")),"")</f>
        <v>0.36</v>
      </c>
      <c r="AG371" s="186" t="str">
        <f t="shared" si="470"/>
        <v>Baja</v>
      </c>
      <c r="AH371" s="185">
        <f t="shared" si="471"/>
        <v>0.36</v>
      </c>
      <c r="AI371" s="186" t="str">
        <f t="shared" ca="1" si="472"/>
        <v>Moderado</v>
      </c>
      <c r="AJ371" s="185">
        <f t="shared" ref="AJ371" ca="1" si="495">IFERROR(IF(Y371="Impacto",(U371-(+U371*AB371)),IF(Y371="Probabilidad",U371,"")),"")</f>
        <v>0.6</v>
      </c>
      <c r="AK371" s="187" t="str">
        <f t="shared" ca="1" si="473"/>
        <v>Moderado</v>
      </c>
      <c r="AL371" s="603" t="s">
        <v>258</v>
      </c>
      <c r="AM371" s="189"/>
      <c r="AN371" s="194"/>
      <c r="AO371" s="190"/>
      <c r="AP371" s="190"/>
      <c r="AQ371" s="191"/>
      <c r="AR371" s="194"/>
    </row>
    <row r="372" spans="1:44" s="605" customFormat="1" ht="119.25" customHeight="1" x14ac:dyDescent="0.25">
      <c r="A372" s="252"/>
      <c r="B372" s="264"/>
      <c r="C372" s="266"/>
      <c r="D372" s="264"/>
      <c r="E372" s="505"/>
      <c r="F372" s="506"/>
      <c r="G372" s="506"/>
      <c r="H372" s="507"/>
      <c r="I372" s="249"/>
      <c r="J372" s="249"/>
      <c r="K372" s="249"/>
      <c r="L372" s="249"/>
      <c r="M372" s="253"/>
      <c r="N372" s="251"/>
      <c r="O372" s="256"/>
      <c r="P372" s="610"/>
      <c r="Q372" s="611"/>
      <c r="R372" s="611"/>
      <c r="S372" s="611">
        <f ca="1">IF(NOT(ISERROR(MATCH(R372,_xlfn.ANCHORARRAY(H383),0))),Q385&amp;"Por favor no seleccionar los criterios de impacto",R372)</f>
        <v>0</v>
      </c>
      <c r="T372" s="610"/>
      <c r="U372" s="611"/>
      <c r="V372" s="252"/>
      <c r="W372" s="194">
        <v>2</v>
      </c>
      <c r="X372" s="192" t="s">
        <v>930</v>
      </c>
      <c r="Y372" s="194" t="str">
        <f t="shared" si="469"/>
        <v>Probabilidad</v>
      </c>
      <c r="Z372" s="188" t="s">
        <v>211</v>
      </c>
      <c r="AA372" s="188" t="s">
        <v>219</v>
      </c>
      <c r="AB372" s="185" t="str">
        <f t="shared" si="481"/>
        <v>40%</v>
      </c>
      <c r="AC372" s="188" t="s">
        <v>222</v>
      </c>
      <c r="AD372" s="188" t="s">
        <v>227</v>
      </c>
      <c r="AE372" s="188" t="s">
        <v>231</v>
      </c>
      <c r="AF372" s="602">
        <f t="shared" ref="AF372:AF376" si="496">IFERROR(IF(AND(Y371="Probabilidad",Y372="Probabilidad"),(AH371-(+AH371*AB372)),IF(Y372="Probabilidad",(Q371-(+Q371*AB372)),IF(Y372="Impacto",AH371,""))),"")</f>
        <v>0.216</v>
      </c>
      <c r="AG372" s="186" t="str">
        <f t="shared" si="470"/>
        <v>Baja</v>
      </c>
      <c r="AH372" s="185">
        <f t="shared" si="471"/>
        <v>0.216</v>
      </c>
      <c r="AI372" s="186" t="str">
        <f t="shared" ca="1" si="472"/>
        <v>Moderado</v>
      </c>
      <c r="AJ372" s="185">
        <f t="shared" ref="AJ372" ca="1" si="497">IFERROR(IF(AND(Y371="Impacto",Y372="Impacto"),(AJ371-(+AJ371*AB372)),IF(Y372="Impacto",(U371-(+U371*AB372)),IF(Y372="Probabilidad",AJ371,""))),"")</f>
        <v>0.6</v>
      </c>
      <c r="AK372" s="187" t="str">
        <f t="shared" ca="1" si="473"/>
        <v>Moderado</v>
      </c>
      <c r="AL372" s="603" t="s">
        <v>258</v>
      </c>
      <c r="AM372" s="189"/>
      <c r="AN372" s="194"/>
      <c r="AO372" s="190"/>
      <c r="AP372" s="190"/>
      <c r="AQ372" s="191"/>
      <c r="AR372" s="194"/>
    </row>
    <row r="373" spans="1:44" s="605" customFormat="1" ht="69" hidden="1" customHeight="1" x14ac:dyDescent="0.25">
      <c r="A373" s="252"/>
      <c r="B373" s="264"/>
      <c r="C373" s="266"/>
      <c r="D373" s="264"/>
      <c r="E373" s="505"/>
      <c r="F373" s="506"/>
      <c r="G373" s="506"/>
      <c r="H373" s="507"/>
      <c r="I373" s="249"/>
      <c r="J373" s="249"/>
      <c r="K373" s="249"/>
      <c r="L373" s="249"/>
      <c r="M373" s="253"/>
      <c r="N373" s="251"/>
      <c r="O373" s="256"/>
      <c r="P373" s="610"/>
      <c r="Q373" s="611"/>
      <c r="R373" s="611"/>
      <c r="S373" s="611">
        <f ca="1">IF(NOT(ISERROR(MATCH(R373,_xlfn.ANCHORARRAY(H384),0))),Q386&amp;"Por favor no seleccionar los criterios de impacto",R373)</f>
        <v>0</v>
      </c>
      <c r="T373" s="610"/>
      <c r="U373" s="611"/>
      <c r="V373" s="252"/>
      <c r="W373" s="194">
        <v>3</v>
      </c>
      <c r="X373" s="192"/>
      <c r="Y373" s="194" t="str">
        <f t="shared" si="469"/>
        <v/>
      </c>
      <c r="Z373" s="188"/>
      <c r="AA373" s="188"/>
      <c r="AB373" s="185" t="str">
        <f t="shared" si="481"/>
        <v/>
      </c>
      <c r="AC373" s="188"/>
      <c r="AD373" s="188"/>
      <c r="AE373" s="188"/>
      <c r="AF373" s="602" t="str">
        <f t="shared" si="496"/>
        <v/>
      </c>
      <c r="AG373" s="186" t="str">
        <f t="shared" si="470"/>
        <v/>
      </c>
      <c r="AH373" s="185" t="str">
        <f t="shared" si="471"/>
        <v/>
      </c>
      <c r="AI373" s="186" t="str">
        <f t="shared" si="472"/>
        <v/>
      </c>
      <c r="AJ373" s="185" t="str">
        <f t="shared" ref="AJ373:AJ376" si="498">IFERROR(IF(AND(Y372="Impacto",Y373="Impacto"),(AJ372-(+AJ372*AB373)),IF(AND(Y372="Probabilidad",Y373="Impacto"),(AJ371-(+AJ371*AB373)),IF(Y373="Probabilidad",AJ372,""))),"")</f>
        <v/>
      </c>
      <c r="AK373" s="187" t="str">
        <f t="shared" si="473"/>
        <v/>
      </c>
      <c r="AL373" s="603"/>
      <c r="AM373" s="189"/>
      <c r="AN373" s="194"/>
      <c r="AO373" s="190"/>
      <c r="AP373" s="190"/>
      <c r="AQ373" s="191"/>
      <c r="AR373" s="194"/>
    </row>
    <row r="374" spans="1:44" s="605" customFormat="1" ht="69" hidden="1" customHeight="1" x14ac:dyDescent="0.25">
      <c r="A374" s="252"/>
      <c r="B374" s="264"/>
      <c r="C374" s="266"/>
      <c r="D374" s="264"/>
      <c r="E374" s="505"/>
      <c r="F374" s="506"/>
      <c r="G374" s="506"/>
      <c r="H374" s="507"/>
      <c r="I374" s="249"/>
      <c r="J374" s="249"/>
      <c r="K374" s="249"/>
      <c r="L374" s="249"/>
      <c r="M374" s="253"/>
      <c r="N374" s="251"/>
      <c r="O374" s="256"/>
      <c r="P374" s="610"/>
      <c r="Q374" s="611"/>
      <c r="R374" s="611"/>
      <c r="S374" s="611">
        <f ca="1">IF(NOT(ISERROR(MATCH(R374,_xlfn.ANCHORARRAY(H385),0))),Q387&amp;"Por favor no seleccionar los criterios de impacto",R374)</f>
        <v>0</v>
      </c>
      <c r="T374" s="610"/>
      <c r="U374" s="611"/>
      <c r="V374" s="252"/>
      <c r="W374" s="194">
        <v>4</v>
      </c>
      <c r="X374" s="192"/>
      <c r="Y374" s="194" t="str">
        <f t="shared" si="469"/>
        <v/>
      </c>
      <c r="Z374" s="188"/>
      <c r="AA374" s="188"/>
      <c r="AB374" s="185" t="str">
        <f t="shared" si="481"/>
        <v/>
      </c>
      <c r="AC374" s="188"/>
      <c r="AD374" s="188"/>
      <c r="AE374" s="188"/>
      <c r="AF374" s="602" t="str">
        <f t="shared" si="496"/>
        <v/>
      </c>
      <c r="AG374" s="186" t="str">
        <f t="shared" si="470"/>
        <v/>
      </c>
      <c r="AH374" s="185" t="str">
        <f t="shared" si="471"/>
        <v/>
      </c>
      <c r="AI374" s="186" t="str">
        <f t="shared" si="472"/>
        <v/>
      </c>
      <c r="AJ374" s="185" t="str">
        <f t="shared" si="498"/>
        <v/>
      </c>
      <c r="AK374" s="187" t="str">
        <f t="shared" si="473"/>
        <v/>
      </c>
      <c r="AL374" s="603"/>
      <c r="AM374" s="189"/>
      <c r="AN374" s="194"/>
      <c r="AO374" s="190"/>
      <c r="AP374" s="190"/>
      <c r="AQ374" s="191"/>
      <c r="AR374" s="194"/>
    </row>
    <row r="375" spans="1:44" s="605" customFormat="1" ht="69" hidden="1" customHeight="1" x14ac:dyDescent="0.25">
      <c r="A375" s="252"/>
      <c r="B375" s="264"/>
      <c r="C375" s="266"/>
      <c r="D375" s="264"/>
      <c r="E375" s="505"/>
      <c r="F375" s="506"/>
      <c r="G375" s="506"/>
      <c r="H375" s="507"/>
      <c r="I375" s="249"/>
      <c r="J375" s="249"/>
      <c r="K375" s="249"/>
      <c r="L375" s="249"/>
      <c r="M375" s="253"/>
      <c r="N375" s="251"/>
      <c r="O375" s="256"/>
      <c r="P375" s="610"/>
      <c r="Q375" s="611"/>
      <c r="R375" s="611"/>
      <c r="S375" s="611">
        <f ca="1">IF(NOT(ISERROR(MATCH(R375,_xlfn.ANCHORARRAY(H386),0))),Q388&amp;"Por favor no seleccionar los criterios de impacto",R375)</f>
        <v>0</v>
      </c>
      <c r="T375" s="610"/>
      <c r="U375" s="611"/>
      <c r="V375" s="252"/>
      <c r="W375" s="194">
        <v>5</v>
      </c>
      <c r="X375" s="192"/>
      <c r="Y375" s="194" t="str">
        <f t="shared" si="469"/>
        <v/>
      </c>
      <c r="Z375" s="188"/>
      <c r="AA375" s="188"/>
      <c r="AB375" s="185" t="str">
        <f t="shared" si="481"/>
        <v/>
      </c>
      <c r="AC375" s="188"/>
      <c r="AD375" s="188"/>
      <c r="AE375" s="188"/>
      <c r="AF375" s="602" t="str">
        <f t="shared" si="496"/>
        <v/>
      </c>
      <c r="AG375" s="186" t="str">
        <f t="shared" si="470"/>
        <v/>
      </c>
      <c r="AH375" s="185" t="str">
        <f t="shared" si="471"/>
        <v/>
      </c>
      <c r="AI375" s="186" t="str">
        <f t="shared" si="472"/>
        <v/>
      </c>
      <c r="AJ375" s="185" t="str">
        <f t="shared" si="498"/>
        <v/>
      </c>
      <c r="AK375" s="187" t="str">
        <f t="shared" si="473"/>
        <v/>
      </c>
      <c r="AL375" s="603"/>
      <c r="AM375" s="189"/>
      <c r="AN375" s="194"/>
      <c r="AO375" s="190"/>
      <c r="AP375" s="190"/>
      <c r="AQ375" s="191"/>
      <c r="AR375" s="194"/>
    </row>
    <row r="376" spans="1:44" s="605" customFormat="1" ht="69" hidden="1" customHeight="1" x14ac:dyDescent="0.25">
      <c r="A376" s="252"/>
      <c r="B376" s="265"/>
      <c r="C376" s="267"/>
      <c r="D376" s="265"/>
      <c r="E376" s="505"/>
      <c r="F376" s="506"/>
      <c r="G376" s="506"/>
      <c r="H376" s="507"/>
      <c r="I376" s="250"/>
      <c r="J376" s="250"/>
      <c r="K376" s="250"/>
      <c r="L376" s="250"/>
      <c r="M376" s="253"/>
      <c r="N376" s="239"/>
      <c r="O376" s="256"/>
      <c r="P376" s="610"/>
      <c r="Q376" s="611"/>
      <c r="R376" s="611"/>
      <c r="S376" s="611">
        <f ca="1">IF(NOT(ISERROR(MATCH(R376,_xlfn.ANCHORARRAY(H387),0))),Q389&amp;"Por favor no seleccionar los criterios de impacto",R376)</f>
        <v>0</v>
      </c>
      <c r="T376" s="610"/>
      <c r="U376" s="611"/>
      <c r="V376" s="252"/>
      <c r="W376" s="194">
        <v>6</v>
      </c>
      <c r="X376" s="192"/>
      <c r="Y376" s="194" t="str">
        <f t="shared" si="469"/>
        <v/>
      </c>
      <c r="Z376" s="188"/>
      <c r="AA376" s="188"/>
      <c r="AB376" s="185" t="str">
        <f t="shared" si="481"/>
        <v/>
      </c>
      <c r="AC376" s="188"/>
      <c r="AD376" s="188"/>
      <c r="AE376" s="188"/>
      <c r="AF376" s="602" t="str">
        <f t="shared" si="496"/>
        <v/>
      </c>
      <c r="AG376" s="186" t="str">
        <f t="shared" si="470"/>
        <v/>
      </c>
      <c r="AH376" s="185" t="str">
        <f t="shared" si="471"/>
        <v/>
      </c>
      <c r="AI376" s="186" t="str">
        <f t="shared" si="472"/>
        <v/>
      </c>
      <c r="AJ376" s="185" t="str">
        <f t="shared" si="498"/>
        <v/>
      </c>
      <c r="AK376" s="187" t="str">
        <f t="shared" si="473"/>
        <v/>
      </c>
      <c r="AL376" s="603"/>
      <c r="AM376" s="189"/>
      <c r="AN376" s="194"/>
      <c r="AO376" s="190"/>
      <c r="AP376" s="190"/>
      <c r="AQ376" s="191"/>
      <c r="AR376" s="194"/>
    </row>
    <row r="377" spans="1:44" s="605" customFormat="1" ht="95.25" customHeight="1" x14ac:dyDescent="0.25">
      <c r="A377" s="252">
        <v>61</v>
      </c>
      <c r="B377" s="268" t="s">
        <v>931</v>
      </c>
      <c r="C377" s="263" t="s">
        <v>279</v>
      </c>
      <c r="D377" s="268" t="s">
        <v>925</v>
      </c>
      <c r="E377" s="505" t="s">
        <v>241</v>
      </c>
      <c r="F377" s="506" t="s">
        <v>932</v>
      </c>
      <c r="G377" s="506" t="s">
        <v>933</v>
      </c>
      <c r="H377" s="507" t="s">
        <v>934</v>
      </c>
      <c r="I377" s="248" t="s">
        <v>480</v>
      </c>
      <c r="J377" s="248" t="s">
        <v>480</v>
      </c>
      <c r="K377" s="248" t="s">
        <v>480</v>
      </c>
      <c r="L377" s="248" t="s">
        <v>480</v>
      </c>
      <c r="M377" s="253" t="s">
        <v>242</v>
      </c>
      <c r="N377" s="238"/>
      <c r="O377" s="256">
        <v>365</v>
      </c>
      <c r="P377" s="610" t="str">
        <f t="shared" ref="P377" si="499">IF(O377&lt;=0,"",IF(O377&lt;=2,"Muy Baja",IF(O377&lt;=24,"Baja",IF(O377&lt;=500,"Media",IF(O377&lt;=5000,"Alta","Muy Alta")))))</f>
        <v>Media</v>
      </c>
      <c r="Q377" s="611">
        <f t="shared" ref="Q377" si="500">IF(P377="","",IF(P377="Muy Baja",0.2,IF(P377="Baja",0.4,IF(P377="Media",0.6,IF(P377="Alta",0.8,IF(P377="Muy Alta",1,))))))</f>
        <v>0.6</v>
      </c>
      <c r="R377" s="611" t="s">
        <v>193</v>
      </c>
      <c r="S377" s="611" t="str">
        <f ca="1">IF(NOT(ISERROR(MATCH(R377,'Tabla Impacto'!$B$221:$B$223,0))),'Tabla Impacto'!$F$223&amp;"Por favor no seleccionar los criterios de impacto(Afectación Económica o presupuestal y Pérdida Reputacional)",R377)</f>
        <v>El riesgo afecta la imagen de la entidad con algunos usuarios de relevancia frente al logro de los objetivos</v>
      </c>
      <c r="T377" s="610" t="str">
        <f ca="1">+IF(OR(S377='[1]Tabla Impacto'!$C$11,S377='[1]Tabla Impacto'!$D$11),"Leve",IF(OR(S377='[1]Tabla Impacto'!$C$12,S377='[1]Tabla Impacto'!$D$12),"Menor",IF(OR(S377='[1]Tabla Impacto'!$C$13,S377='[1]Tabla Impacto'!$D$13),"Moderado",IF(OR(S377='[1]Tabla Impacto'!$C$14,S377='[1]Tabla Impacto'!$D$14),"Mayor",IF(OR(S377='[1]Tabla Impacto'!$C$15,S377='[1]Tabla Impacto'!$D$15),"Catastrófico","")))))</f>
        <v>Moderado</v>
      </c>
      <c r="U377" s="611">
        <f t="shared" ref="U377" ca="1" si="501">IF(T377="","",IF(T377="Leve",0.2,IF(T377="Menor",0.4,IF(T377="Moderado",0.6,IF(T377="Mayor",0.8,IF(T377="Catastrófico",1,))))))</f>
        <v>0.6</v>
      </c>
      <c r="V377" s="252" t="str">
        <f t="shared" ref="V377" ca="1" si="502">IF(OR(AND(P377="Muy Baja",T377="Leve"),AND(P377="Muy Baja",T377="Menor"),AND(P377="Baja",T377="Leve")),"Bajo",IF(OR(AND(P377="Muy baja",T377="Moderado"),AND(P377="Baja",T377="Menor"),AND(P377="Baja",T377="Moderado"),AND(P377="Media",T377="Leve"),AND(P377="Media",T377="Menor"),AND(P377="Media",T377="Moderado"),AND(P377="Alta",T377="Leve"),AND(P377="Alta",T377="Menor")),"Moderado",IF(OR(AND(P377="Muy Baja",T377="Mayor"),AND(P377="Baja",T377="Mayor"),AND(P377="Media",T377="Mayor"),AND(P377="Alta",T377="Moderado"),AND(P377="Alta",T377="Mayor"),AND(P377="Muy Alta",T377="Leve"),AND(P377="Muy Alta",T377="Menor"),AND(P377="Muy Alta",T377="Moderado"),AND(P377="Muy Alta",T377="Mayor")),"Alto",IF(OR(AND(P377="Muy Baja",T377="Catastrófico"),AND(P377="Baja",T377="Catastrófico"),AND(P377="Media",T377="Catastrófico"),AND(P377="Alta",T377="Catastrófico"),AND(P377="Muy Alta",T377="Catastrófico")),"Extremo",""))))</f>
        <v>Moderado</v>
      </c>
      <c r="W377" s="194">
        <v>1</v>
      </c>
      <c r="X377" s="192" t="s">
        <v>935</v>
      </c>
      <c r="Y377" s="194" t="str">
        <f t="shared" si="469"/>
        <v>Probabilidad</v>
      </c>
      <c r="Z377" s="188" t="s">
        <v>211</v>
      </c>
      <c r="AA377" s="188" t="s">
        <v>219</v>
      </c>
      <c r="AB377" s="185" t="str">
        <f t="shared" si="481"/>
        <v>40%</v>
      </c>
      <c r="AC377" s="188" t="s">
        <v>222</v>
      </c>
      <c r="AD377" s="188" t="s">
        <v>227</v>
      </c>
      <c r="AE377" s="188" t="s">
        <v>231</v>
      </c>
      <c r="AF377" s="602">
        <f t="shared" ref="AF377" si="503">IFERROR(IF(Y377="Probabilidad",(Q377-(+Q377*AB377)),IF(Y377="Impacto",Q377,"")),"")</f>
        <v>0.36</v>
      </c>
      <c r="AG377" s="186" t="str">
        <f t="shared" si="470"/>
        <v>Baja</v>
      </c>
      <c r="AH377" s="185">
        <f t="shared" si="471"/>
        <v>0.36</v>
      </c>
      <c r="AI377" s="186" t="str">
        <f t="shared" ca="1" si="472"/>
        <v>Moderado</v>
      </c>
      <c r="AJ377" s="185">
        <f t="shared" ref="AJ377" ca="1" si="504">IFERROR(IF(Y377="Impacto",(U377-(+U377*AB377)),IF(Y377="Probabilidad",U377,"")),"")</f>
        <v>0.6</v>
      </c>
      <c r="AK377" s="187" t="str">
        <f t="shared" ca="1" si="473"/>
        <v>Moderado</v>
      </c>
      <c r="AL377" s="603" t="s">
        <v>258</v>
      </c>
      <c r="AM377" s="189"/>
      <c r="AN377" s="194"/>
      <c r="AO377" s="190"/>
      <c r="AP377" s="190"/>
      <c r="AQ377" s="191"/>
      <c r="AR377" s="194"/>
    </row>
    <row r="378" spans="1:44" s="605" customFormat="1" ht="99" customHeight="1" x14ac:dyDescent="0.25">
      <c r="A378" s="252"/>
      <c r="B378" s="264"/>
      <c r="C378" s="266"/>
      <c r="D378" s="264"/>
      <c r="E378" s="505"/>
      <c r="F378" s="506"/>
      <c r="G378" s="506"/>
      <c r="H378" s="507"/>
      <c r="I378" s="249"/>
      <c r="J378" s="249"/>
      <c r="K378" s="249"/>
      <c r="L378" s="249"/>
      <c r="M378" s="253"/>
      <c r="N378" s="251"/>
      <c r="O378" s="256"/>
      <c r="P378" s="610"/>
      <c r="Q378" s="611"/>
      <c r="R378" s="611"/>
      <c r="S378" s="611">
        <f ca="1">IF(NOT(ISERROR(MATCH(R378,_xlfn.ANCHORARRAY(H389),0))),Q391&amp;"Por favor no seleccionar los criterios de impacto",R378)</f>
        <v>0</v>
      </c>
      <c r="T378" s="610"/>
      <c r="U378" s="611"/>
      <c r="V378" s="252"/>
      <c r="W378" s="194">
        <v>2</v>
      </c>
      <c r="X378" s="192" t="s">
        <v>936</v>
      </c>
      <c r="Y378" s="194" t="str">
        <f t="shared" si="469"/>
        <v>Probabilidad</v>
      </c>
      <c r="Z378" s="188" t="s">
        <v>211</v>
      </c>
      <c r="AA378" s="188" t="s">
        <v>219</v>
      </c>
      <c r="AB378" s="185" t="str">
        <f t="shared" si="481"/>
        <v>40%</v>
      </c>
      <c r="AC378" s="188" t="s">
        <v>222</v>
      </c>
      <c r="AD378" s="188" t="s">
        <v>227</v>
      </c>
      <c r="AE378" s="188" t="s">
        <v>231</v>
      </c>
      <c r="AF378" s="602">
        <f t="shared" ref="AF378:AF382" si="505">IFERROR(IF(AND(Y377="Probabilidad",Y378="Probabilidad"),(AH377-(+AH377*AB378)),IF(Y378="Probabilidad",(Q377-(+Q377*AB378)),IF(Y378="Impacto",AH377,""))),"")</f>
        <v>0.216</v>
      </c>
      <c r="AG378" s="186" t="str">
        <f t="shared" si="470"/>
        <v>Baja</v>
      </c>
      <c r="AH378" s="185">
        <f t="shared" si="471"/>
        <v>0.216</v>
      </c>
      <c r="AI378" s="186" t="str">
        <f t="shared" ca="1" si="472"/>
        <v>Moderado</v>
      </c>
      <c r="AJ378" s="185">
        <f t="shared" ref="AJ378" ca="1" si="506">IFERROR(IF(AND(Y377="Impacto",Y378="Impacto"),(AJ377-(+AJ377*AB378)),IF(Y378="Impacto",(U377-(+U377*AB378)),IF(Y378="Probabilidad",AJ377,""))),"")</f>
        <v>0.6</v>
      </c>
      <c r="AK378" s="187" t="str">
        <f t="shared" ca="1" si="473"/>
        <v>Moderado</v>
      </c>
      <c r="AL378" s="603" t="s">
        <v>258</v>
      </c>
      <c r="AM378" s="189"/>
      <c r="AN378" s="194"/>
      <c r="AO378" s="190"/>
      <c r="AP378" s="190"/>
      <c r="AQ378" s="191"/>
      <c r="AR378" s="194"/>
    </row>
    <row r="379" spans="1:44" s="605" customFormat="1" ht="69" hidden="1" customHeight="1" x14ac:dyDescent="0.25">
      <c r="A379" s="252"/>
      <c r="B379" s="264"/>
      <c r="C379" s="266"/>
      <c r="D379" s="264"/>
      <c r="E379" s="505"/>
      <c r="F379" s="506"/>
      <c r="G379" s="506"/>
      <c r="H379" s="507"/>
      <c r="I379" s="249"/>
      <c r="J379" s="249"/>
      <c r="K379" s="249"/>
      <c r="L379" s="249"/>
      <c r="M379" s="253"/>
      <c r="N379" s="251"/>
      <c r="O379" s="256"/>
      <c r="P379" s="610"/>
      <c r="Q379" s="611"/>
      <c r="R379" s="611"/>
      <c r="S379" s="611">
        <f ca="1">IF(NOT(ISERROR(MATCH(R379,_xlfn.ANCHORARRAY(H390),0))),Q392&amp;"Por favor no seleccionar los criterios de impacto",R379)</f>
        <v>0</v>
      </c>
      <c r="T379" s="610"/>
      <c r="U379" s="611"/>
      <c r="V379" s="252"/>
      <c r="W379" s="194">
        <v>3</v>
      </c>
      <c r="X379" s="192"/>
      <c r="Y379" s="194" t="str">
        <f t="shared" si="469"/>
        <v/>
      </c>
      <c r="Z379" s="188"/>
      <c r="AA379" s="188"/>
      <c r="AB379" s="185" t="str">
        <f t="shared" si="481"/>
        <v/>
      </c>
      <c r="AC379" s="188"/>
      <c r="AD379" s="188"/>
      <c r="AE379" s="188"/>
      <c r="AF379" s="602" t="str">
        <f t="shared" si="505"/>
        <v/>
      </c>
      <c r="AG379" s="186" t="str">
        <f t="shared" si="470"/>
        <v/>
      </c>
      <c r="AH379" s="185" t="str">
        <f t="shared" si="471"/>
        <v/>
      </c>
      <c r="AI379" s="186" t="str">
        <f t="shared" si="472"/>
        <v/>
      </c>
      <c r="AJ379" s="185" t="str">
        <f t="shared" ref="AJ379:AJ382" si="507">IFERROR(IF(AND(Y378="Impacto",Y379="Impacto"),(AJ378-(+AJ378*AB379)),IF(AND(Y378="Probabilidad",Y379="Impacto"),(AJ377-(+AJ377*AB379)),IF(Y379="Probabilidad",AJ378,""))),"")</f>
        <v/>
      </c>
      <c r="AK379" s="187" t="str">
        <f t="shared" si="473"/>
        <v/>
      </c>
      <c r="AL379" s="603"/>
      <c r="AM379" s="189"/>
      <c r="AN379" s="194"/>
      <c r="AO379" s="190"/>
      <c r="AP379" s="190"/>
      <c r="AQ379" s="191"/>
      <c r="AR379" s="194"/>
    </row>
    <row r="380" spans="1:44" s="605" customFormat="1" ht="69" hidden="1" customHeight="1" x14ac:dyDescent="0.25">
      <c r="A380" s="252"/>
      <c r="B380" s="264"/>
      <c r="C380" s="266"/>
      <c r="D380" s="264"/>
      <c r="E380" s="505"/>
      <c r="F380" s="506"/>
      <c r="G380" s="506"/>
      <c r="H380" s="507"/>
      <c r="I380" s="249"/>
      <c r="J380" s="249"/>
      <c r="K380" s="249"/>
      <c r="L380" s="249"/>
      <c r="M380" s="253"/>
      <c r="N380" s="251"/>
      <c r="O380" s="256"/>
      <c r="P380" s="610"/>
      <c r="Q380" s="611"/>
      <c r="R380" s="611"/>
      <c r="S380" s="611">
        <f ca="1">IF(NOT(ISERROR(MATCH(R380,_xlfn.ANCHORARRAY(H391),0))),Q393&amp;"Por favor no seleccionar los criterios de impacto",R380)</f>
        <v>0</v>
      </c>
      <c r="T380" s="610"/>
      <c r="U380" s="611"/>
      <c r="V380" s="252"/>
      <c r="W380" s="194">
        <v>4</v>
      </c>
      <c r="X380" s="192"/>
      <c r="Y380" s="194" t="str">
        <f t="shared" si="469"/>
        <v/>
      </c>
      <c r="Z380" s="188"/>
      <c r="AA380" s="188"/>
      <c r="AB380" s="185" t="str">
        <f t="shared" si="481"/>
        <v/>
      </c>
      <c r="AC380" s="188"/>
      <c r="AD380" s="188"/>
      <c r="AE380" s="188"/>
      <c r="AF380" s="602" t="str">
        <f t="shared" si="505"/>
        <v/>
      </c>
      <c r="AG380" s="186" t="str">
        <f t="shared" si="470"/>
        <v/>
      </c>
      <c r="AH380" s="185" t="str">
        <f t="shared" si="471"/>
        <v/>
      </c>
      <c r="AI380" s="186" t="str">
        <f t="shared" si="472"/>
        <v/>
      </c>
      <c r="AJ380" s="185" t="str">
        <f t="shared" si="507"/>
        <v/>
      </c>
      <c r="AK380" s="187" t="str">
        <f t="shared" si="473"/>
        <v/>
      </c>
      <c r="AL380" s="603"/>
      <c r="AM380" s="189"/>
      <c r="AN380" s="194"/>
      <c r="AO380" s="190"/>
      <c r="AP380" s="190"/>
      <c r="AQ380" s="191"/>
      <c r="AR380" s="194"/>
    </row>
    <row r="381" spans="1:44" s="605" customFormat="1" ht="69" hidden="1" customHeight="1" x14ac:dyDescent="0.25">
      <c r="A381" s="252"/>
      <c r="B381" s="264"/>
      <c r="C381" s="266"/>
      <c r="D381" s="264"/>
      <c r="E381" s="505"/>
      <c r="F381" s="506"/>
      <c r="G381" s="506"/>
      <c r="H381" s="507"/>
      <c r="I381" s="249"/>
      <c r="J381" s="249"/>
      <c r="K381" s="249"/>
      <c r="L381" s="249"/>
      <c r="M381" s="253"/>
      <c r="N381" s="251"/>
      <c r="O381" s="256"/>
      <c r="P381" s="610"/>
      <c r="Q381" s="611"/>
      <c r="R381" s="611"/>
      <c r="S381" s="611">
        <f ca="1">IF(NOT(ISERROR(MATCH(R381,_xlfn.ANCHORARRAY(H392),0))),Q394&amp;"Por favor no seleccionar los criterios de impacto",R381)</f>
        <v>0</v>
      </c>
      <c r="T381" s="610"/>
      <c r="U381" s="611"/>
      <c r="V381" s="252"/>
      <c r="W381" s="194">
        <v>5</v>
      </c>
      <c r="X381" s="192"/>
      <c r="Y381" s="194" t="str">
        <f t="shared" si="469"/>
        <v/>
      </c>
      <c r="Z381" s="188"/>
      <c r="AA381" s="188"/>
      <c r="AB381" s="185" t="str">
        <f t="shared" si="481"/>
        <v/>
      </c>
      <c r="AC381" s="188"/>
      <c r="AD381" s="188"/>
      <c r="AE381" s="188"/>
      <c r="AF381" s="602" t="str">
        <f t="shared" si="505"/>
        <v/>
      </c>
      <c r="AG381" s="186" t="str">
        <f t="shared" si="470"/>
        <v/>
      </c>
      <c r="AH381" s="185" t="str">
        <f t="shared" si="471"/>
        <v/>
      </c>
      <c r="AI381" s="186" t="str">
        <f t="shared" si="472"/>
        <v/>
      </c>
      <c r="AJ381" s="185" t="str">
        <f t="shared" si="507"/>
        <v/>
      </c>
      <c r="AK381" s="187" t="str">
        <f t="shared" si="473"/>
        <v/>
      </c>
      <c r="AL381" s="603"/>
      <c r="AM381" s="189"/>
      <c r="AN381" s="194"/>
      <c r="AO381" s="190"/>
      <c r="AP381" s="190"/>
      <c r="AQ381" s="191"/>
      <c r="AR381" s="194"/>
    </row>
    <row r="382" spans="1:44" s="605" customFormat="1" ht="69" hidden="1" customHeight="1" x14ac:dyDescent="0.25">
      <c r="A382" s="252"/>
      <c r="B382" s="265"/>
      <c r="C382" s="267"/>
      <c r="D382" s="265"/>
      <c r="E382" s="505"/>
      <c r="F382" s="506"/>
      <c r="G382" s="506"/>
      <c r="H382" s="507"/>
      <c r="I382" s="250"/>
      <c r="J382" s="250"/>
      <c r="K382" s="250"/>
      <c r="L382" s="250"/>
      <c r="M382" s="253"/>
      <c r="N382" s="239"/>
      <c r="O382" s="256"/>
      <c r="P382" s="610"/>
      <c r="Q382" s="611"/>
      <c r="R382" s="611"/>
      <c r="S382" s="611">
        <f ca="1">IF(NOT(ISERROR(MATCH(R382,_xlfn.ANCHORARRAY(H393),0))),Q395&amp;"Por favor no seleccionar los criterios de impacto",R382)</f>
        <v>0</v>
      </c>
      <c r="T382" s="610"/>
      <c r="U382" s="611"/>
      <c r="V382" s="252"/>
      <c r="W382" s="194">
        <v>6</v>
      </c>
      <c r="X382" s="192"/>
      <c r="Y382" s="194" t="str">
        <f t="shared" si="469"/>
        <v/>
      </c>
      <c r="Z382" s="188"/>
      <c r="AA382" s="188"/>
      <c r="AB382" s="185" t="str">
        <f t="shared" si="481"/>
        <v/>
      </c>
      <c r="AC382" s="188"/>
      <c r="AD382" s="188"/>
      <c r="AE382" s="188"/>
      <c r="AF382" s="602" t="str">
        <f t="shared" si="505"/>
        <v/>
      </c>
      <c r="AG382" s="186" t="str">
        <f t="shared" si="470"/>
        <v/>
      </c>
      <c r="AH382" s="185" t="str">
        <f t="shared" si="471"/>
        <v/>
      </c>
      <c r="AI382" s="186" t="str">
        <f t="shared" si="472"/>
        <v/>
      </c>
      <c r="AJ382" s="185" t="str">
        <f t="shared" si="507"/>
        <v/>
      </c>
      <c r="AK382" s="187" t="str">
        <f t="shared" si="473"/>
        <v/>
      </c>
      <c r="AL382" s="603"/>
      <c r="AM382" s="189"/>
      <c r="AN382" s="194"/>
      <c r="AO382" s="190"/>
      <c r="AP382" s="190"/>
      <c r="AQ382" s="191"/>
      <c r="AR382" s="194"/>
    </row>
    <row r="383" spans="1:44" s="605" customFormat="1" ht="109.5" customHeight="1" x14ac:dyDescent="0.25">
      <c r="A383" s="252">
        <v>62</v>
      </c>
      <c r="B383" s="268" t="s">
        <v>937</v>
      </c>
      <c r="C383" s="238" t="s">
        <v>279</v>
      </c>
      <c r="D383" s="245" t="s">
        <v>925</v>
      </c>
      <c r="E383" s="253" t="s">
        <v>241</v>
      </c>
      <c r="F383" s="254" t="s">
        <v>938</v>
      </c>
      <c r="G383" s="254" t="s">
        <v>939</v>
      </c>
      <c r="H383" s="255" t="s">
        <v>940</v>
      </c>
      <c r="I383" s="248" t="s">
        <v>480</v>
      </c>
      <c r="J383" s="248" t="s">
        <v>480</v>
      </c>
      <c r="K383" s="248" t="s">
        <v>480</v>
      </c>
      <c r="L383" s="248" t="s">
        <v>480</v>
      </c>
      <c r="M383" s="253" t="s">
        <v>242</v>
      </c>
      <c r="N383" s="238"/>
      <c r="O383" s="256">
        <v>365</v>
      </c>
      <c r="P383" s="610" t="str">
        <f t="shared" ref="P383" si="508">IF(O383&lt;=0,"",IF(O383&lt;=2,"Muy Baja",IF(O383&lt;=24,"Baja",IF(O383&lt;=500,"Media",IF(O383&lt;=5000,"Alta","Muy Alta")))))</f>
        <v>Media</v>
      </c>
      <c r="Q383" s="611">
        <f t="shared" ref="Q383" si="509">IF(P383="","",IF(P383="Muy Baja",0.2,IF(P383="Baja",0.4,IF(P383="Media",0.6,IF(P383="Alta",0.8,IF(P383="Muy Alta",1,))))))</f>
        <v>0.6</v>
      </c>
      <c r="R383" s="611" t="s">
        <v>193</v>
      </c>
      <c r="S383" s="611" t="str">
        <f ca="1">IF(NOT(ISERROR(MATCH(R383,'Tabla Impacto'!$B$221:$B$223,0))),'Tabla Impacto'!$F$223&amp;"Por favor no seleccionar los criterios de impacto(Afectación Económica o presupuestal y Pérdida Reputacional)",R383)</f>
        <v>El riesgo afecta la imagen de la entidad con algunos usuarios de relevancia frente al logro de los objetivos</v>
      </c>
      <c r="T383" s="610" t="str">
        <f ca="1">+IF(OR(S383='[1]Tabla Impacto'!$C$11,S383='[1]Tabla Impacto'!$D$11),"Leve",IF(OR(S383='[1]Tabla Impacto'!$C$12,S383='[1]Tabla Impacto'!$D$12),"Menor",IF(OR(S383='[1]Tabla Impacto'!$C$13,S383='[1]Tabla Impacto'!$D$13),"Moderado",IF(OR(S383='[1]Tabla Impacto'!$C$14,S383='[1]Tabla Impacto'!$D$14),"Mayor",IF(OR(S383='[1]Tabla Impacto'!$C$15,S383='[1]Tabla Impacto'!$D$15),"Catastrófico","")))))</f>
        <v>Moderado</v>
      </c>
      <c r="U383" s="611">
        <f t="shared" ref="U383" ca="1" si="510">IF(T383="","",IF(T383="Leve",0.2,IF(T383="Menor",0.4,IF(T383="Moderado",0.6,IF(T383="Mayor",0.8,IF(T383="Catastrófico",1,))))))</f>
        <v>0.6</v>
      </c>
      <c r="V383" s="252" t="str">
        <f t="shared" ref="V383" ca="1" si="511">IF(OR(AND(P383="Muy Baja",T383="Leve"),AND(P383="Muy Baja",T383="Menor"),AND(P383="Baja",T383="Leve")),"Bajo",IF(OR(AND(P383="Muy baja",T383="Moderado"),AND(P383="Baja",T383="Menor"),AND(P383="Baja",T383="Moderado"),AND(P383="Media",T383="Leve"),AND(P383="Media",T383="Menor"),AND(P383="Media",T383="Moderado"),AND(P383="Alta",T383="Leve"),AND(P383="Alta",T383="Menor")),"Moderado",IF(OR(AND(P383="Muy Baja",T383="Mayor"),AND(P383="Baja",T383="Mayor"),AND(P383="Media",T383="Mayor"),AND(P383="Alta",T383="Moderado"),AND(P383="Alta",T383="Mayor"),AND(P383="Muy Alta",T383="Leve"),AND(P383="Muy Alta",T383="Menor"),AND(P383="Muy Alta",T383="Moderado"),AND(P383="Muy Alta",T383="Mayor")),"Alto",IF(OR(AND(P383="Muy Baja",T383="Catastrófico"),AND(P383="Baja",T383="Catastrófico"),AND(P383="Media",T383="Catastrófico"),AND(P383="Alta",T383="Catastrófico"),AND(P383="Muy Alta",T383="Catastrófico")),"Extremo",""))))</f>
        <v>Moderado</v>
      </c>
      <c r="W383" s="194">
        <v>1</v>
      </c>
      <c r="X383" s="192" t="s">
        <v>941</v>
      </c>
      <c r="Y383" s="194" t="str">
        <f t="shared" si="469"/>
        <v>Probabilidad</v>
      </c>
      <c r="Z383" s="188" t="s">
        <v>211</v>
      </c>
      <c r="AA383" s="188" t="s">
        <v>219</v>
      </c>
      <c r="AB383" s="185" t="str">
        <f t="shared" si="481"/>
        <v>40%</v>
      </c>
      <c r="AC383" s="188" t="s">
        <v>222</v>
      </c>
      <c r="AD383" s="188" t="s">
        <v>227</v>
      </c>
      <c r="AE383" s="188" t="s">
        <v>231</v>
      </c>
      <c r="AF383" s="602">
        <f t="shared" ref="AF383" si="512">IFERROR(IF(Y383="Probabilidad",(Q383-(+Q383*AB383)),IF(Y383="Impacto",Q383,"")),"")</f>
        <v>0.36</v>
      </c>
      <c r="AG383" s="186" t="str">
        <f t="shared" si="470"/>
        <v>Baja</v>
      </c>
      <c r="AH383" s="185">
        <f t="shared" si="471"/>
        <v>0.36</v>
      </c>
      <c r="AI383" s="186" t="str">
        <f t="shared" ca="1" si="472"/>
        <v>Moderado</v>
      </c>
      <c r="AJ383" s="185">
        <f t="shared" ref="AJ383" ca="1" si="513">IFERROR(IF(Y383="Impacto",(U383-(+U383*AB383)),IF(Y383="Probabilidad",U383,"")),"")</f>
        <v>0.6</v>
      </c>
      <c r="AK383" s="187" t="str">
        <f t="shared" ca="1" si="473"/>
        <v>Moderado</v>
      </c>
      <c r="AL383" s="603" t="s">
        <v>258</v>
      </c>
      <c r="AM383" s="189"/>
      <c r="AN383" s="194"/>
      <c r="AO383" s="190"/>
      <c r="AP383" s="190"/>
      <c r="AQ383" s="191"/>
      <c r="AR383" s="194"/>
    </row>
    <row r="384" spans="1:44" s="605" customFormat="1" ht="101.25" x14ac:dyDescent="0.25">
      <c r="A384" s="252"/>
      <c r="B384" s="264"/>
      <c r="C384" s="251"/>
      <c r="D384" s="246"/>
      <c r="E384" s="253"/>
      <c r="F384" s="254"/>
      <c r="G384" s="254"/>
      <c r="H384" s="255"/>
      <c r="I384" s="249"/>
      <c r="J384" s="249"/>
      <c r="K384" s="249"/>
      <c r="L384" s="249"/>
      <c r="M384" s="253"/>
      <c r="N384" s="251"/>
      <c r="O384" s="256"/>
      <c r="P384" s="610"/>
      <c r="Q384" s="611"/>
      <c r="R384" s="611"/>
      <c r="S384" s="611">
        <f ca="1">IF(NOT(ISERROR(MATCH(R384,_xlfn.ANCHORARRAY(H395),0))),Q397&amp;"Por favor no seleccionar los criterios de impacto",R384)</f>
        <v>0</v>
      </c>
      <c r="T384" s="610"/>
      <c r="U384" s="611"/>
      <c r="V384" s="252"/>
      <c r="W384" s="194">
        <v>2</v>
      </c>
      <c r="X384" s="192" t="s">
        <v>942</v>
      </c>
      <c r="Y384" s="194" t="str">
        <f t="shared" si="469"/>
        <v>Probabilidad</v>
      </c>
      <c r="Z384" s="188" t="s">
        <v>211</v>
      </c>
      <c r="AA384" s="188" t="s">
        <v>219</v>
      </c>
      <c r="AB384" s="185" t="str">
        <f t="shared" si="481"/>
        <v>40%</v>
      </c>
      <c r="AC384" s="188" t="s">
        <v>222</v>
      </c>
      <c r="AD384" s="188" t="s">
        <v>227</v>
      </c>
      <c r="AE384" s="188" t="s">
        <v>231</v>
      </c>
      <c r="AF384" s="602">
        <f t="shared" ref="AF384:AF388" si="514">IFERROR(IF(AND(Y383="Probabilidad",Y384="Probabilidad"),(AH383-(+AH383*AB384)),IF(Y384="Probabilidad",(Q383-(+Q383*AB384)),IF(Y384="Impacto",AH383,""))),"")</f>
        <v>0.216</v>
      </c>
      <c r="AG384" s="186" t="str">
        <f t="shared" si="470"/>
        <v>Baja</v>
      </c>
      <c r="AH384" s="185">
        <f t="shared" si="471"/>
        <v>0.216</v>
      </c>
      <c r="AI384" s="186" t="str">
        <f t="shared" ca="1" si="472"/>
        <v>Moderado</v>
      </c>
      <c r="AJ384" s="185">
        <f t="shared" ref="AJ384" ca="1" si="515">IFERROR(IF(AND(Y383="Impacto",Y384="Impacto"),(AJ383-(+AJ383*AB384)),IF(Y384="Impacto",(U383-(+U383*AB384)),IF(Y384="Probabilidad",AJ383,""))),"")</f>
        <v>0.6</v>
      </c>
      <c r="AK384" s="187" t="str">
        <f t="shared" ca="1" si="473"/>
        <v>Moderado</v>
      </c>
      <c r="AL384" s="603" t="s">
        <v>258</v>
      </c>
      <c r="AM384" s="189"/>
      <c r="AN384" s="194"/>
      <c r="AO384" s="190"/>
      <c r="AP384" s="190"/>
      <c r="AQ384" s="191"/>
      <c r="AR384" s="194"/>
    </row>
    <row r="385" spans="1:44" s="605" customFormat="1" ht="69" hidden="1" customHeight="1" x14ac:dyDescent="0.25">
      <c r="A385" s="252"/>
      <c r="B385" s="264"/>
      <c r="C385" s="251"/>
      <c r="D385" s="246"/>
      <c r="E385" s="253"/>
      <c r="F385" s="254"/>
      <c r="G385" s="254"/>
      <c r="H385" s="255"/>
      <c r="I385" s="249"/>
      <c r="J385" s="249"/>
      <c r="K385" s="249"/>
      <c r="L385" s="249"/>
      <c r="M385" s="253"/>
      <c r="N385" s="251"/>
      <c r="O385" s="256"/>
      <c r="P385" s="610"/>
      <c r="Q385" s="611"/>
      <c r="R385" s="611"/>
      <c r="S385" s="611">
        <f ca="1">IF(NOT(ISERROR(MATCH(R385,_xlfn.ANCHORARRAY(H396),0))),Q398&amp;"Por favor no seleccionar los criterios de impacto",R385)</f>
        <v>0</v>
      </c>
      <c r="T385" s="610"/>
      <c r="U385" s="611"/>
      <c r="V385" s="252"/>
      <c r="W385" s="194">
        <v>3</v>
      </c>
      <c r="X385" s="192"/>
      <c r="Y385" s="194" t="str">
        <f t="shared" si="469"/>
        <v/>
      </c>
      <c r="Z385" s="188"/>
      <c r="AA385" s="188"/>
      <c r="AB385" s="185" t="str">
        <f t="shared" si="481"/>
        <v/>
      </c>
      <c r="AC385" s="188"/>
      <c r="AD385" s="188"/>
      <c r="AE385" s="188"/>
      <c r="AF385" s="602" t="str">
        <f t="shared" si="514"/>
        <v/>
      </c>
      <c r="AG385" s="186" t="str">
        <f t="shared" si="470"/>
        <v/>
      </c>
      <c r="AH385" s="185" t="str">
        <f t="shared" si="471"/>
        <v/>
      </c>
      <c r="AI385" s="186" t="str">
        <f t="shared" si="472"/>
        <v/>
      </c>
      <c r="AJ385" s="185" t="str">
        <f t="shared" ref="AJ385:AJ388" si="516">IFERROR(IF(AND(Y384="Impacto",Y385="Impacto"),(AJ384-(+AJ384*AB385)),IF(AND(Y384="Probabilidad",Y385="Impacto"),(AJ383-(+AJ383*AB385)),IF(Y385="Probabilidad",AJ384,""))),"")</f>
        <v/>
      </c>
      <c r="AK385" s="187" t="str">
        <f t="shared" si="473"/>
        <v/>
      </c>
      <c r="AL385" s="603"/>
      <c r="AM385" s="189"/>
      <c r="AN385" s="194"/>
      <c r="AO385" s="190"/>
      <c r="AP385" s="190"/>
      <c r="AQ385" s="191"/>
      <c r="AR385" s="194"/>
    </row>
    <row r="386" spans="1:44" s="605" customFormat="1" ht="69" hidden="1" customHeight="1" x14ac:dyDescent="0.25">
      <c r="A386" s="252"/>
      <c r="B386" s="264"/>
      <c r="C386" s="251"/>
      <c r="D386" s="246"/>
      <c r="E386" s="253"/>
      <c r="F386" s="254"/>
      <c r="G386" s="254"/>
      <c r="H386" s="255"/>
      <c r="I386" s="249"/>
      <c r="J386" s="249"/>
      <c r="K386" s="249"/>
      <c r="L386" s="249"/>
      <c r="M386" s="253"/>
      <c r="N386" s="251"/>
      <c r="O386" s="256"/>
      <c r="P386" s="610"/>
      <c r="Q386" s="611"/>
      <c r="R386" s="611"/>
      <c r="S386" s="611">
        <f ca="1">IF(NOT(ISERROR(MATCH(R386,_xlfn.ANCHORARRAY(H397),0))),Q399&amp;"Por favor no seleccionar los criterios de impacto",R386)</f>
        <v>0</v>
      </c>
      <c r="T386" s="610"/>
      <c r="U386" s="611"/>
      <c r="V386" s="252"/>
      <c r="W386" s="194">
        <v>4</v>
      </c>
      <c r="X386" s="192"/>
      <c r="Y386" s="194" t="str">
        <f t="shared" si="469"/>
        <v/>
      </c>
      <c r="Z386" s="188"/>
      <c r="AA386" s="188"/>
      <c r="AB386" s="185" t="str">
        <f t="shared" si="481"/>
        <v/>
      </c>
      <c r="AC386" s="188"/>
      <c r="AD386" s="188"/>
      <c r="AE386" s="188"/>
      <c r="AF386" s="602" t="str">
        <f t="shared" si="514"/>
        <v/>
      </c>
      <c r="AG386" s="186" t="str">
        <f t="shared" si="470"/>
        <v/>
      </c>
      <c r="AH386" s="185" t="str">
        <f t="shared" si="471"/>
        <v/>
      </c>
      <c r="AI386" s="186" t="str">
        <f t="shared" si="472"/>
        <v/>
      </c>
      <c r="AJ386" s="185" t="str">
        <f t="shared" si="516"/>
        <v/>
      </c>
      <c r="AK386" s="187" t="str">
        <f t="shared" si="473"/>
        <v/>
      </c>
      <c r="AL386" s="603"/>
      <c r="AM386" s="189"/>
      <c r="AN386" s="194"/>
      <c r="AO386" s="190"/>
      <c r="AP386" s="190"/>
      <c r="AQ386" s="191"/>
      <c r="AR386" s="194"/>
    </row>
    <row r="387" spans="1:44" s="605" customFormat="1" ht="69" hidden="1" customHeight="1" x14ac:dyDescent="0.25">
      <c r="A387" s="252"/>
      <c r="B387" s="264"/>
      <c r="C387" s="251"/>
      <c r="D387" s="246"/>
      <c r="E387" s="253"/>
      <c r="F387" s="254"/>
      <c r="G387" s="254"/>
      <c r="H387" s="255"/>
      <c r="I387" s="249"/>
      <c r="J387" s="249"/>
      <c r="K387" s="249"/>
      <c r="L387" s="249"/>
      <c r="M387" s="253"/>
      <c r="N387" s="251"/>
      <c r="O387" s="256"/>
      <c r="P387" s="610"/>
      <c r="Q387" s="611"/>
      <c r="R387" s="611"/>
      <c r="S387" s="611">
        <f ca="1">IF(NOT(ISERROR(MATCH(R387,_xlfn.ANCHORARRAY(H398),0))),Q400&amp;"Por favor no seleccionar los criterios de impacto",R387)</f>
        <v>0</v>
      </c>
      <c r="T387" s="610"/>
      <c r="U387" s="611"/>
      <c r="V387" s="252"/>
      <c r="W387" s="194">
        <v>5</v>
      </c>
      <c r="X387" s="192"/>
      <c r="Y387" s="194" t="str">
        <f t="shared" si="469"/>
        <v/>
      </c>
      <c r="Z387" s="188"/>
      <c r="AA387" s="188"/>
      <c r="AB387" s="185" t="str">
        <f t="shared" si="481"/>
        <v/>
      </c>
      <c r="AC387" s="188"/>
      <c r="AD387" s="188"/>
      <c r="AE387" s="188"/>
      <c r="AF387" s="602" t="str">
        <f t="shared" si="514"/>
        <v/>
      </c>
      <c r="AG387" s="186" t="str">
        <f t="shared" si="470"/>
        <v/>
      </c>
      <c r="AH387" s="185" t="str">
        <f t="shared" si="471"/>
        <v/>
      </c>
      <c r="AI387" s="186" t="str">
        <f t="shared" si="472"/>
        <v/>
      </c>
      <c r="AJ387" s="185" t="str">
        <f t="shared" si="516"/>
        <v/>
      </c>
      <c r="AK387" s="187" t="str">
        <f t="shared" si="473"/>
        <v/>
      </c>
      <c r="AL387" s="603"/>
      <c r="AM387" s="189"/>
      <c r="AN387" s="194"/>
      <c r="AO387" s="190"/>
      <c r="AP387" s="190"/>
      <c r="AQ387" s="191"/>
      <c r="AR387" s="194"/>
    </row>
    <row r="388" spans="1:44" s="605" customFormat="1" ht="69" hidden="1" customHeight="1" x14ac:dyDescent="0.25">
      <c r="A388" s="252"/>
      <c r="B388" s="265"/>
      <c r="C388" s="239"/>
      <c r="D388" s="247"/>
      <c r="E388" s="253"/>
      <c r="F388" s="254"/>
      <c r="G388" s="254"/>
      <c r="H388" s="255"/>
      <c r="I388" s="250"/>
      <c r="J388" s="250"/>
      <c r="K388" s="250"/>
      <c r="L388" s="250"/>
      <c r="M388" s="253"/>
      <c r="N388" s="239"/>
      <c r="O388" s="256"/>
      <c r="P388" s="610"/>
      <c r="Q388" s="611"/>
      <c r="R388" s="611"/>
      <c r="S388" s="611">
        <f ca="1">IF(NOT(ISERROR(MATCH(R388,_xlfn.ANCHORARRAY(H399),0))),Q401&amp;"Por favor no seleccionar los criterios de impacto",R388)</f>
        <v>0</v>
      </c>
      <c r="T388" s="610"/>
      <c r="U388" s="611"/>
      <c r="V388" s="252"/>
      <c r="W388" s="194">
        <v>6</v>
      </c>
      <c r="X388" s="192"/>
      <c r="Y388" s="194" t="str">
        <f t="shared" si="469"/>
        <v/>
      </c>
      <c r="Z388" s="188"/>
      <c r="AA388" s="188"/>
      <c r="AB388" s="185" t="str">
        <f t="shared" si="481"/>
        <v/>
      </c>
      <c r="AC388" s="188"/>
      <c r="AD388" s="188"/>
      <c r="AE388" s="188"/>
      <c r="AF388" s="602" t="str">
        <f t="shared" si="514"/>
        <v/>
      </c>
      <c r="AG388" s="186" t="str">
        <f t="shared" si="470"/>
        <v/>
      </c>
      <c r="AH388" s="185" t="str">
        <f t="shared" si="471"/>
        <v/>
      </c>
      <c r="AI388" s="186" t="str">
        <f t="shared" si="472"/>
        <v/>
      </c>
      <c r="AJ388" s="185" t="str">
        <f t="shared" si="516"/>
        <v/>
      </c>
      <c r="AK388" s="187" t="str">
        <f t="shared" si="473"/>
        <v/>
      </c>
      <c r="AL388" s="603"/>
      <c r="AM388" s="189"/>
      <c r="AN388" s="194"/>
      <c r="AO388" s="190"/>
      <c r="AP388" s="190"/>
      <c r="AQ388" s="191"/>
      <c r="AR388" s="194"/>
    </row>
    <row r="389" spans="1:44" s="605" customFormat="1" ht="172.5" customHeight="1" x14ac:dyDescent="0.25">
      <c r="A389" s="252">
        <v>63</v>
      </c>
      <c r="B389" s="268" t="s">
        <v>943</v>
      </c>
      <c r="C389" s="263" t="s">
        <v>279</v>
      </c>
      <c r="D389" s="263" t="s">
        <v>944</v>
      </c>
      <c r="E389" s="505" t="s">
        <v>243</v>
      </c>
      <c r="F389" s="506" t="s">
        <v>945</v>
      </c>
      <c r="G389" s="506" t="s">
        <v>946</v>
      </c>
      <c r="H389" s="506" t="s">
        <v>947</v>
      </c>
      <c r="I389" s="248" t="s">
        <v>480</v>
      </c>
      <c r="J389" s="248" t="s">
        <v>480</v>
      </c>
      <c r="K389" s="248" t="s">
        <v>480</v>
      </c>
      <c r="L389" s="248" t="s">
        <v>480</v>
      </c>
      <c r="M389" s="253" t="s">
        <v>242</v>
      </c>
      <c r="N389" s="238"/>
      <c r="O389" s="256">
        <v>365</v>
      </c>
      <c r="P389" s="610" t="str">
        <f t="shared" ref="P389" si="517">IF(O389&lt;=0,"",IF(O389&lt;=2,"Muy Baja",IF(O389&lt;=24,"Baja",IF(O389&lt;=500,"Media",IF(O389&lt;=5000,"Alta","Muy Alta")))))</f>
        <v>Media</v>
      </c>
      <c r="Q389" s="611">
        <f t="shared" ref="Q389" si="518">IF(P389="","",IF(P389="Muy Baja",0.2,IF(P389="Baja",0.4,IF(P389="Media",0.6,IF(P389="Alta",0.8,IF(P389="Muy Alta",1,))))))</f>
        <v>0.6</v>
      </c>
      <c r="R389" s="611" t="s">
        <v>193</v>
      </c>
      <c r="S389" s="611" t="str">
        <f ca="1">IF(NOT(ISERROR(MATCH(R389,'Tabla Impacto'!$B$221:$B$223,0))),'Tabla Impacto'!$F$223&amp;"Por favor no seleccionar los criterios de impacto(Afectación Económica o presupuestal y Pérdida Reputacional)",R389)</f>
        <v>El riesgo afecta la imagen de la entidad con algunos usuarios de relevancia frente al logro de los objetivos</v>
      </c>
      <c r="T389" s="610" t="str">
        <f ca="1">+IF(OR(S389='[1]Tabla Impacto'!$C$11,S389='[1]Tabla Impacto'!$D$11),"Leve",IF(OR(S389='[1]Tabla Impacto'!$C$12,S389='[1]Tabla Impacto'!$D$12),"Menor",IF(OR(S389='[1]Tabla Impacto'!$C$13,S389='[1]Tabla Impacto'!$D$13),"Moderado",IF(OR(S389='[1]Tabla Impacto'!$C$14,S389='[1]Tabla Impacto'!$D$14),"Mayor",IF(OR(S389='[1]Tabla Impacto'!$C$15,S389='[1]Tabla Impacto'!$D$15),"Catastrófico","")))))</f>
        <v>Moderado</v>
      </c>
      <c r="U389" s="611">
        <f t="shared" ref="U389" ca="1" si="519">IF(T389="","",IF(T389="Leve",0.2,IF(T389="Menor",0.4,IF(T389="Moderado",0.6,IF(T389="Mayor",0.8,IF(T389="Catastrófico",1,))))))</f>
        <v>0.6</v>
      </c>
      <c r="V389" s="252" t="str">
        <f t="shared" ref="V389" ca="1" si="520">IF(OR(AND(P389="Muy Baja",T389="Leve"),AND(P389="Muy Baja",T389="Menor"),AND(P389="Baja",T389="Leve")),"Bajo",IF(OR(AND(P389="Muy baja",T389="Moderado"),AND(P389="Baja",T389="Menor"),AND(P389="Baja",T389="Moderado"),AND(P389="Media",T389="Leve"),AND(P389="Media",T389="Menor"),AND(P389="Media",T389="Moderado"),AND(P389="Alta",T389="Leve"),AND(P389="Alta",T389="Menor")),"Moderado",IF(OR(AND(P389="Muy Baja",T389="Mayor"),AND(P389="Baja",T389="Mayor"),AND(P389="Media",T389="Mayor"),AND(P389="Alta",T389="Moderado"),AND(P389="Alta",T389="Mayor"),AND(P389="Muy Alta",T389="Leve"),AND(P389="Muy Alta",T389="Menor"),AND(P389="Muy Alta",T389="Moderado"),AND(P389="Muy Alta",T389="Mayor")),"Alto",IF(OR(AND(P389="Muy Baja",T389="Catastrófico"),AND(P389="Baja",T389="Catastrófico"),AND(P389="Media",T389="Catastrófico"),AND(P389="Alta",T389="Catastrófico"),AND(P389="Muy Alta",T389="Catastrófico")),"Extremo",""))))</f>
        <v>Moderado</v>
      </c>
      <c r="W389" s="194">
        <v>1</v>
      </c>
      <c r="X389" s="192" t="s">
        <v>948</v>
      </c>
      <c r="Y389" s="194" t="str">
        <f t="shared" si="469"/>
        <v>Probabilidad</v>
      </c>
      <c r="Z389" s="188" t="s">
        <v>211</v>
      </c>
      <c r="AA389" s="188" t="s">
        <v>219</v>
      </c>
      <c r="AB389" s="185" t="str">
        <f t="shared" si="481"/>
        <v>40%</v>
      </c>
      <c r="AC389" s="188" t="s">
        <v>222</v>
      </c>
      <c r="AD389" s="188" t="s">
        <v>227</v>
      </c>
      <c r="AE389" s="188" t="s">
        <v>231</v>
      </c>
      <c r="AF389" s="602">
        <f t="shared" ref="AF389" si="521">IFERROR(IF(Y389="Probabilidad",(Q389-(+Q389*AB389)),IF(Y389="Impacto",Q389,"")),"")</f>
        <v>0.36</v>
      </c>
      <c r="AG389" s="186" t="str">
        <f t="shared" si="470"/>
        <v>Baja</v>
      </c>
      <c r="AH389" s="185">
        <f t="shared" si="471"/>
        <v>0.36</v>
      </c>
      <c r="AI389" s="186" t="str">
        <f t="shared" ca="1" si="472"/>
        <v>Moderado</v>
      </c>
      <c r="AJ389" s="185">
        <f t="shared" ref="AJ389" ca="1" si="522">IFERROR(IF(Y389="Impacto",(U389-(+U389*AB389)),IF(Y389="Probabilidad",U389,"")),"")</f>
        <v>0.6</v>
      </c>
      <c r="AK389" s="187" t="str">
        <f t="shared" ca="1" si="473"/>
        <v>Moderado</v>
      </c>
      <c r="AL389" s="603" t="s">
        <v>258</v>
      </c>
      <c r="AM389" s="189"/>
      <c r="AN389" s="194"/>
      <c r="AO389" s="190"/>
      <c r="AP389" s="190"/>
      <c r="AQ389" s="191"/>
      <c r="AR389" s="194"/>
    </row>
    <row r="390" spans="1:44" s="605" customFormat="1" ht="267.75" customHeight="1" x14ac:dyDescent="0.25">
      <c r="A390" s="252"/>
      <c r="B390" s="264"/>
      <c r="C390" s="266"/>
      <c r="D390" s="266"/>
      <c r="E390" s="505"/>
      <c r="F390" s="506"/>
      <c r="G390" s="506"/>
      <c r="H390" s="506"/>
      <c r="I390" s="249"/>
      <c r="J390" s="249"/>
      <c r="K390" s="249"/>
      <c r="L390" s="249"/>
      <c r="M390" s="253"/>
      <c r="N390" s="251"/>
      <c r="O390" s="256"/>
      <c r="P390" s="610"/>
      <c r="Q390" s="611"/>
      <c r="R390" s="611"/>
      <c r="S390" s="611">
        <f ca="1">IF(NOT(ISERROR(MATCH(R390,_xlfn.ANCHORARRAY(H401),0))),Q403&amp;"Por favor no seleccionar los criterios de impacto",R390)</f>
        <v>0</v>
      </c>
      <c r="T390" s="610"/>
      <c r="U390" s="611"/>
      <c r="V390" s="252"/>
      <c r="W390" s="194">
        <v>2</v>
      </c>
      <c r="X390" s="192" t="s">
        <v>949</v>
      </c>
      <c r="Y390" s="194" t="str">
        <f t="shared" si="469"/>
        <v>Probabilidad</v>
      </c>
      <c r="Z390" s="188" t="s">
        <v>211</v>
      </c>
      <c r="AA390" s="188" t="s">
        <v>219</v>
      </c>
      <c r="AB390" s="185" t="str">
        <f t="shared" si="481"/>
        <v>40%</v>
      </c>
      <c r="AC390" s="188" t="s">
        <v>222</v>
      </c>
      <c r="AD390" s="188" t="s">
        <v>227</v>
      </c>
      <c r="AE390" s="188" t="s">
        <v>231</v>
      </c>
      <c r="AF390" s="602">
        <f t="shared" ref="AF390:AF394" si="523">IFERROR(IF(AND(Y389="Probabilidad",Y390="Probabilidad"),(AH389-(+AH389*AB390)),IF(Y390="Probabilidad",(Q389-(+Q389*AB390)),IF(Y390="Impacto",AH389,""))),"")</f>
        <v>0.216</v>
      </c>
      <c r="AG390" s="186" t="str">
        <f t="shared" si="470"/>
        <v>Baja</v>
      </c>
      <c r="AH390" s="185">
        <f t="shared" si="471"/>
        <v>0.216</v>
      </c>
      <c r="AI390" s="186" t="str">
        <f t="shared" ca="1" si="472"/>
        <v>Moderado</v>
      </c>
      <c r="AJ390" s="185">
        <f t="shared" ref="AJ390" ca="1" si="524">IFERROR(IF(AND(Y389="Impacto",Y390="Impacto"),(AJ389-(+AJ389*AB390)),IF(Y390="Impacto",(U389-(+U389*AB390)),IF(Y390="Probabilidad",AJ389,""))),"")</f>
        <v>0.6</v>
      </c>
      <c r="AK390" s="187" t="str">
        <f t="shared" ca="1" si="473"/>
        <v>Moderado</v>
      </c>
      <c r="AL390" s="603" t="s">
        <v>258</v>
      </c>
      <c r="AM390" s="189"/>
      <c r="AN390" s="194"/>
      <c r="AO390" s="190"/>
      <c r="AP390" s="190"/>
      <c r="AQ390" s="191"/>
      <c r="AR390" s="194"/>
    </row>
    <row r="391" spans="1:44" s="605" customFormat="1" ht="229.5" customHeight="1" x14ac:dyDescent="0.25">
      <c r="A391" s="252"/>
      <c r="B391" s="264"/>
      <c r="C391" s="266"/>
      <c r="D391" s="266"/>
      <c r="E391" s="505"/>
      <c r="F391" s="506"/>
      <c r="G391" s="506"/>
      <c r="H391" s="506"/>
      <c r="I391" s="249"/>
      <c r="J391" s="249"/>
      <c r="K391" s="249"/>
      <c r="L391" s="249"/>
      <c r="M391" s="253"/>
      <c r="N391" s="251"/>
      <c r="O391" s="256"/>
      <c r="P391" s="610"/>
      <c r="Q391" s="611"/>
      <c r="R391" s="611"/>
      <c r="S391" s="611">
        <f ca="1">IF(NOT(ISERROR(MATCH(R391,_xlfn.ANCHORARRAY(H402),0))),Q404&amp;"Por favor no seleccionar los criterios de impacto",R391)</f>
        <v>0</v>
      </c>
      <c r="T391" s="610"/>
      <c r="U391" s="611"/>
      <c r="V391" s="252"/>
      <c r="W391" s="194">
        <v>3</v>
      </c>
      <c r="X391" s="192" t="s">
        <v>950</v>
      </c>
      <c r="Y391" s="194" t="str">
        <f t="shared" si="469"/>
        <v>Probabilidad</v>
      </c>
      <c r="Z391" s="188" t="s">
        <v>211</v>
      </c>
      <c r="AA391" s="188" t="s">
        <v>219</v>
      </c>
      <c r="AB391" s="185" t="str">
        <f t="shared" si="481"/>
        <v>40%</v>
      </c>
      <c r="AC391" s="188" t="s">
        <v>225</v>
      </c>
      <c r="AD391" s="188" t="s">
        <v>227</v>
      </c>
      <c r="AE391" s="188" t="s">
        <v>231</v>
      </c>
      <c r="AF391" s="602">
        <f t="shared" si="523"/>
        <v>0.12959999999999999</v>
      </c>
      <c r="AG391" s="186" t="str">
        <f t="shared" si="470"/>
        <v>Muy Baja</v>
      </c>
      <c r="AH391" s="185">
        <f t="shared" si="471"/>
        <v>0.12959999999999999</v>
      </c>
      <c r="AI391" s="186" t="str">
        <f t="shared" ca="1" si="472"/>
        <v>Moderado</v>
      </c>
      <c r="AJ391" s="185">
        <f t="shared" ref="AJ391:AJ394" ca="1" si="525">IFERROR(IF(AND(Y390="Impacto",Y391="Impacto"),(AJ390-(+AJ390*AB391)),IF(AND(Y390="Probabilidad",Y391="Impacto"),(AJ389-(+AJ389*AB391)),IF(Y391="Probabilidad",AJ390,""))),"")</f>
        <v>0.6</v>
      </c>
      <c r="AK391" s="187" t="str">
        <f t="shared" ca="1" si="473"/>
        <v>Moderado</v>
      </c>
      <c r="AL391" s="603" t="s">
        <v>258</v>
      </c>
      <c r="AM391" s="189"/>
      <c r="AN391" s="194"/>
      <c r="AO391" s="190"/>
      <c r="AP391" s="190"/>
      <c r="AQ391" s="191"/>
      <c r="AR391" s="194"/>
    </row>
    <row r="392" spans="1:44" s="605" customFormat="1" ht="69" hidden="1" customHeight="1" x14ac:dyDescent="0.25">
      <c r="A392" s="252"/>
      <c r="B392" s="264"/>
      <c r="C392" s="266"/>
      <c r="D392" s="266"/>
      <c r="E392" s="505"/>
      <c r="F392" s="506"/>
      <c r="G392" s="506"/>
      <c r="H392" s="506"/>
      <c r="I392" s="249"/>
      <c r="J392" s="249"/>
      <c r="K392" s="249"/>
      <c r="L392" s="249"/>
      <c r="M392" s="253"/>
      <c r="N392" s="251"/>
      <c r="O392" s="256"/>
      <c r="P392" s="610"/>
      <c r="Q392" s="611"/>
      <c r="R392" s="611"/>
      <c r="S392" s="611">
        <f ca="1">IF(NOT(ISERROR(MATCH(R392,_xlfn.ANCHORARRAY(H403),0))),Q405&amp;"Por favor no seleccionar los criterios de impacto",R392)</f>
        <v>0</v>
      </c>
      <c r="T392" s="610"/>
      <c r="U392" s="611"/>
      <c r="V392" s="252"/>
      <c r="W392" s="194">
        <v>4</v>
      </c>
      <c r="X392" s="192"/>
      <c r="Y392" s="194" t="str">
        <f t="shared" si="469"/>
        <v/>
      </c>
      <c r="Z392" s="188"/>
      <c r="AA392" s="188"/>
      <c r="AB392" s="185" t="str">
        <f t="shared" si="481"/>
        <v/>
      </c>
      <c r="AC392" s="188"/>
      <c r="AD392" s="188"/>
      <c r="AE392" s="188"/>
      <c r="AF392" s="602" t="str">
        <f t="shared" si="523"/>
        <v/>
      </c>
      <c r="AG392" s="186" t="str">
        <f t="shared" si="470"/>
        <v/>
      </c>
      <c r="AH392" s="185" t="str">
        <f t="shared" si="471"/>
        <v/>
      </c>
      <c r="AI392" s="186" t="str">
        <f t="shared" si="472"/>
        <v/>
      </c>
      <c r="AJ392" s="185" t="str">
        <f t="shared" si="525"/>
        <v/>
      </c>
      <c r="AK392" s="187" t="str">
        <f t="shared" si="473"/>
        <v/>
      </c>
      <c r="AL392" s="603"/>
      <c r="AM392" s="189"/>
      <c r="AN392" s="194"/>
      <c r="AO392" s="190"/>
      <c r="AP392" s="190"/>
      <c r="AQ392" s="191"/>
      <c r="AR392" s="194"/>
    </row>
    <row r="393" spans="1:44" s="605" customFormat="1" ht="69" hidden="1" customHeight="1" x14ac:dyDescent="0.25">
      <c r="A393" s="252"/>
      <c r="B393" s="264"/>
      <c r="C393" s="266"/>
      <c r="D393" s="266"/>
      <c r="E393" s="505"/>
      <c r="F393" s="506"/>
      <c r="G393" s="506"/>
      <c r="H393" s="506"/>
      <c r="I393" s="249"/>
      <c r="J393" s="249"/>
      <c r="K393" s="249"/>
      <c r="L393" s="249"/>
      <c r="M393" s="253"/>
      <c r="N393" s="251"/>
      <c r="O393" s="256"/>
      <c r="P393" s="610"/>
      <c r="Q393" s="611"/>
      <c r="R393" s="611"/>
      <c r="S393" s="611">
        <f ca="1">IF(NOT(ISERROR(MATCH(R393,_xlfn.ANCHORARRAY(H404),0))),Q406&amp;"Por favor no seleccionar los criterios de impacto",R393)</f>
        <v>0</v>
      </c>
      <c r="T393" s="610"/>
      <c r="U393" s="611"/>
      <c r="V393" s="252"/>
      <c r="W393" s="194">
        <v>5</v>
      </c>
      <c r="X393" s="192"/>
      <c r="Y393" s="194" t="str">
        <f t="shared" si="469"/>
        <v/>
      </c>
      <c r="Z393" s="188"/>
      <c r="AA393" s="188"/>
      <c r="AB393" s="185" t="str">
        <f t="shared" si="481"/>
        <v/>
      </c>
      <c r="AC393" s="188"/>
      <c r="AD393" s="188"/>
      <c r="AE393" s="188"/>
      <c r="AF393" s="602" t="str">
        <f t="shared" si="523"/>
        <v/>
      </c>
      <c r="AG393" s="186" t="str">
        <f t="shared" si="470"/>
        <v/>
      </c>
      <c r="AH393" s="185" t="str">
        <f t="shared" si="471"/>
        <v/>
      </c>
      <c r="AI393" s="186" t="str">
        <f t="shared" si="472"/>
        <v/>
      </c>
      <c r="AJ393" s="185" t="str">
        <f t="shared" si="525"/>
        <v/>
      </c>
      <c r="AK393" s="187" t="str">
        <f t="shared" si="473"/>
        <v/>
      </c>
      <c r="AL393" s="603"/>
      <c r="AM393" s="189"/>
      <c r="AN393" s="194"/>
      <c r="AO393" s="190"/>
      <c r="AP393" s="190"/>
      <c r="AQ393" s="191"/>
      <c r="AR393" s="194"/>
    </row>
    <row r="394" spans="1:44" s="605" customFormat="1" ht="69" hidden="1" customHeight="1" x14ac:dyDescent="0.25">
      <c r="A394" s="252"/>
      <c r="B394" s="265"/>
      <c r="C394" s="267"/>
      <c r="D394" s="267"/>
      <c r="E394" s="505"/>
      <c r="F394" s="506"/>
      <c r="G394" s="506"/>
      <c r="H394" s="506"/>
      <c r="I394" s="250"/>
      <c r="J394" s="250"/>
      <c r="K394" s="250"/>
      <c r="L394" s="250"/>
      <c r="M394" s="253"/>
      <c r="N394" s="239"/>
      <c r="O394" s="256"/>
      <c r="P394" s="610"/>
      <c r="Q394" s="611"/>
      <c r="R394" s="611"/>
      <c r="S394" s="611">
        <f ca="1">IF(NOT(ISERROR(MATCH(R394,_xlfn.ANCHORARRAY(H405),0))),Q407&amp;"Por favor no seleccionar los criterios de impacto",R394)</f>
        <v>0</v>
      </c>
      <c r="T394" s="610"/>
      <c r="U394" s="611"/>
      <c r="V394" s="252"/>
      <c r="W394" s="194">
        <v>6</v>
      </c>
      <c r="X394" s="192"/>
      <c r="Y394" s="194" t="str">
        <f t="shared" si="469"/>
        <v/>
      </c>
      <c r="Z394" s="188"/>
      <c r="AA394" s="188"/>
      <c r="AB394" s="185" t="str">
        <f t="shared" si="481"/>
        <v/>
      </c>
      <c r="AC394" s="188"/>
      <c r="AD394" s="188"/>
      <c r="AE394" s="188"/>
      <c r="AF394" s="602" t="str">
        <f t="shared" si="523"/>
        <v/>
      </c>
      <c r="AG394" s="186" t="str">
        <f t="shared" si="470"/>
        <v/>
      </c>
      <c r="AH394" s="185" t="str">
        <f t="shared" si="471"/>
        <v/>
      </c>
      <c r="AI394" s="186" t="str">
        <f t="shared" si="472"/>
        <v/>
      </c>
      <c r="AJ394" s="185" t="str">
        <f t="shared" si="525"/>
        <v/>
      </c>
      <c r="AK394" s="187" t="str">
        <f t="shared" si="473"/>
        <v/>
      </c>
      <c r="AL394" s="603"/>
      <c r="AM394" s="189"/>
      <c r="AN394" s="194"/>
      <c r="AO394" s="190"/>
      <c r="AP394" s="190"/>
      <c r="AQ394" s="191"/>
      <c r="AR394" s="194"/>
    </row>
    <row r="395" spans="1:44" s="605" customFormat="1" ht="98.25" customHeight="1" x14ac:dyDescent="0.25">
      <c r="A395" s="252">
        <v>64</v>
      </c>
      <c r="B395" s="268" t="s">
        <v>951</v>
      </c>
      <c r="C395" s="263" t="s">
        <v>279</v>
      </c>
      <c r="D395" s="268" t="s">
        <v>952</v>
      </c>
      <c r="E395" s="505" t="s">
        <v>243</v>
      </c>
      <c r="F395" s="506" t="s">
        <v>953</v>
      </c>
      <c r="G395" s="506" t="s">
        <v>954</v>
      </c>
      <c r="H395" s="507" t="s">
        <v>955</v>
      </c>
      <c r="I395" s="248" t="s">
        <v>480</v>
      </c>
      <c r="J395" s="248" t="s">
        <v>480</v>
      </c>
      <c r="K395" s="248" t="s">
        <v>480</v>
      </c>
      <c r="L395" s="248" t="s">
        <v>480</v>
      </c>
      <c r="M395" s="253" t="s">
        <v>242</v>
      </c>
      <c r="N395" s="238"/>
      <c r="O395" s="256">
        <v>365</v>
      </c>
      <c r="P395" s="610" t="str">
        <f t="shared" ref="P395:P431" si="526">IF(O395&lt;=0,"",IF(O395&lt;=2,"Muy Baja",IF(O395&lt;=24,"Baja",IF(O395&lt;=500,"Media",IF(O395&lt;=5000,"Alta","Muy Alta")))))</f>
        <v>Media</v>
      </c>
      <c r="Q395" s="611">
        <f t="shared" ref="Q395:Q431" si="527">IF(P395="","",IF(P395="Muy Baja",0.2,IF(P395="Baja",0.4,IF(P395="Media",0.6,IF(P395="Alta",0.8,IF(P395="Muy Alta",1,))))))</f>
        <v>0.6</v>
      </c>
      <c r="R395" s="611" t="s">
        <v>193</v>
      </c>
      <c r="S395" s="611" t="str">
        <f ca="1">IF(NOT(ISERROR(MATCH(R395,'Tabla Impacto'!$B$221:$B$223,0))),'Tabla Impacto'!$F$223&amp;"Por favor no seleccionar los criterios de impacto(Afectación Económica o presupuestal y Pérdida Reputacional)",R395)</f>
        <v>El riesgo afecta la imagen de la entidad con algunos usuarios de relevancia frente al logro de los objetivos</v>
      </c>
      <c r="T395" s="610" t="str">
        <f ca="1">+IF(OR(S395='[1]Tabla Impacto'!$C$11,S395='[1]Tabla Impacto'!$D$11),"Leve",IF(OR(S395='[1]Tabla Impacto'!$C$12,S395='[1]Tabla Impacto'!$D$12),"Menor",IF(OR(S395='[1]Tabla Impacto'!$C$13,S395='[1]Tabla Impacto'!$D$13),"Moderado",IF(OR(S395='[1]Tabla Impacto'!$C$14,S395='[1]Tabla Impacto'!$D$14),"Mayor",IF(OR(S395='[1]Tabla Impacto'!$C$15,S395='[1]Tabla Impacto'!$D$15),"Catastrófico","")))))</f>
        <v>Moderado</v>
      </c>
      <c r="U395" s="611">
        <f t="shared" ref="U395" ca="1" si="528">IF(T395="","",IF(T395="Leve",0.2,IF(T395="Menor",0.4,IF(T395="Moderado",0.6,IF(T395="Mayor",0.8,IF(T395="Catastrófico",1,))))))</f>
        <v>0.6</v>
      </c>
      <c r="V395" s="252" t="str">
        <f t="shared" ref="V395" ca="1" si="529">IF(OR(AND(P395="Muy Baja",T395="Leve"),AND(P395="Muy Baja",T395="Menor"),AND(P395="Baja",T395="Leve")),"Bajo",IF(OR(AND(P395="Muy baja",T395="Moderado"),AND(P395="Baja",T395="Menor"),AND(P395="Baja",T395="Moderado"),AND(P395="Media",T395="Leve"),AND(P395="Media",T395="Menor"),AND(P395="Media",T395="Moderado"),AND(P395="Alta",T395="Leve"),AND(P395="Alta",T395="Menor")),"Moderado",IF(OR(AND(P395="Muy Baja",T395="Mayor"),AND(P395="Baja",T395="Mayor"),AND(P395="Media",T395="Mayor"),AND(P395="Alta",T395="Moderado"),AND(P395="Alta",T395="Mayor"),AND(P395="Muy Alta",T395="Leve"),AND(P395="Muy Alta",T395="Menor"),AND(P395="Muy Alta",T395="Moderado"),AND(P395="Muy Alta",T395="Mayor")),"Alto",IF(OR(AND(P395="Muy Baja",T395="Catastrófico"),AND(P395="Baja",T395="Catastrófico"),AND(P395="Media",T395="Catastrófico"),AND(P395="Alta",T395="Catastrófico"),AND(P395="Muy Alta",T395="Catastrófico")),"Extremo",""))))</f>
        <v>Moderado</v>
      </c>
      <c r="W395" s="194">
        <v>1</v>
      </c>
      <c r="X395" s="192" t="s">
        <v>956</v>
      </c>
      <c r="Y395" s="194" t="str">
        <f t="shared" si="469"/>
        <v>Probabilidad</v>
      </c>
      <c r="Z395" s="188" t="s">
        <v>211</v>
      </c>
      <c r="AA395" s="188" t="s">
        <v>219</v>
      </c>
      <c r="AB395" s="185" t="str">
        <f t="shared" si="481"/>
        <v>40%</v>
      </c>
      <c r="AC395" s="188" t="s">
        <v>225</v>
      </c>
      <c r="AD395" s="188" t="s">
        <v>227</v>
      </c>
      <c r="AE395" s="188" t="s">
        <v>231</v>
      </c>
      <c r="AF395" s="602">
        <f t="shared" ref="AF395" si="530">IFERROR(IF(Y395="Probabilidad",(Q395-(+Q395*AB395)),IF(Y395="Impacto",Q395,"")),"")</f>
        <v>0.36</v>
      </c>
      <c r="AG395" s="186" t="str">
        <f t="shared" si="470"/>
        <v>Baja</v>
      </c>
      <c r="AH395" s="185">
        <f t="shared" si="471"/>
        <v>0.36</v>
      </c>
      <c r="AI395" s="186" t="str">
        <f t="shared" ca="1" si="472"/>
        <v>Moderado</v>
      </c>
      <c r="AJ395" s="185">
        <f t="shared" ref="AJ395" ca="1" si="531">IFERROR(IF(Y395="Impacto",(U395-(+U395*AB395)),IF(Y395="Probabilidad",U395,"")),"")</f>
        <v>0.6</v>
      </c>
      <c r="AK395" s="187" t="str">
        <f t="shared" ca="1" si="473"/>
        <v>Moderado</v>
      </c>
      <c r="AL395" s="603" t="s">
        <v>258</v>
      </c>
      <c r="AM395" s="189"/>
      <c r="AN395" s="194"/>
      <c r="AO395" s="190"/>
      <c r="AP395" s="190"/>
      <c r="AQ395" s="191"/>
      <c r="AR395" s="194"/>
    </row>
    <row r="396" spans="1:44" s="605" customFormat="1" ht="123" customHeight="1" x14ac:dyDescent="0.25">
      <c r="A396" s="252"/>
      <c r="B396" s="264"/>
      <c r="C396" s="266"/>
      <c r="D396" s="264"/>
      <c r="E396" s="505"/>
      <c r="F396" s="506"/>
      <c r="G396" s="506"/>
      <c r="H396" s="507"/>
      <c r="I396" s="249"/>
      <c r="J396" s="249"/>
      <c r="K396" s="249"/>
      <c r="L396" s="249"/>
      <c r="M396" s="253"/>
      <c r="N396" s="251"/>
      <c r="O396" s="256"/>
      <c r="P396" s="610"/>
      <c r="Q396" s="611"/>
      <c r="R396" s="611"/>
      <c r="S396" s="611">
        <f ca="1">IF(NOT(ISERROR(MATCH(R396,_xlfn.ANCHORARRAY(H407),0))),Q409&amp;"Por favor no seleccionar los criterios de impacto",R396)</f>
        <v>0</v>
      </c>
      <c r="T396" s="610"/>
      <c r="U396" s="611"/>
      <c r="V396" s="252"/>
      <c r="W396" s="194">
        <v>2</v>
      </c>
      <c r="X396" s="192" t="s">
        <v>957</v>
      </c>
      <c r="Y396" s="194" t="str">
        <f t="shared" si="469"/>
        <v>Probabilidad</v>
      </c>
      <c r="Z396" s="188" t="s">
        <v>211</v>
      </c>
      <c r="AA396" s="188" t="s">
        <v>219</v>
      </c>
      <c r="AB396" s="185" t="str">
        <f t="shared" si="481"/>
        <v>40%</v>
      </c>
      <c r="AC396" s="188" t="s">
        <v>222</v>
      </c>
      <c r="AD396" s="188" t="s">
        <v>227</v>
      </c>
      <c r="AE396" s="188" t="s">
        <v>231</v>
      </c>
      <c r="AF396" s="602">
        <f t="shared" ref="AF396:AF400" si="532">IFERROR(IF(AND(Y395="Probabilidad",Y396="Probabilidad"),(AH395-(+AH395*AB396)),IF(Y396="Probabilidad",(Q395-(+Q395*AB396)),IF(Y396="Impacto",AH395,""))),"")</f>
        <v>0.216</v>
      </c>
      <c r="AG396" s="186" t="str">
        <f t="shared" si="470"/>
        <v>Baja</v>
      </c>
      <c r="AH396" s="185">
        <f t="shared" si="471"/>
        <v>0.216</v>
      </c>
      <c r="AI396" s="186" t="str">
        <f t="shared" ca="1" si="472"/>
        <v>Moderado</v>
      </c>
      <c r="AJ396" s="185">
        <f t="shared" ref="AJ396" ca="1" si="533">IFERROR(IF(AND(Y395="Impacto",Y396="Impacto"),(AJ395-(+AJ395*AB396)),IF(Y396="Impacto",(U395-(+U395*AB396)),IF(Y396="Probabilidad",AJ395,""))),"")</f>
        <v>0.6</v>
      </c>
      <c r="AK396" s="187" t="str">
        <f t="shared" ca="1" si="473"/>
        <v>Moderado</v>
      </c>
      <c r="AL396" s="603" t="s">
        <v>258</v>
      </c>
      <c r="AM396" s="189"/>
      <c r="AN396" s="194"/>
      <c r="AO396" s="190"/>
      <c r="AP396" s="190"/>
      <c r="AQ396" s="191"/>
      <c r="AR396" s="194"/>
    </row>
    <row r="397" spans="1:44" s="605" customFormat="1" ht="121.5" customHeight="1" x14ac:dyDescent="0.25">
      <c r="A397" s="252"/>
      <c r="B397" s="264"/>
      <c r="C397" s="266"/>
      <c r="D397" s="264"/>
      <c r="E397" s="505"/>
      <c r="F397" s="506"/>
      <c r="G397" s="506"/>
      <c r="H397" s="507"/>
      <c r="I397" s="249"/>
      <c r="J397" s="249"/>
      <c r="K397" s="249"/>
      <c r="L397" s="249"/>
      <c r="M397" s="253"/>
      <c r="N397" s="251"/>
      <c r="O397" s="256"/>
      <c r="P397" s="610"/>
      <c r="Q397" s="611"/>
      <c r="R397" s="611"/>
      <c r="S397" s="611">
        <f ca="1">IF(NOT(ISERROR(MATCH(R397,_xlfn.ANCHORARRAY(H408),0))),Q410&amp;"Por favor no seleccionar los criterios de impacto",R397)</f>
        <v>0</v>
      </c>
      <c r="T397" s="610"/>
      <c r="U397" s="611"/>
      <c r="V397" s="252"/>
      <c r="W397" s="194">
        <v>3</v>
      </c>
      <c r="X397" s="192" t="s">
        <v>958</v>
      </c>
      <c r="Y397" s="194" t="str">
        <f t="shared" si="469"/>
        <v>Impacto</v>
      </c>
      <c r="Z397" s="188" t="s">
        <v>215</v>
      </c>
      <c r="AA397" s="188" t="s">
        <v>219</v>
      </c>
      <c r="AB397" s="185" t="str">
        <f t="shared" si="481"/>
        <v>25%</v>
      </c>
      <c r="AC397" s="188" t="s">
        <v>225</v>
      </c>
      <c r="AD397" s="188" t="s">
        <v>227</v>
      </c>
      <c r="AE397" s="188" t="s">
        <v>231</v>
      </c>
      <c r="AF397" s="602">
        <f t="shared" si="532"/>
        <v>0.216</v>
      </c>
      <c r="AG397" s="186" t="str">
        <f t="shared" si="470"/>
        <v>Baja</v>
      </c>
      <c r="AH397" s="185">
        <f t="shared" si="471"/>
        <v>0.216</v>
      </c>
      <c r="AI397" s="186" t="str">
        <f t="shared" ca="1" si="472"/>
        <v>Moderado</v>
      </c>
      <c r="AJ397" s="185">
        <f t="shared" ref="AJ397:AJ400" ca="1" si="534">IFERROR(IF(AND(Y396="Impacto",Y397="Impacto"),(AJ396-(+AJ396*AB397)),IF(AND(Y396="Probabilidad",Y397="Impacto"),(AJ395-(+AJ395*AB397)),IF(Y397="Probabilidad",AJ396,""))),"")</f>
        <v>0.44999999999999996</v>
      </c>
      <c r="AK397" s="187" t="str">
        <f t="shared" ca="1" si="473"/>
        <v>Moderado</v>
      </c>
      <c r="AL397" s="603" t="s">
        <v>258</v>
      </c>
      <c r="AM397" s="189"/>
      <c r="AN397" s="194"/>
      <c r="AO397" s="190"/>
      <c r="AP397" s="190"/>
      <c r="AQ397" s="191"/>
      <c r="AR397" s="194"/>
    </row>
    <row r="398" spans="1:44" s="605" customFormat="1" ht="69" hidden="1" customHeight="1" x14ac:dyDescent="0.25">
      <c r="A398" s="252"/>
      <c r="B398" s="264"/>
      <c r="C398" s="266"/>
      <c r="D398" s="264"/>
      <c r="E398" s="505"/>
      <c r="F398" s="506"/>
      <c r="G398" s="506"/>
      <c r="H398" s="507"/>
      <c r="I398" s="249"/>
      <c r="J398" s="249"/>
      <c r="K398" s="249"/>
      <c r="L398" s="249"/>
      <c r="M398" s="253"/>
      <c r="N398" s="251"/>
      <c r="O398" s="256"/>
      <c r="P398" s="610"/>
      <c r="Q398" s="611"/>
      <c r="R398" s="611"/>
      <c r="S398" s="611">
        <f ca="1">IF(NOT(ISERROR(MATCH(R398,_xlfn.ANCHORARRAY(H409),0))),Q411&amp;"Por favor no seleccionar los criterios de impacto",R398)</f>
        <v>0</v>
      </c>
      <c r="T398" s="610"/>
      <c r="U398" s="611"/>
      <c r="V398" s="252"/>
      <c r="W398" s="194">
        <v>4</v>
      </c>
      <c r="X398" s="192"/>
      <c r="Y398" s="194" t="str">
        <f t="shared" si="469"/>
        <v/>
      </c>
      <c r="Z398" s="188"/>
      <c r="AA398" s="188"/>
      <c r="AB398" s="185" t="str">
        <f t="shared" si="481"/>
        <v/>
      </c>
      <c r="AC398" s="188"/>
      <c r="AD398" s="188"/>
      <c r="AE398" s="188"/>
      <c r="AF398" s="602" t="str">
        <f t="shared" si="532"/>
        <v/>
      </c>
      <c r="AG398" s="186" t="str">
        <f t="shared" si="470"/>
        <v/>
      </c>
      <c r="AH398" s="185" t="str">
        <f t="shared" si="471"/>
        <v/>
      </c>
      <c r="AI398" s="186" t="str">
        <f t="shared" si="472"/>
        <v/>
      </c>
      <c r="AJ398" s="185" t="str">
        <f t="shared" si="534"/>
        <v/>
      </c>
      <c r="AK398" s="187" t="str">
        <f t="shared" si="473"/>
        <v/>
      </c>
      <c r="AL398" s="603"/>
      <c r="AM398" s="189"/>
      <c r="AN398" s="194"/>
      <c r="AO398" s="190"/>
      <c r="AP398" s="190"/>
      <c r="AQ398" s="191"/>
      <c r="AR398" s="194"/>
    </row>
    <row r="399" spans="1:44" s="605" customFormat="1" ht="69" hidden="1" customHeight="1" x14ac:dyDescent="0.25">
      <c r="A399" s="252"/>
      <c r="B399" s="264"/>
      <c r="C399" s="266"/>
      <c r="D399" s="264"/>
      <c r="E399" s="505"/>
      <c r="F399" s="506"/>
      <c r="G399" s="506"/>
      <c r="H399" s="507"/>
      <c r="I399" s="249"/>
      <c r="J399" s="249"/>
      <c r="K399" s="249"/>
      <c r="L399" s="249"/>
      <c r="M399" s="253"/>
      <c r="N399" s="251"/>
      <c r="O399" s="256"/>
      <c r="P399" s="610"/>
      <c r="Q399" s="611"/>
      <c r="R399" s="611"/>
      <c r="S399" s="611">
        <f ca="1">IF(NOT(ISERROR(MATCH(R399,_xlfn.ANCHORARRAY(H410),0))),Q412&amp;"Por favor no seleccionar los criterios de impacto",R399)</f>
        <v>0</v>
      </c>
      <c r="T399" s="610"/>
      <c r="U399" s="611"/>
      <c r="V399" s="252"/>
      <c r="W399" s="194">
        <v>5</v>
      </c>
      <c r="X399" s="192"/>
      <c r="Y399" s="194" t="str">
        <f t="shared" si="469"/>
        <v/>
      </c>
      <c r="Z399" s="188"/>
      <c r="AA399" s="188"/>
      <c r="AB399" s="185" t="str">
        <f t="shared" si="481"/>
        <v/>
      </c>
      <c r="AC399" s="188"/>
      <c r="AD399" s="188"/>
      <c r="AE399" s="188"/>
      <c r="AF399" s="602" t="str">
        <f t="shared" si="532"/>
        <v/>
      </c>
      <c r="AG399" s="186" t="str">
        <f t="shared" si="470"/>
        <v/>
      </c>
      <c r="AH399" s="185" t="str">
        <f t="shared" si="471"/>
        <v/>
      </c>
      <c r="AI399" s="186" t="str">
        <f t="shared" si="472"/>
        <v/>
      </c>
      <c r="AJ399" s="185" t="str">
        <f t="shared" si="534"/>
        <v/>
      </c>
      <c r="AK399" s="187" t="str">
        <f t="shared" si="473"/>
        <v/>
      </c>
      <c r="AL399" s="603"/>
      <c r="AM399" s="189"/>
      <c r="AN399" s="194"/>
      <c r="AO399" s="190"/>
      <c r="AP399" s="190"/>
      <c r="AQ399" s="191"/>
      <c r="AR399" s="194"/>
    </row>
    <row r="400" spans="1:44" s="605" customFormat="1" ht="69" hidden="1" customHeight="1" x14ac:dyDescent="0.25">
      <c r="A400" s="252"/>
      <c r="B400" s="265"/>
      <c r="C400" s="267"/>
      <c r="D400" s="265"/>
      <c r="E400" s="505"/>
      <c r="F400" s="506"/>
      <c r="G400" s="506"/>
      <c r="H400" s="507"/>
      <c r="I400" s="250"/>
      <c r="J400" s="250"/>
      <c r="K400" s="250"/>
      <c r="L400" s="250"/>
      <c r="M400" s="253"/>
      <c r="N400" s="239"/>
      <c r="O400" s="256"/>
      <c r="P400" s="610"/>
      <c r="Q400" s="611"/>
      <c r="R400" s="611"/>
      <c r="S400" s="611">
        <f ca="1">IF(NOT(ISERROR(MATCH(R400,_xlfn.ANCHORARRAY(H411),0))),Q413&amp;"Por favor no seleccionar los criterios de impacto",R400)</f>
        <v>0</v>
      </c>
      <c r="T400" s="610"/>
      <c r="U400" s="611"/>
      <c r="V400" s="252"/>
      <c r="W400" s="194">
        <v>6</v>
      </c>
      <c r="X400" s="192"/>
      <c r="Y400" s="194" t="str">
        <f t="shared" si="469"/>
        <v/>
      </c>
      <c r="Z400" s="188"/>
      <c r="AA400" s="188"/>
      <c r="AB400" s="185" t="str">
        <f t="shared" si="481"/>
        <v/>
      </c>
      <c r="AC400" s="188"/>
      <c r="AD400" s="188"/>
      <c r="AE400" s="188"/>
      <c r="AF400" s="602" t="str">
        <f t="shared" si="532"/>
        <v/>
      </c>
      <c r="AG400" s="186" t="str">
        <f t="shared" si="470"/>
        <v/>
      </c>
      <c r="AH400" s="185" t="str">
        <f t="shared" si="471"/>
        <v/>
      </c>
      <c r="AI400" s="186" t="str">
        <f t="shared" si="472"/>
        <v/>
      </c>
      <c r="AJ400" s="185" t="str">
        <f t="shared" si="534"/>
        <v/>
      </c>
      <c r="AK400" s="187" t="str">
        <f t="shared" si="473"/>
        <v/>
      </c>
      <c r="AL400" s="603"/>
      <c r="AM400" s="189"/>
      <c r="AN400" s="194"/>
      <c r="AO400" s="190"/>
      <c r="AP400" s="190"/>
      <c r="AQ400" s="191"/>
      <c r="AR400" s="194"/>
    </row>
    <row r="401" spans="1:44" s="605" customFormat="1" ht="122.25" customHeight="1" x14ac:dyDescent="0.25">
      <c r="A401" s="252">
        <v>65</v>
      </c>
      <c r="B401" s="268" t="s">
        <v>959</v>
      </c>
      <c r="C401" s="263" t="s">
        <v>279</v>
      </c>
      <c r="D401" s="268" t="s">
        <v>960</v>
      </c>
      <c r="E401" s="505" t="s">
        <v>243</v>
      </c>
      <c r="F401" s="506" t="s">
        <v>961</v>
      </c>
      <c r="G401" s="506" t="s">
        <v>962</v>
      </c>
      <c r="H401" s="507" t="s">
        <v>963</v>
      </c>
      <c r="I401" s="248" t="s">
        <v>480</v>
      </c>
      <c r="J401" s="248" t="s">
        <v>480</v>
      </c>
      <c r="K401" s="248" t="s">
        <v>480</v>
      </c>
      <c r="L401" s="248" t="s">
        <v>480</v>
      </c>
      <c r="M401" s="253" t="s">
        <v>242</v>
      </c>
      <c r="N401" s="238"/>
      <c r="O401" s="256">
        <v>2</v>
      </c>
      <c r="P401" s="610" t="str">
        <f t="shared" si="526"/>
        <v>Muy Baja</v>
      </c>
      <c r="Q401" s="611">
        <f t="shared" si="527"/>
        <v>0.2</v>
      </c>
      <c r="R401" s="611" t="s">
        <v>193</v>
      </c>
      <c r="S401" s="611" t="str">
        <f ca="1">IF(NOT(ISERROR(MATCH(R401,'Tabla Impacto'!$B$221:$B$223,0))),'Tabla Impacto'!$F$223&amp;"Por favor no seleccionar los criterios de impacto(Afectación Económica o presupuestal y Pérdida Reputacional)",R401)</f>
        <v>El riesgo afecta la imagen de la entidad con algunos usuarios de relevancia frente al logro de los objetivos</v>
      </c>
      <c r="T401" s="610" t="str">
        <f ca="1">+IF(OR(S401='[1]Tabla Impacto'!$C$11,S401='[1]Tabla Impacto'!$D$11),"Leve",IF(OR(S401='[1]Tabla Impacto'!$C$12,S401='[1]Tabla Impacto'!$D$12),"Menor",IF(OR(S401='[1]Tabla Impacto'!$C$13,S401='[1]Tabla Impacto'!$D$13),"Moderado",IF(OR(S401='[1]Tabla Impacto'!$C$14,S401='[1]Tabla Impacto'!$D$14),"Mayor",IF(OR(S401='[1]Tabla Impacto'!$C$15,S401='[1]Tabla Impacto'!$D$15),"Catastrófico","")))))</f>
        <v>Moderado</v>
      </c>
      <c r="U401" s="611">
        <f t="shared" ref="U401" ca="1" si="535">IF(T401="","",IF(T401="Leve",0.2,IF(T401="Menor",0.4,IF(T401="Moderado",0.6,IF(T401="Mayor",0.8,IF(T401="Catastrófico",1,))))))</f>
        <v>0.6</v>
      </c>
      <c r="V401" s="252" t="str">
        <f t="shared" ref="V401" ca="1" si="536">IF(OR(AND(P401="Muy Baja",T401="Leve"),AND(P401="Muy Baja",T401="Menor"),AND(P401="Baja",T401="Leve")),"Bajo",IF(OR(AND(P401="Muy baja",T401="Moderado"),AND(P401="Baja",T401="Menor"),AND(P401="Baja",T401="Moderado"),AND(P401="Media",T401="Leve"),AND(P401="Media",T401="Menor"),AND(P401="Media",T401="Moderado"),AND(P401="Alta",T401="Leve"),AND(P401="Alta",T401="Menor")),"Moderado",IF(OR(AND(P401="Muy Baja",T401="Mayor"),AND(P401="Baja",T401="Mayor"),AND(P401="Media",T401="Mayor"),AND(P401="Alta",T401="Moderado"),AND(P401="Alta",T401="Mayor"),AND(P401="Muy Alta",T401="Leve"),AND(P401="Muy Alta",T401="Menor"),AND(P401="Muy Alta",T401="Moderado"),AND(P401="Muy Alta",T401="Mayor")),"Alto",IF(OR(AND(P401="Muy Baja",T401="Catastrófico"),AND(P401="Baja",T401="Catastrófico"),AND(P401="Media",T401="Catastrófico"),AND(P401="Alta",T401="Catastrófico"),AND(P401="Muy Alta",T401="Catastrófico")),"Extremo",""))))</f>
        <v>Moderado</v>
      </c>
      <c r="W401" s="194">
        <v>1</v>
      </c>
      <c r="X401" s="192" t="s">
        <v>964</v>
      </c>
      <c r="Y401" s="194" t="str">
        <f t="shared" si="469"/>
        <v>Probabilidad</v>
      </c>
      <c r="Z401" s="188" t="s">
        <v>211</v>
      </c>
      <c r="AA401" s="188" t="s">
        <v>219</v>
      </c>
      <c r="AB401" s="185" t="str">
        <f t="shared" si="481"/>
        <v>40%</v>
      </c>
      <c r="AC401" s="188" t="s">
        <v>222</v>
      </c>
      <c r="AD401" s="188" t="s">
        <v>227</v>
      </c>
      <c r="AE401" s="188" t="s">
        <v>231</v>
      </c>
      <c r="AF401" s="602">
        <f t="shared" ref="AF401" si="537">IFERROR(IF(Y401="Probabilidad",(Q401-(+Q401*AB401)),IF(Y401="Impacto",Q401,"")),"")</f>
        <v>0.12</v>
      </c>
      <c r="AG401" s="186" t="str">
        <f t="shared" si="470"/>
        <v>Muy Baja</v>
      </c>
      <c r="AH401" s="185">
        <f t="shared" si="471"/>
        <v>0.12</v>
      </c>
      <c r="AI401" s="186" t="str">
        <f t="shared" ca="1" si="472"/>
        <v>Moderado</v>
      </c>
      <c r="AJ401" s="185">
        <f t="shared" ref="AJ401" ca="1" si="538">IFERROR(IF(Y401="Impacto",(U401-(+U401*AB401)),IF(Y401="Probabilidad",U401,"")),"")</f>
        <v>0.6</v>
      </c>
      <c r="AK401" s="187" t="str">
        <f t="shared" ca="1" si="473"/>
        <v>Moderado</v>
      </c>
      <c r="AL401" s="603" t="s">
        <v>258</v>
      </c>
      <c r="AM401" s="189"/>
      <c r="AN401" s="194"/>
      <c r="AO401" s="190"/>
      <c r="AP401" s="190"/>
      <c r="AQ401" s="191"/>
      <c r="AR401" s="194"/>
    </row>
    <row r="402" spans="1:44" s="605" customFormat="1" ht="69" hidden="1" customHeight="1" x14ac:dyDescent="0.25">
      <c r="A402" s="252"/>
      <c r="B402" s="264"/>
      <c r="C402" s="266"/>
      <c r="D402" s="264"/>
      <c r="E402" s="505"/>
      <c r="F402" s="506"/>
      <c r="G402" s="506"/>
      <c r="H402" s="507"/>
      <c r="I402" s="249"/>
      <c r="J402" s="249"/>
      <c r="K402" s="249"/>
      <c r="L402" s="249"/>
      <c r="M402" s="253"/>
      <c r="N402" s="251"/>
      <c r="O402" s="256"/>
      <c r="P402" s="610"/>
      <c r="Q402" s="611"/>
      <c r="R402" s="611"/>
      <c r="S402" s="611">
        <f ca="1">IF(NOT(ISERROR(MATCH(R402,_xlfn.ANCHORARRAY(H413),0))),Q415&amp;"Por favor no seleccionar los criterios de impacto",R402)</f>
        <v>0</v>
      </c>
      <c r="T402" s="610"/>
      <c r="U402" s="611"/>
      <c r="V402" s="252"/>
      <c r="W402" s="194">
        <v>2</v>
      </c>
      <c r="X402" s="192"/>
      <c r="Y402" s="194" t="str">
        <f t="shared" si="469"/>
        <v/>
      </c>
      <c r="Z402" s="188"/>
      <c r="AA402" s="188"/>
      <c r="AB402" s="185" t="str">
        <f t="shared" si="481"/>
        <v/>
      </c>
      <c r="AC402" s="188"/>
      <c r="AD402" s="188"/>
      <c r="AE402" s="188"/>
      <c r="AF402" s="602" t="str">
        <f t="shared" ref="AF402:AF406" si="539">IFERROR(IF(AND(Y401="Probabilidad",Y402="Probabilidad"),(AH401-(+AH401*AB402)),IF(Y402="Probabilidad",(Q401-(+Q401*AB402)),IF(Y402="Impacto",AH401,""))),"")</f>
        <v/>
      </c>
      <c r="AG402" s="186" t="str">
        <f t="shared" si="470"/>
        <v/>
      </c>
      <c r="AH402" s="185" t="str">
        <f t="shared" si="471"/>
        <v/>
      </c>
      <c r="AI402" s="186" t="str">
        <f t="shared" si="472"/>
        <v/>
      </c>
      <c r="AJ402" s="185" t="str">
        <f t="shared" ref="AJ402" si="540">IFERROR(IF(AND(Y401="Impacto",Y402="Impacto"),(AJ401-(+AJ401*AB402)),IF(Y402="Impacto",(U401-(+U401*AB402)),IF(Y402="Probabilidad",AJ401,""))),"")</f>
        <v/>
      </c>
      <c r="AK402" s="187" t="str">
        <f t="shared" si="473"/>
        <v/>
      </c>
      <c r="AL402" s="603"/>
      <c r="AM402" s="189"/>
      <c r="AN402" s="194"/>
      <c r="AO402" s="190"/>
      <c r="AP402" s="190"/>
      <c r="AQ402" s="191"/>
      <c r="AR402" s="194"/>
    </row>
    <row r="403" spans="1:44" s="605" customFormat="1" ht="69" hidden="1" customHeight="1" x14ac:dyDescent="0.25">
      <c r="A403" s="252"/>
      <c r="B403" s="264"/>
      <c r="C403" s="266"/>
      <c r="D403" s="264"/>
      <c r="E403" s="505"/>
      <c r="F403" s="506"/>
      <c r="G403" s="506"/>
      <c r="H403" s="507"/>
      <c r="I403" s="249"/>
      <c r="J403" s="249"/>
      <c r="K403" s="249"/>
      <c r="L403" s="249"/>
      <c r="M403" s="253"/>
      <c r="N403" s="251"/>
      <c r="O403" s="256"/>
      <c r="P403" s="610"/>
      <c r="Q403" s="611"/>
      <c r="R403" s="611"/>
      <c r="S403" s="611">
        <f ca="1">IF(NOT(ISERROR(MATCH(R403,_xlfn.ANCHORARRAY(H414),0))),Q416&amp;"Por favor no seleccionar los criterios de impacto",R403)</f>
        <v>0</v>
      </c>
      <c r="T403" s="610"/>
      <c r="U403" s="611"/>
      <c r="V403" s="252"/>
      <c r="W403" s="194">
        <v>3</v>
      </c>
      <c r="X403" s="192"/>
      <c r="Y403" s="194" t="str">
        <f t="shared" si="469"/>
        <v/>
      </c>
      <c r="Z403" s="188"/>
      <c r="AA403" s="188"/>
      <c r="AB403" s="185" t="str">
        <f t="shared" si="481"/>
        <v/>
      </c>
      <c r="AC403" s="188"/>
      <c r="AD403" s="188"/>
      <c r="AE403" s="188"/>
      <c r="AF403" s="602" t="str">
        <f t="shared" si="539"/>
        <v/>
      </c>
      <c r="AG403" s="186" t="str">
        <f t="shared" si="470"/>
        <v/>
      </c>
      <c r="AH403" s="185" t="str">
        <f t="shared" si="471"/>
        <v/>
      </c>
      <c r="AI403" s="186" t="str">
        <f t="shared" si="472"/>
        <v/>
      </c>
      <c r="AJ403" s="185" t="str">
        <f t="shared" ref="AJ403:AJ406" si="541">IFERROR(IF(AND(Y402="Impacto",Y403="Impacto"),(AJ402-(+AJ402*AB403)),IF(AND(Y402="Probabilidad",Y403="Impacto"),(AJ401-(+AJ401*AB403)),IF(Y403="Probabilidad",AJ402,""))),"")</f>
        <v/>
      </c>
      <c r="AK403" s="187" t="str">
        <f t="shared" si="473"/>
        <v/>
      </c>
      <c r="AL403" s="603"/>
      <c r="AM403" s="189"/>
      <c r="AN403" s="194"/>
      <c r="AO403" s="190"/>
      <c r="AP403" s="190"/>
      <c r="AQ403" s="191"/>
      <c r="AR403" s="194"/>
    </row>
    <row r="404" spans="1:44" s="605" customFormat="1" ht="69" hidden="1" customHeight="1" x14ac:dyDescent="0.25">
      <c r="A404" s="252"/>
      <c r="B404" s="264"/>
      <c r="C404" s="266"/>
      <c r="D404" s="264"/>
      <c r="E404" s="505"/>
      <c r="F404" s="506"/>
      <c r="G404" s="506"/>
      <c r="H404" s="507"/>
      <c r="I404" s="249"/>
      <c r="J404" s="249"/>
      <c r="K404" s="249"/>
      <c r="L404" s="249"/>
      <c r="M404" s="253"/>
      <c r="N404" s="251"/>
      <c r="O404" s="256"/>
      <c r="P404" s="610"/>
      <c r="Q404" s="611"/>
      <c r="R404" s="611"/>
      <c r="S404" s="611">
        <f ca="1">IF(NOT(ISERROR(MATCH(R404,_xlfn.ANCHORARRAY(H415),0))),Q417&amp;"Por favor no seleccionar los criterios de impacto",R404)</f>
        <v>0</v>
      </c>
      <c r="T404" s="610"/>
      <c r="U404" s="611"/>
      <c r="V404" s="252"/>
      <c r="W404" s="194">
        <v>4</v>
      </c>
      <c r="X404" s="192"/>
      <c r="Y404" s="194" t="str">
        <f t="shared" si="469"/>
        <v/>
      </c>
      <c r="Z404" s="188"/>
      <c r="AA404" s="188"/>
      <c r="AB404" s="185" t="str">
        <f t="shared" si="481"/>
        <v/>
      </c>
      <c r="AC404" s="188"/>
      <c r="AD404" s="188"/>
      <c r="AE404" s="188"/>
      <c r="AF404" s="602" t="str">
        <f t="shared" si="539"/>
        <v/>
      </c>
      <c r="AG404" s="186" t="str">
        <f t="shared" si="470"/>
        <v/>
      </c>
      <c r="AH404" s="185" t="str">
        <f t="shared" si="471"/>
        <v/>
      </c>
      <c r="AI404" s="186" t="str">
        <f t="shared" si="472"/>
        <v/>
      </c>
      <c r="AJ404" s="185" t="str">
        <f t="shared" si="541"/>
        <v/>
      </c>
      <c r="AK404" s="187" t="str">
        <f t="shared" si="473"/>
        <v/>
      </c>
      <c r="AL404" s="603"/>
      <c r="AM404" s="189"/>
      <c r="AN404" s="194"/>
      <c r="AO404" s="190"/>
      <c r="AP404" s="190"/>
      <c r="AQ404" s="191"/>
      <c r="AR404" s="194"/>
    </row>
    <row r="405" spans="1:44" s="605" customFormat="1" ht="69" hidden="1" customHeight="1" x14ac:dyDescent="0.25">
      <c r="A405" s="252"/>
      <c r="B405" s="264"/>
      <c r="C405" s="266"/>
      <c r="D405" s="264"/>
      <c r="E405" s="505"/>
      <c r="F405" s="506"/>
      <c r="G405" s="506"/>
      <c r="H405" s="507"/>
      <c r="I405" s="249"/>
      <c r="J405" s="249"/>
      <c r="K405" s="249"/>
      <c r="L405" s="249"/>
      <c r="M405" s="253"/>
      <c r="N405" s="251"/>
      <c r="O405" s="256"/>
      <c r="P405" s="610"/>
      <c r="Q405" s="611"/>
      <c r="R405" s="611"/>
      <c r="S405" s="611">
        <f ca="1">IF(NOT(ISERROR(MATCH(R405,_xlfn.ANCHORARRAY(H416),0))),Q418&amp;"Por favor no seleccionar los criterios de impacto",R405)</f>
        <v>0</v>
      </c>
      <c r="T405" s="610"/>
      <c r="U405" s="611"/>
      <c r="V405" s="252"/>
      <c r="W405" s="194">
        <v>5</v>
      </c>
      <c r="X405" s="192"/>
      <c r="Y405" s="194" t="str">
        <f t="shared" si="469"/>
        <v/>
      </c>
      <c r="Z405" s="188"/>
      <c r="AA405" s="188"/>
      <c r="AB405" s="185" t="str">
        <f t="shared" si="481"/>
        <v/>
      </c>
      <c r="AC405" s="188"/>
      <c r="AD405" s="188"/>
      <c r="AE405" s="188"/>
      <c r="AF405" s="602" t="str">
        <f t="shared" si="539"/>
        <v/>
      </c>
      <c r="AG405" s="186" t="str">
        <f t="shared" si="470"/>
        <v/>
      </c>
      <c r="AH405" s="185" t="str">
        <f t="shared" si="471"/>
        <v/>
      </c>
      <c r="AI405" s="186" t="str">
        <f t="shared" si="472"/>
        <v/>
      </c>
      <c r="AJ405" s="185" t="str">
        <f t="shared" si="541"/>
        <v/>
      </c>
      <c r="AK405" s="187" t="str">
        <f t="shared" si="473"/>
        <v/>
      </c>
      <c r="AL405" s="603"/>
      <c r="AM405" s="189"/>
      <c r="AN405" s="194"/>
      <c r="AO405" s="190"/>
      <c r="AP405" s="190"/>
      <c r="AQ405" s="191"/>
      <c r="AR405" s="194"/>
    </row>
    <row r="406" spans="1:44" s="605" customFormat="1" ht="69" hidden="1" customHeight="1" x14ac:dyDescent="0.25">
      <c r="A406" s="252"/>
      <c r="B406" s="265"/>
      <c r="C406" s="267"/>
      <c r="D406" s="265"/>
      <c r="E406" s="505"/>
      <c r="F406" s="506"/>
      <c r="G406" s="506"/>
      <c r="H406" s="507"/>
      <c r="I406" s="250"/>
      <c r="J406" s="250"/>
      <c r="K406" s="250"/>
      <c r="L406" s="250"/>
      <c r="M406" s="253"/>
      <c r="N406" s="239"/>
      <c r="O406" s="256"/>
      <c r="P406" s="610"/>
      <c r="Q406" s="611"/>
      <c r="R406" s="611"/>
      <c r="S406" s="611">
        <f ca="1">IF(NOT(ISERROR(MATCH(R406,_xlfn.ANCHORARRAY(H417),0))),Q419&amp;"Por favor no seleccionar los criterios de impacto",R406)</f>
        <v>0</v>
      </c>
      <c r="T406" s="610"/>
      <c r="U406" s="611"/>
      <c r="V406" s="252"/>
      <c r="W406" s="194">
        <v>6</v>
      </c>
      <c r="X406" s="192"/>
      <c r="Y406" s="194" t="str">
        <f t="shared" si="469"/>
        <v/>
      </c>
      <c r="Z406" s="188"/>
      <c r="AA406" s="188"/>
      <c r="AB406" s="185" t="str">
        <f t="shared" si="481"/>
        <v/>
      </c>
      <c r="AC406" s="188"/>
      <c r="AD406" s="188"/>
      <c r="AE406" s="188"/>
      <c r="AF406" s="602" t="str">
        <f t="shared" si="539"/>
        <v/>
      </c>
      <c r="AG406" s="186" t="str">
        <f t="shared" si="470"/>
        <v/>
      </c>
      <c r="AH406" s="185" t="str">
        <f t="shared" si="471"/>
        <v/>
      </c>
      <c r="AI406" s="186" t="str">
        <f t="shared" si="472"/>
        <v/>
      </c>
      <c r="AJ406" s="185" t="str">
        <f t="shared" si="541"/>
        <v/>
      </c>
      <c r="AK406" s="187" t="str">
        <f t="shared" si="473"/>
        <v/>
      </c>
      <c r="AL406" s="603"/>
      <c r="AM406" s="189"/>
      <c r="AN406" s="194"/>
      <c r="AO406" s="190"/>
      <c r="AP406" s="190"/>
      <c r="AQ406" s="191"/>
      <c r="AR406" s="194"/>
    </row>
    <row r="407" spans="1:44" s="605" customFormat="1" ht="114" customHeight="1" x14ac:dyDescent="0.25">
      <c r="A407" s="252">
        <v>66</v>
      </c>
      <c r="B407" s="268" t="s">
        <v>965</v>
      </c>
      <c r="C407" s="263" t="s">
        <v>279</v>
      </c>
      <c r="D407" s="268" t="s">
        <v>966</v>
      </c>
      <c r="E407" s="505" t="s">
        <v>243</v>
      </c>
      <c r="F407" s="506" t="s">
        <v>967</v>
      </c>
      <c r="G407" s="506" t="s">
        <v>968</v>
      </c>
      <c r="H407" s="507" t="s">
        <v>969</v>
      </c>
      <c r="I407" s="248" t="s">
        <v>480</v>
      </c>
      <c r="J407" s="248" t="s">
        <v>480</v>
      </c>
      <c r="K407" s="248" t="s">
        <v>480</v>
      </c>
      <c r="L407" s="248" t="s">
        <v>480</v>
      </c>
      <c r="M407" s="253" t="s">
        <v>244</v>
      </c>
      <c r="N407" s="238"/>
      <c r="O407" s="256">
        <v>365</v>
      </c>
      <c r="P407" s="610" t="str">
        <f t="shared" si="526"/>
        <v>Media</v>
      </c>
      <c r="Q407" s="611">
        <f t="shared" si="527"/>
        <v>0.6</v>
      </c>
      <c r="R407" s="611" t="s">
        <v>193</v>
      </c>
      <c r="S407" s="611" t="str">
        <f ca="1">IF(NOT(ISERROR(MATCH(R407,'Tabla Impacto'!$B$221:$B$223,0))),'Tabla Impacto'!$F$223&amp;"Por favor no seleccionar los criterios de impacto(Afectación Económica o presupuestal y Pérdida Reputacional)",R407)</f>
        <v>El riesgo afecta la imagen de la entidad con algunos usuarios de relevancia frente al logro de los objetivos</v>
      </c>
      <c r="T407" s="610" t="str">
        <f ca="1">+IF(OR(S407='[1]Tabla Impacto'!$C$11,S407='[1]Tabla Impacto'!$D$11),"Leve",IF(OR(S407='[1]Tabla Impacto'!$C$12,S407='[1]Tabla Impacto'!$D$12),"Menor",IF(OR(S407='[1]Tabla Impacto'!$C$13,S407='[1]Tabla Impacto'!$D$13),"Moderado",IF(OR(S407='[1]Tabla Impacto'!$C$14,S407='[1]Tabla Impacto'!$D$14),"Mayor",IF(OR(S407='[1]Tabla Impacto'!$C$15,S407='[1]Tabla Impacto'!$D$15),"Catastrófico","")))))</f>
        <v>Moderado</v>
      </c>
      <c r="U407" s="611">
        <f t="shared" ref="U407" ca="1" si="542">IF(T407="","",IF(T407="Leve",0.2,IF(T407="Menor",0.4,IF(T407="Moderado",0.6,IF(T407="Mayor",0.8,IF(T407="Catastrófico",1,))))))</f>
        <v>0.6</v>
      </c>
      <c r="V407" s="252" t="str">
        <f t="shared" ref="V407" ca="1" si="543">IF(OR(AND(P407="Muy Baja",T407="Leve"),AND(P407="Muy Baja",T407="Menor"),AND(P407="Baja",T407="Leve")),"Bajo",IF(OR(AND(P407="Muy baja",T407="Moderado"),AND(P407="Baja",T407="Menor"),AND(P407="Baja",T407="Moderado"),AND(P407="Media",T407="Leve"),AND(P407="Media",T407="Menor"),AND(P407="Media",T407="Moderado"),AND(P407="Alta",T407="Leve"),AND(P407="Alta",T407="Menor")),"Moderado",IF(OR(AND(P407="Muy Baja",T407="Mayor"),AND(P407="Baja",T407="Mayor"),AND(P407="Media",T407="Mayor"),AND(P407="Alta",T407="Moderado"),AND(P407="Alta",T407="Mayor"),AND(P407="Muy Alta",T407="Leve"),AND(P407="Muy Alta",T407="Menor"),AND(P407="Muy Alta",T407="Moderado"),AND(P407="Muy Alta",T407="Mayor")),"Alto",IF(OR(AND(P407="Muy Baja",T407="Catastrófico"),AND(P407="Baja",T407="Catastrófico"),AND(P407="Media",T407="Catastrófico"),AND(P407="Alta",T407="Catastrófico"),AND(P407="Muy Alta",T407="Catastrófico")),"Extremo",""))))</f>
        <v>Moderado</v>
      </c>
      <c r="W407" s="194">
        <v>1</v>
      </c>
      <c r="X407" s="192" t="s">
        <v>970</v>
      </c>
      <c r="Y407" s="194" t="str">
        <f t="shared" si="469"/>
        <v>Probabilidad</v>
      </c>
      <c r="Z407" s="188" t="s">
        <v>211</v>
      </c>
      <c r="AA407" s="188" t="s">
        <v>219</v>
      </c>
      <c r="AB407" s="185" t="str">
        <f t="shared" si="481"/>
        <v>40%</v>
      </c>
      <c r="AC407" s="188" t="s">
        <v>222</v>
      </c>
      <c r="AD407" s="188" t="s">
        <v>227</v>
      </c>
      <c r="AE407" s="188" t="s">
        <v>231</v>
      </c>
      <c r="AF407" s="602">
        <f t="shared" ref="AF407" si="544">IFERROR(IF(Y407="Probabilidad",(Q407-(+Q407*AB407)),IF(Y407="Impacto",Q407,"")),"")</f>
        <v>0.36</v>
      </c>
      <c r="AG407" s="186" t="str">
        <f t="shared" si="470"/>
        <v>Baja</v>
      </c>
      <c r="AH407" s="185">
        <f t="shared" si="471"/>
        <v>0.36</v>
      </c>
      <c r="AI407" s="186" t="str">
        <f t="shared" ca="1" si="472"/>
        <v>Moderado</v>
      </c>
      <c r="AJ407" s="185">
        <f t="shared" ref="AJ407" ca="1" si="545">IFERROR(IF(Y407="Impacto",(U407-(+U407*AB407)),IF(Y407="Probabilidad",U407,"")),"")</f>
        <v>0.6</v>
      </c>
      <c r="AK407" s="187" t="str">
        <f t="shared" ca="1" si="473"/>
        <v>Moderado</v>
      </c>
      <c r="AL407" s="603" t="s">
        <v>258</v>
      </c>
      <c r="AM407" s="189"/>
      <c r="AN407" s="194"/>
      <c r="AO407" s="190"/>
      <c r="AP407" s="190"/>
      <c r="AQ407" s="191"/>
      <c r="AR407" s="194"/>
    </row>
    <row r="408" spans="1:44" s="605" customFormat="1" ht="108" customHeight="1" x14ac:dyDescent="0.25">
      <c r="A408" s="252"/>
      <c r="B408" s="264"/>
      <c r="C408" s="266"/>
      <c r="D408" s="264"/>
      <c r="E408" s="505"/>
      <c r="F408" s="506"/>
      <c r="G408" s="506"/>
      <c r="H408" s="507"/>
      <c r="I408" s="249"/>
      <c r="J408" s="249"/>
      <c r="K408" s="249"/>
      <c r="L408" s="249"/>
      <c r="M408" s="253"/>
      <c r="N408" s="251"/>
      <c r="O408" s="256"/>
      <c r="P408" s="610"/>
      <c r="Q408" s="611"/>
      <c r="R408" s="611"/>
      <c r="S408" s="611">
        <f ca="1">IF(NOT(ISERROR(MATCH(R408,_xlfn.ANCHORARRAY(H419),0))),Q421&amp;"Por favor no seleccionar los criterios de impacto",R408)</f>
        <v>0</v>
      </c>
      <c r="T408" s="610"/>
      <c r="U408" s="611"/>
      <c r="V408" s="252"/>
      <c r="W408" s="194">
        <v>2</v>
      </c>
      <c r="X408" s="192" t="s">
        <v>971</v>
      </c>
      <c r="Y408" s="194" t="str">
        <f t="shared" si="469"/>
        <v>Probabilidad</v>
      </c>
      <c r="Z408" s="188" t="s">
        <v>211</v>
      </c>
      <c r="AA408" s="188" t="s">
        <v>219</v>
      </c>
      <c r="AB408" s="185" t="str">
        <f t="shared" si="481"/>
        <v>40%</v>
      </c>
      <c r="AC408" s="188" t="s">
        <v>222</v>
      </c>
      <c r="AD408" s="188" t="s">
        <v>227</v>
      </c>
      <c r="AE408" s="188" t="s">
        <v>231</v>
      </c>
      <c r="AF408" s="602">
        <f t="shared" ref="AF408:AF412" si="546">IFERROR(IF(AND(Y407="Probabilidad",Y408="Probabilidad"),(AH407-(+AH407*AB408)),IF(Y408="Probabilidad",(Q407-(+Q407*AB408)),IF(Y408="Impacto",AH407,""))),"")</f>
        <v>0.216</v>
      </c>
      <c r="AG408" s="186" t="str">
        <f t="shared" si="470"/>
        <v>Baja</v>
      </c>
      <c r="AH408" s="185">
        <f t="shared" si="471"/>
        <v>0.216</v>
      </c>
      <c r="AI408" s="186" t="str">
        <f t="shared" ca="1" si="472"/>
        <v>Moderado</v>
      </c>
      <c r="AJ408" s="185">
        <f t="shared" ref="AJ408" ca="1" si="547">IFERROR(IF(AND(Y407="Impacto",Y408="Impacto"),(AJ407-(+AJ407*AB408)),IF(Y408="Impacto",(U407-(+U407*AB408)),IF(Y408="Probabilidad",AJ407,""))),"")</f>
        <v>0.6</v>
      </c>
      <c r="AK408" s="187" t="str">
        <f t="shared" ca="1" si="473"/>
        <v>Moderado</v>
      </c>
      <c r="AL408" s="603" t="s">
        <v>258</v>
      </c>
      <c r="AM408" s="189"/>
      <c r="AN408" s="194"/>
      <c r="AO408" s="190"/>
      <c r="AP408" s="190"/>
      <c r="AQ408" s="191"/>
      <c r="AR408" s="194"/>
    </row>
    <row r="409" spans="1:44" s="605" customFormat="1" ht="109.5" customHeight="1" x14ac:dyDescent="0.25">
      <c r="A409" s="252"/>
      <c r="B409" s="264"/>
      <c r="C409" s="266"/>
      <c r="D409" s="264"/>
      <c r="E409" s="505"/>
      <c r="F409" s="506"/>
      <c r="G409" s="506"/>
      <c r="H409" s="507"/>
      <c r="I409" s="249"/>
      <c r="J409" s="249"/>
      <c r="K409" s="249"/>
      <c r="L409" s="249"/>
      <c r="M409" s="253"/>
      <c r="N409" s="251"/>
      <c r="O409" s="256"/>
      <c r="P409" s="610"/>
      <c r="Q409" s="611"/>
      <c r="R409" s="611"/>
      <c r="S409" s="611">
        <f ca="1">IF(NOT(ISERROR(MATCH(R409,_xlfn.ANCHORARRAY(H420),0))),Q422&amp;"Por favor no seleccionar los criterios de impacto",R409)</f>
        <v>0</v>
      </c>
      <c r="T409" s="610"/>
      <c r="U409" s="611"/>
      <c r="V409" s="252"/>
      <c r="W409" s="194">
        <v>3</v>
      </c>
      <c r="X409" s="192" t="s">
        <v>972</v>
      </c>
      <c r="Y409" s="194" t="str">
        <f t="shared" si="469"/>
        <v>Probabilidad</v>
      </c>
      <c r="Z409" s="188" t="s">
        <v>213</v>
      </c>
      <c r="AA409" s="188" t="s">
        <v>219</v>
      </c>
      <c r="AB409" s="185" t="str">
        <f t="shared" si="481"/>
        <v>30%</v>
      </c>
      <c r="AC409" s="188" t="s">
        <v>222</v>
      </c>
      <c r="AD409" s="188" t="s">
        <v>227</v>
      </c>
      <c r="AE409" s="188" t="s">
        <v>231</v>
      </c>
      <c r="AF409" s="602">
        <f t="shared" si="546"/>
        <v>0.1512</v>
      </c>
      <c r="AG409" s="186" t="str">
        <f t="shared" si="470"/>
        <v>Muy Baja</v>
      </c>
      <c r="AH409" s="185">
        <f t="shared" si="471"/>
        <v>0.1512</v>
      </c>
      <c r="AI409" s="186" t="str">
        <f t="shared" ca="1" si="472"/>
        <v>Moderado</v>
      </c>
      <c r="AJ409" s="185">
        <f t="shared" ref="AJ409:AJ412" ca="1" si="548">IFERROR(IF(AND(Y408="Impacto",Y409="Impacto"),(AJ408-(+AJ408*AB409)),IF(AND(Y408="Probabilidad",Y409="Impacto"),(AJ407-(+AJ407*AB409)),IF(Y409="Probabilidad",AJ408,""))),"")</f>
        <v>0.6</v>
      </c>
      <c r="AK409" s="187" t="str">
        <f t="shared" ca="1" si="473"/>
        <v>Moderado</v>
      </c>
      <c r="AL409" s="603" t="s">
        <v>258</v>
      </c>
      <c r="AM409" s="189"/>
      <c r="AN409" s="194"/>
      <c r="AO409" s="190"/>
      <c r="AP409" s="190"/>
      <c r="AQ409" s="191"/>
      <c r="AR409" s="194"/>
    </row>
    <row r="410" spans="1:44" s="605" customFormat="1" ht="105.75" customHeight="1" x14ac:dyDescent="0.25">
      <c r="A410" s="252"/>
      <c r="B410" s="264"/>
      <c r="C410" s="266"/>
      <c r="D410" s="264"/>
      <c r="E410" s="505"/>
      <c r="F410" s="506"/>
      <c r="G410" s="506"/>
      <c r="H410" s="507"/>
      <c r="I410" s="249"/>
      <c r="J410" s="249"/>
      <c r="K410" s="249"/>
      <c r="L410" s="249"/>
      <c r="M410" s="253"/>
      <c r="N410" s="251"/>
      <c r="O410" s="256"/>
      <c r="P410" s="610"/>
      <c r="Q410" s="611"/>
      <c r="R410" s="611"/>
      <c r="S410" s="611">
        <f ca="1">IF(NOT(ISERROR(MATCH(R410,_xlfn.ANCHORARRAY(H421),0))),Q423&amp;"Por favor no seleccionar los criterios de impacto",R410)</f>
        <v>0</v>
      </c>
      <c r="T410" s="610"/>
      <c r="U410" s="611"/>
      <c r="V410" s="252"/>
      <c r="W410" s="194">
        <v>4</v>
      </c>
      <c r="X410" s="192" t="s">
        <v>973</v>
      </c>
      <c r="Y410" s="194" t="str">
        <f t="shared" si="469"/>
        <v>Probabilidad</v>
      </c>
      <c r="Z410" s="188" t="s">
        <v>213</v>
      </c>
      <c r="AA410" s="188" t="s">
        <v>219</v>
      </c>
      <c r="AB410" s="185" t="str">
        <f t="shared" si="481"/>
        <v>30%</v>
      </c>
      <c r="AC410" s="188" t="s">
        <v>222</v>
      </c>
      <c r="AD410" s="188" t="s">
        <v>227</v>
      </c>
      <c r="AE410" s="188" t="s">
        <v>231</v>
      </c>
      <c r="AF410" s="602">
        <f t="shared" si="546"/>
        <v>0.10584</v>
      </c>
      <c r="AG410" s="186" t="str">
        <f t="shared" si="470"/>
        <v>Muy Baja</v>
      </c>
      <c r="AH410" s="185">
        <f t="shared" si="471"/>
        <v>0.10584</v>
      </c>
      <c r="AI410" s="186" t="str">
        <f t="shared" ca="1" si="472"/>
        <v>Moderado</v>
      </c>
      <c r="AJ410" s="185">
        <f t="shared" ca="1" si="548"/>
        <v>0.6</v>
      </c>
      <c r="AK410" s="187" t="str">
        <f t="shared" ca="1" si="473"/>
        <v>Moderado</v>
      </c>
      <c r="AL410" s="603" t="s">
        <v>258</v>
      </c>
      <c r="AM410" s="189"/>
      <c r="AN410" s="194"/>
      <c r="AO410" s="190"/>
      <c r="AP410" s="190"/>
      <c r="AQ410" s="191"/>
      <c r="AR410" s="194"/>
    </row>
    <row r="411" spans="1:44" s="605" customFormat="1" ht="138.75" customHeight="1" x14ac:dyDescent="0.25">
      <c r="A411" s="252"/>
      <c r="B411" s="264"/>
      <c r="C411" s="266"/>
      <c r="D411" s="264"/>
      <c r="E411" s="505"/>
      <c r="F411" s="506"/>
      <c r="G411" s="506"/>
      <c r="H411" s="507"/>
      <c r="I411" s="249"/>
      <c r="J411" s="249"/>
      <c r="K411" s="249"/>
      <c r="L411" s="249"/>
      <c r="M411" s="253"/>
      <c r="N411" s="251"/>
      <c r="O411" s="256"/>
      <c r="P411" s="610"/>
      <c r="Q411" s="611"/>
      <c r="R411" s="611"/>
      <c r="S411" s="611">
        <f ca="1">IF(NOT(ISERROR(MATCH(R411,_xlfn.ANCHORARRAY(H422),0))),Q424&amp;"Por favor no seleccionar los criterios de impacto",R411)</f>
        <v>0</v>
      </c>
      <c r="T411" s="610"/>
      <c r="U411" s="611"/>
      <c r="V411" s="252"/>
      <c r="W411" s="194">
        <v>5</v>
      </c>
      <c r="X411" s="192" t="s">
        <v>974</v>
      </c>
      <c r="Y411" s="194" t="str">
        <f t="shared" si="469"/>
        <v>Impacto</v>
      </c>
      <c r="Z411" s="188" t="s">
        <v>215</v>
      </c>
      <c r="AA411" s="188" t="s">
        <v>219</v>
      </c>
      <c r="AB411" s="185" t="str">
        <f t="shared" si="481"/>
        <v>25%</v>
      </c>
      <c r="AC411" s="188" t="s">
        <v>222</v>
      </c>
      <c r="AD411" s="188" t="s">
        <v>227</v>
      </c>
      <c r="AE411" s="188" t="s">
        <v>231</v>
      </c>
      <c r="AF411" s="602">
        <f t="shared" si="546"/>
        <v>0.10584</v>
      </c>
      <c r="AG411" s="186" t="str">
        <f t="shared" si="470"/>
        <v>Muy Baja</v>
      </c>
      <c r="AH411" s="185">
        <f t="shared" si="471"/>
        <v>0.10584</v>
      </c>
      <c r="AI411" s="186" t="str">
        <f t="shared" ca="1" si="472"/>
        <v>Moderado</v>
      </c>
      <c r="AJ411" s="185">
        <f t="shared" ca="1" si="548"/>
        <v>0.44999999999999996</v>
      </c>
      <c r="AK411" s="187" t="str">
        <f t="shared" ca="1" si="473"/>
        <v>Moderado</v>
      </c>
      <c r="AL411" s="603" t="s">
        <v>258</v>
      </c>
      <c r="AM411" s="189"/>
      <c r="AN411" s="194"/>
      <c r="AO411" s="190"/>
      <c r="AP411" s="190"/>
      <c r="AQ411" s="191"/>
      <c r="AR411" s="194"/>
    </row>
    <row r="412" spans="1:44" s="605" customFormat="1" ht="69" hidden="1" customHeight="1" x14ac:dyDescent="0.25">
      <c r="A412" s="252"/>
      <c r="B412" s="265"/>
      <c r="C412" s="267"/>
      <c r="D412" s="265"/>
      <c r="E412" s="505"/>
      <c r="F412" s="506"/>
      <c r="G412" s="506"/>
      <c r="H412" s="507"/>
      <c r="I412" s="250"/>
      <c r="J412" s="250"/>
      <c r="K412" s="250"/>
      <c r="L412" s="250"/>
      <c r="M412" s="253"/>
      <c r="N412" s="239"/>
      <c r="O412" s="256"/>
      <c r="P412" s="610"/>
      <c r="Q412" s="611"/>
      <c r="R412" s="611"/>
      <c r="S412" s="611">
        <f ca="1">IF(NOT(ISERROR(MATCH(R412,_xlfn.ANCHORARRAY(H423),0))),Q425&amp;"Por favor no seleccionar los criterios de impacto",R412)</f>
        <v>0</v>
      </c>
      <c r="T412" s="610"/>
      <c r="U412" s="611"/>
      <c r="V412" s="252"/>
      <c r="W412" s="194">
        <v>6</v>
      </c>
      <c r="X412" s="192"/>
      <c r="Y412" s="194" t="str">
        <f t="shared" si="469"/>
        <v/>
      </c>
      <c r="Z412" s="188"/>
      <c r="AA412" s="188"/>
      <c r="AB412" s="185" t="str">
        <f t="shared" si="481"/>
        <v/>
      </c>
      <c r="AC412" s="188"/>
      <c r="AD412" s="188"/>
      <c r="AE412" s="188"/>
      <c r="AF412" s="602" t="str">
        <f t="shared" si="546"/>
        <v/>
      </c>
      <c r="AG412" s="186" t="str">
        <f t="shared" si="470"/>
        <v/>
      </c>
      <c r="AH412" s="185" t="str">
        <f t="shared" si="471"/>
        <v/>
      </c>
      <c r="AI412" s="186" t="str">
        <f t="shared" si="472"/>
        <v/>
      </c>
      <c r="AJ412" s="185" t="str">
        <f t="shared" si="548"/>
        <v/>
      </c>
      <c r="AK412" s="187" t="str">
        <f t="shared" si="473"/>
        <v/>
      </c>
      <c r="AL412" s="603"/>
      <c r="AM412" s="189"/>
      <c r="AN412" s="194"/>
      <c r="AO412" s="190"/>
      <c r="AP412" s="190"/>
      <c r="AQ412" s="191"/>
      <c r="AR412" s="194"/>
    </row>
    <row r="413" spans="1:44" s="605" customFormat="1" ht="134.25" customHeight="1" x14ac:dyDescent="0.25">
      <c r="A413" s="252">
        <v>67</v>
      </c>
      <c r="B413" s="268" t="s">
        <v>975</v>
      </c>
      <c r="C413" s="263" t="s">
        <v>279</v>
      </c>
      <c r="D413" s="268" t="s">
        <v>966</v>
      </c>
      <c r="E413" s="505" t="s">
        <v>239</v>
      </c>
      <c r="F413" s="506" t="s">
        <v>976</v>
      </c>
      <c r="G413" s="506" t="s">
        <v>977</v>
      </c>
      <c r="H413" s="507" t="s">
        <v>978</v>
      </c>
      <c r="I413" s="248" t="s">
        <v>480</v>
      </c>
      <c r="J413" s="248" t="s">
        <v>480</v>
      </c>
      <c r="K413" s="248" t="s">
        <v>480</v>
      </c>
      <c r="L413" s="248" t="s">
        <v>480</v>
      </c>
      <c r="M413" s="253" t="s">
        <v>244</v>
      </c>
      <c r="N413" s="238"/>
      <c r="O413" s="256">
        <v>365</v>
      </c>
      <c r="P413" s="610" t="str">
        <f t="shared" si="526"/>
        <v>Media</v>
      </c>
      <c r="Q413" s="611">
        <f t="shared" si="527"/>
        <v>0.6</v>
      </c>
      <c r="R413" s="611" t="s">
        <v>189</v>
      </c>
      <c r="S413" s="611" t="str">
        <f ca="1">IF(NOT(ISERROR(MATCH(R413,'Tabla Impacto'!$B$221:$B$223,0))),'Tabla Impacto'!$F$223&amp;"Por favor no seleccionar los criterios de impacto(Afectación Económica o presupuestal y Pérdida Reputacional)",R413)</f>
        <v xml:space="preserve">Entre 10 y 50 SMLMV </v>
      </c>
      <c r="T413" s="610" t="str">
        <f ca="1">+IF(OR(S413='[1]Tabla Impacto'!$C$11,S413='[1]Tabla Impacto'!$D$11),"Leve",IF(OR(S413='[1]Tabla Impacto'!$C$12,S413='[1]Tabla Impacto'!$D$12),"Menor",IF(OR(S413='[1]Tabla Impacto'!$C$13,S413='[1]Tabla Impacto'!$D$13),"Moderado",IF(OR(S413='[1]Tabla Impacto'!$C$14,S413='[1]Tabla Impacto'!$D$14),"Mayor",IF(OR(S413='[1]Tabla Impacto'!$C$15,S413='[1]Tabla Impacto'!$D$15),"Catastrófico","")))))</f>
        <v>Menor</v>
      </c>
      <c r="U413" s="611">
        <f t="shared" ref="U413" ca="1" si="549">IF(T413="","",IF(T413="Leve",0.2,IF(T413="Menor",0.4,IF(T413="Moderado",0.6,IF(T413="Mayor",0.8,IF(T413="Catastrófico",1,))))))</f>
        <v>0.4</v>
      </c>
      <c r="V413" s="252" t="str">
        <f t="shared" ref="V413" ca="1" si="550">IF(OR(AND(P413="Muy Baja",T413="Leve"),AND(P413="Muy Baja",T413="Menor"),AND(P413="Baja",T413="Leve")),"Bajo",IF(OR(AND(P413="Muy baja",T413="Moderado"),AND(P413="Baja",T413="Menor"),AND(P413="Baja",T413="Moderado"),AND(P413="Media",T413="Leve"),AND(P413="Media",T413="Menor"),AND(P413="Media",T413="Moderado"),AND(P413="Alta",T413="Leve"),AND(P413="Alta",T413="Menor")),"Moderado",IF(OR(AND(P413="Muy Baja",T413="Mayor"),AND(P413="Baja",T413="Mayor"),AND(P413="Media",T413="Mayor"),AND(P413="Alta",T413="Moderado"),AND(P413="Alta",T413="Mayor"),AND(P413="Muy Alta",T413="Leve"),AND(P413="Muy Alta",T413="Menor"),AND(P413="Muy Alta",T413="Moderado"),AND(P413="Muy Alta",T413="Mayor")),"Alto",IF(OR(AND(P413="Muy Baja",T413="Catastrófico"),AND(P413="Baja",T413="Catastrófico"),AND(P413="Media",T413="Catastrófico"),AND(P413="Alta",T413="Catastrófico"),AND(P413="Muy Alta",T413="Catastrófico")),"Extremo",""))))</f>
        <v>Moderado</v>
      </c>
      <c r="W413" s="194">
        <v>1</v>
      </c>
      <c r="X413" s="192" t="s">
        <v>979</v>
      </c>
      <c r="Y413" s="194" t="str">
        <f t="shared" si="469"/>
        <v>Probabilidad</v>
      </c>
      <c r="Z413" s="188" t="s">
        <v>211</v>
      </c>
      <c r="AA413" s="188" t="s">
        <v>219</v>
      </c>
      <c r="AB413" s="185" t="str">
        <f t="shared" si="481"/>
        <v>40%</v>
      </c>
      <c r="AC413" s="188" t="s">
        <v>222</v>
      </c>
      <c r="AD413" s="188" t="s">
        <v>227</v>
      </c>
      <c r="AE413" s="188" t="s">
        <v>231</v>
      </c>
      <c r="AF413" s="602">
        <f t="shared" ref="AF413" si="551">IFERROR(IF(Y413="Probabilidad",(Q413-(+Q413*AB413)),IF(Y413="Impacto",Q413,"")),"")</f>
        <v>0.36</v>
      </c>
      <c r="AG413" s="186" t="str">
        <f t="shared" si="470"/>
        <v>Baja</v>
      </c>
      <c r="AH413" s="185">
        <f t="shared" si="471"/>
        <v>0.36</v>
      </c>
      <c r="AI413" s="186" t="str">
        <f t="shared" ca="1" si="472"/>
        <v>Menor</v>
      </c>
      <c r="AJ413" s="185">
        <f t="shared" ref="AJ413" ca="1" si="552">IFERROR(IF(Y413="Impacto",(U413-(+U413*AB413)),IF(Y413="Probabilidad",U413,"")),"")</f>
        <v>0.4</v>
      </c>
      <c r="AK413" s="187" t="str">
        <f t="shared" ca="1" si="473"/>
        <v>Moderado</v>
      </c>
      <c r="AL413" s="603" t="s">
        <v>258</v>
      </c>
      <c r="AM413" s="189"/>
      <c r="AN413" s="194"/>
      <c r="AO413" s="190"/>
      <c r="AP413" s="190"/>
      <c r="AQ413" s="191"/>
      <c r="AR413" s="194"/>
    </row>
    <row r="414" spans="1:44" s="605" customFormat="1" ht="157.5" customHeight="1" x14ac:dyDescent="0.25">
      <c r="A414" s="252"/>
      <c r="B414" s="264"/>
      <c r="C414" s="266"/>
      <c r="D414" s="264"/>
      <c r="E414" s="505"/>
      <c r="F414" s="506"/>
      <c r="G414" s="506"/>
      <c r="H414" s="507"/>
      <c r="I414" s="249"/>
      <c r="J414" s="249"/>
      <c r="K414" s="249"/>
      <c r="L414" s="249"/>
      <c r="M414" s="253"/>
      <c r="N414" s="251"/>
      <c r="O414" s="256"/>
      <c r="P414" s="610"/>
      <c r="Q414" s="611"/>
      <c r="R414" s="611"/>
      <c r="S414" s="611">
        <f ca="1">IF(NOT(ISERROR(MATCH(R414,_xlfn.ANCHORARRAY(H425),0))),Q427&amp;"Por favor no seleccionar los criterios de impacto",R414)</f>
        <v>0</v>
      </c>
      <c r="T414" s="610"/>
      <c r="U414" s="611"/>
      <c r="V414" s="252"/>
      <c r="W414" s="194">
        <v>2</v>
      </c>
      <c r="X414" s="192" t="s">
        <v>980</v>
      </c>
      <c r="Y414" s="194" t="str">
        <f t="shared" si="469"/>
        <v>Probabilidad</v>
      </c>
      <c r="Z414" s="188" t="s">
        <v>211</v>
      </c>
      <c r="AA414" s="188" t="s">
        <v>219</v>
      </c>
      <c r="AB414" s="185" t="str">
        <f t="shared" si="481"/>
        <v>40%</v>
      </c>
      <c r="AC414" s="188" t="s">
        <v>222</v>
      </c>
      <c r="AD414" s="188" t="s">
        <v>227</v>
      </c>
      <c r="AE414" s="188" t="s">
        <v>231</v>
      </c>
      <c r="AF414" s="602">
        <f t="shared" ref="AF414:AF418" si="553">IFERROR(IF(AND(Y413="Probabilidad",Y414="Probabilidad"),(AH413-(+AH413*AB414)),IF(Y414="Probabilidad",(Q413-(+Q413*AB414)),IF(Y414="Impacto",AH413,""))),"")</f>
        <v>0.216</v>
      </c>
      <c r="AG414" s="186" t="str">
        <f t="shared" si="470"/>
        <v>Baja</v>
      </c>
      <c r="AH414" s="185">
        <f t="shared" si="471"/>
        <v>0.216</v>
      </c>
      <c r="AI414" s="186" t="str">
        <f t="shared" ca="1" si="472"/>
        <v>Menor</v>
      </c>
      <c r="AJ414" s="185">
        <f t="shared" ref="AJ414" ca="1" si="554">IFERROR(IF(AND(Y413="Impacto",Y414="Impacto"),(AJ413-(+AJ413*AB414)),IF(Y414="Impacto",(U413-(+U413*AB414)),IF(Y414="Probabilidad",AJ413,""))),"")</f>
        <v>0.4</v>
      </c>
      <c r="AK414" s="187" t="str">
        <f t="shared" ca="1" si="473"/>
        <v>Moderado</v>
      </c>
      <c r="AL414" s="603" t="s">
        <v>258</v>
      </c>
      <c r="AM414" s="189"/>
      <c r="AN414" s="194"/>
      <c r="AO414" s="190"/>
      <c r="AP414" s="190"/>
      <c r="AQ414" s="191"/>
      <c r="AR414" s="194"/>
    </row>
    <row r="415" spans="1:44" s="605" customFormat="1" ht="115.5" customHeight="1" x14ac:dyDescent="0.25">
      <c r="A415" s="252"/>
      <c r="B415" s="264"/>
      <c r="C415" s="266"/>
      <c r="D415" s="264"/>
      <c r="E415" s="505"/>
      <c r="F415" s="506"/>
      <c r="G415" s="506"/>
      <c r="H415" s="507"/>
      <c r="I415" s="249"/>
      <c r="J415" s="249"/>
      <c r="K415" s="249"/>
      <c r="L415" s="249"/>
      <c r="M415" s="253"/>
      <c r="N415" s="251"/>
      <c r="O415" s="256"/>
      <c r="P415" s="610"/>
      <c r="Q415" s="611"/>
      <c r="R415" s="611"/>
      <c r="S415" s="611">
        <f ca="1">IF(NOT(ISERROR(MATCH(R415,_xlfn.ANCHORARRAY(H426),0))),Q428&amp;"Por favor no seleccionar los criterios de impacto",R415)</f>
        <v>0</v>
      </c>
      <c r="T415" s="610"/>
      <c r="U415" s="611"/>
      <c r="V415" s="252"/>
      <c r="W415" s="194">
        <v>3</v>
      </c>
      <c r="X415" s="192" t="s">
        <v>981</v>
      </c>
      <c r="Y415" s="194" t="str">
        <f t="shared" si="469"/>
        <v>Probabilidad</v>
      </c>
      <c r="Z415" s="188" t="s">
        <v>211</v>
      </c>
      <c r="AA415" s="188" t="s">
        <v>219</v>
      </c>
      <c r="AB415" s="185" t="str">
        <f t="shared" si="481"/>
        <v>40%</v>
      </c>
      <c r="AC415" s="188" t="s">
        <v>222</v>
      </c>
      <c r="AD415" s="188" t="s">
        <v>227</v>
      </c>
      <c r="AE415" s="188" t="s">
        <v>231</v>
      </c>
      <c r="AF415" s="602">
        <f t="shared" si="553"/>
        <v>0.12959999999999999</v>
      </c>
      <c r="AG415" s="186" t="str">
        <f t="shared" si="470"/>
        <v>Muy Baja</v>
      </c>
      <c r="AH415" s="185">
        <f t="shared" si="471"/>
        <v>0.12959999999999999</v>
      </c>
      <c r="AI415" s="186" t="str">
        <f t="shared" ca="1" si="472"/>
        <v>Menor</v>
      </c>
      <c r="AJ415" s="185">
        <f t="shared" ref="AJ415:AJ418" ca="1" si="555">IFERROR(IF(AND(Y414="Impacto",Y415="Impacto"),(AJ414-(+AJ414*AB415)),IF(AND(Y414="Probabilidad",Y415="Impacto"),(AJ413-(+AJ413*AB415)),IF(Y415="Probabilidad",AJ414,""))),"")</f>
        <v>0.4</v>
      </c>
      <c r="AK415" s="187" t="str">
        <f t="shared" ca="1" si="473"/>
        <v>Bajo</v>
      </c>
      <c r="AL415" s="603" t="s">
        <v>258</v>
      </c>
      <c r="AM415" s="189"/>
      <c r="AN415" s="194"/>
      <c r="AO415" s="190"/>
      <c r="AP415" s="190"/>
      <c r="AQ415" s="191"/>
      <c r="AR415" s="194"/>
    </row>
    <row r="416" spans="1:44" s="605" customFormat="1" ht="132" customHeight="1" x14ac:dyDescent="0.25">
      <c r="A416" s="252"/>
      <c r="B416" s="264"/>
      <c r="C416" s="266"/>
      <c r="D416" s="264"/>
      <c r="E416" s="505"/>
      <c r="F416" s="506"/>
      <c r="G416" s="506"/>
      <c r="H416" s="507"/>
      <c r="I416" s="249"/>
      <c r="J416" s="249"/>
      <c r="K416" s="249"/>
      <c r="L416" s="249"/>
      <c r="M416" s="253"/>
      <c r="N416" s="251"/>
      <c r="O416" s="256"/>
      <c r="P416" s="610"/>
      <c r="Q416" s="611"/>
      <c r="R416" s="611"/>
      <c r="S416" s="611">
        <f ca="1">IF(NOT(ISERROR(MATCH(R416,_xlfn.ANCHORARRAY(H427),0))),Q429&amp;"Por favor no seleccionar los criterios de impacto",R416)</f>
        <v>0</v>
      </c>
      <c r="T416" s="610"/>
      <c r="U416" s="611"/>
      <c r="V416" s="252"/>
      <c r="W416" s="194">
        <v>4</v>
      </c>
      <c r="X416" s="192" t="s">
        <v>982</v>
      </c>
      <c r="Y416" s="194" t="str">
        <f t="shared" si="469"/>
        <v>Probabilidad</v>
      </c>
      <c r="Z416" s="188" t="s">
        <v>211</v>
      </c>
      <c r="AA416" s="188" t="s">
        <v>219</v>
      </c>
      <c r="AB416" s="185" t="str">
        <f t="shared" si="481"/>
        <v>40%</v>
      </c>
      <c r="AC416" s="188" t="s">
        <v>222</v>
      </c>
      <c r="AD416" s="188" t="s">
        <v>227</v>
      </c>
      <c r="AE416" s="188" t="s">
        <v>231</v>
      </c>
      <c r="AF416" s="602">
        <f t="shared" si="553"/>
        <v>7.7759999999999996E-2</v>
      </c>
      <c r="AG416" s="186" t="str">
        <f t="shared" si="470"/>
        <v>Muy Baja</v>
      </c>
      <c r="AH416" s="185">
        <f t="shared" si="471"/>
        <v>7.7759999999999996E-2</v>
      </c>
      <c r="AI416" s="186" t="str">
        <f t="shared" ca="1" si="472"/>
        <v>Menor</v>
      </c>
      <c r="AJ416" s="185">
        <f t="shared" ca="1" si="555"/>
        <v>0.4</v>
      </c>
      <c r="AK416" s="187" t="str">
        <f t="shared" ca="1" si="473"/>
        <v>Bajo</v>
      </c>
      <c r="AL416" s="603" t="s">
        <v>258</v>
      </c>
      <c r="AM416" s="189"/>
      <c r="AN416" s="194"/>
      <c r="AO416" s="190"/>
      <c r="AP416" s="190"/>
      <c r="AQ416" s="191"/>
      <c r="AR416" s="194"/>
    </row>
    <row r="417" spans="1:44" s="605" customFormat="1" ht="69" hidden="1" customHeight="1" x14ac:dyDescent="0.25">
      <c r="A417" s="252"/>
      <c r="B417" s="264"/>
      <c r="C417" s="266"/>
      <c r="D417" s="264"/>
      <c r="E417" s="505"/>
      <c r="F417" s="506"/>
      <c r="G417" s="506"/>
      <c r="H417" s="507"/>
      <c r="I417" s="249"/>
      <c r="J417" s="249"/>
      <c r="K417" s="249"/>
      <c r="L417" s="249"/>
      <c r="M417" s="253"/>
      <c r="N417" s="251"/>
      <c r="O417" s="256"/>
      <c r="P417" s="610"/>
      <c r="Q417" s="611"/>
      <c r="R417" s="611"/>
      <c r="S417" s="611">
        <f ca="1">IF(NOT(ISERROR(MATCH(R417,_xlfn.ANCHORARRAY(H428),0))),Q430&amp;"Por favor no seleccionar los criterios de impacto",R417)</f>
        <v>0</v>
      </c>
      <c r="T417" s="610"/>
      <c r="U417" s="611"/>
      <c r="V417" s="252"/>
      <c r="W417" s="194">
        <v>5</v>
      </c>
      <c r="X417" s="192"/>
      <c r="Y417" s="194" t="str">
        <f t="shared" si="469"/>
        <v/>
      </c>
      <c r="Z417" s="188"/>
      <c r="AA417" s="188"/>
      <c r="AB417" s="185" t="str">
        <f t="shared" si="481"/>
        <v/>
      </c>
      <c r="AC417" s="188"/>
      <c r="AD417" s="188"/>
      <c r="AE417" s="188"/>
      <c r="AF417" s="602" t="str">
        <f t="shared" si="553"/>
        <v/>
      </c>
      <c r="AG417" s="186" t="str">
        <f t="shared" si="470"/>
        <v/>
      </c>
      <c r="AH417" s="185" t="str">
        <f t="shared" si="471"/>
        <v/>
      </c>
      <c r="AI417" s="186" t="str">
        <f t="shared" si="472"/>
        <v/>
      </c>
      <c r="AJ417" s="185" t="str">
        <f t="shared" si="555"/>
        <v/>
      </c>
      <c r="AK417" s="187" t="str">
        <f t="shared" si="473"/>
        <v/>
      </c>
      <c r="AL417" s="603"/>
      <c r="AM417" s="189"/>
      <c r="AN417" s="194"/>
      <c r="AO417" s="190"/>
      <c r="AP417" s="190"/>
      <c r="AQ417" s="191"/>
      <c r="AR417" s="194"/>
    </row>
    <row r="418" spans="1:44" s="605" customFormat="1" ht="69" hidden="1" customHeight="1" x14ac:dyDescent="0.25">
      <c r="A418" s="252"/>
      <c r="B418" s="265"/>
      <c r="C418" s="267"/>
      <c r="D418" s="265"/>
      <c r="E418" s="505"/>
      <c r="F418" s="506"/>
      <c r="G418" s="506"/>
      <c r="H418" s="507"/>
      <c r="I418" s="250"/>
      <c r="J418" s="250"/>
      <c r="K418" s="250"/>
      <c r="L418" s="250"/>
      <c r="M418" s="253"/>
      <c r="N418" s="239"/>
      <c r="O418" s="256"/>
      <c r="P418" s="610"/>
      <c r="Q418" s="611"/>
      <c r="R418" s="611"/>
      <c r="S418" s="611">
        <f ca="1">IF(NOT(ISERROR(MATCH(R418,_xlfn.ANCHORARRAY(H429),0))),Q431&amp;"Por favor no seleccionar los criterios de impacto",R418)</f>
        <v>0</v>
      </c>
      <c r="T418" s="610"/>
      <c r="U418" s="611"/>
      <c r="V418" s="252"/>
      <c r="W418" s="194">
        <v>6</v>
      </c>
      <c r="X418" s="192"/>
      <c r="Y418" s="194" t="str">
        <f t="shared" si="469"/>
        <v/>
      </c>
      <c r="Z418" s="188"/>
      <c r="AA418" s="188"/>
      <c r="AB418" s="185" t="str">
        <f t="shared" si="481"/>
        <v/>
      </c>
      <c r="AC418" s="188"/>
      <c r="AD418" s="188"/>
      <c r="AE418" s="188"/>
      <c r="AF418" s="602" t="str">
        <f t="shared" si="553"/>
        <v/>
      </c>
      <c r="AG418" s="186" t="str">
        <f t="shared" si="470"/>
        <v/>
      </c>
      <c r="AH418" s="185" t="str">
        <f t="shared" si="471"/>
        <v/>
      </c>
      <c r="AI418" s="186" t="str">
        <f t="shared" si="472"/>
        <v/>
      </c>
      <c r="AJ418" s="185" t="str">
        <f t="shared" si="555"/>
        <v/>
      </c>
      <c r="AK418" s="187" t="str">
        <f t="shared" si="473"/>
        <v/>
      </c>
      <c r="AL418" s="603"/>
      <c r="AM418" s="189"/>
      <c r="AN418" s="194"/>
      <c r="AO418" s="190"/>
      <c r="AP418" s="190"/>
      <c r="AQ418" s="191"/>
      <c r="AR418" s="194"/>
    </row>
    <row r="419" spans="1:44" s="605" customFormat="1" ht="156.75" customHeight="1" x14ac:dyDescent="0.25">
      <c r="A419" s="252">
        <v>68</v>
      </c>
      <c r="B419" s="268" t="s">
        <v>983</v>
      </c>
      <c r="C419" s="263" t="s">
        <v>279</v>
      </c>
      <c r="D419" s="268" t="s">
        <v>984</v>
      </c>
      <c r="E419" s="505" t="s">
        <v>243</v>
      </c>
      <c r="F419" s="506" t="s">
        <v>985</v>
      </c>
      <c r="G419" s="506" t="s">
        <v>986</v>
      </c>
      <c r="H419" s="507" t="s">
        <v>987</v>
      </c>
      <c r="I419" s="248" t="s">
        <v>480</v>
      </c>
      <c r="J419" s="248" t="s">
        <v>480</v>
      </c>
      <c r="K419" s="248" t="s">
        <v>480</v>
      </c>
      <c r="L419" s="248" t="s">
        <v>480</v>
      </c>
      <c r="M419" s="253" t="s">
        <v>242</v>
      </c>
      <c r="N419" s="238"/>
      <c r="O419" s="256">
        <v>365</v>
      </c>
      <c r="P419" s="610" t="str">
        <f t="shared" si="526"/>
        <v>Media</v>
      </c>
      <c r="Q419" s="611">
        <f t="shared" si="527"/>
        <v>0.6</v>
      </c>
      <c r="R419" s="611" t="s">
        <v>193</v>
      </c>
      <c r="S419" s="611" t="str">
        <f ca="1">IF(NOT(ISERROR(MATCH(R419,'Tabla Impacto'!$B$221:$B$223,0))),'Tabla Impacto'!$F$223&amp;"Por favor no seleccionar los criterios de impacto(Afectación Económica o presupuestal y Pérdida Reputacional)",R419)</f>
        <v>El riesgo afecta la imagen de la entidad con algunos usuarios de relevancia frente al logro de los objetivos</v>
      </c>
      <c r="T419" s="610" t="str">
        <f ca="1">+IF(OR(S419='[1]Tabla Impacto'!$C$11,S419='[1]Tabla Impacto'!$D$11),"Leve",IF(OR(S419='[1]Tabla Impacto'!$C$12,S419='[1]Tabla Impacto'!$D$12),"Menor",IF(OR(S419='[1]Tabla Impacto'!$C$13,S419='[1]Tabla Impacto'!$D$13),"Moderado",IF(OR(S419='[1]Tabla Impacto'!$C$14,S419='[1]Tabla Impacto'!$D$14),"Mayor",IF(OR(S419='[1]Tabla Impacto'!$C$15,S419='[1]Tabla Impacto'!$D$15),"Catastrófico","")))))</f>
        <v>Moderado</v>
      </c>
      <c r="U419" s="611">
        <f t="shared" ref="U419" ca="1" si="556">IF(T419="","",IF(T419="Leve",0.2,IF(T419="Menor",0.4,IF(T419="Moderado",0.6,IF(T419="Mayor",0.8,IF(T419="Catastrófico",1,))))))</f>
        <v>0.6</v>
      </c>
      <c r="V419" s="252" t="str">
        <f t="shared" ref="V419" ca="1" si="557">IF(OR(AND(P419="Muy Baja",T419="Leve"),AND(P419="Muy Baja",T419="Menor"),AND(P419="Baja",T419="Leve")),"Bajo",IF(OR(AND(P419="Muy baja",T419="Moderado"),AND(P419="Baja",T419="Menor"),AND(P419="Baja",T419="Moderado"),AND(P419="Media",T419="Leve"),AND(P419="Media",T419="Menor"),AND(P419="Media",T419="Moderado"),AND(P419="Alta",T419="Leve"),AND(P419="Alta",T419="Menor")),"Moderado",IF(OR(AND(P419="Muy Baja",T419="Mayor"),AND(P419="Baja",T419="Mayor"),AND(P419="Media",T419="Mayor"),AND(P419="Alta",T419="Moderado"),AND(P419="Alta",T419="Mayor"),AND(P419="Muy Alta",T419="Leve"),AND(P419="Muy Alta",T419="Menor"),AND(P419="Muy Alta",T419="Moderado"),AND(P419="Muy Alta",T419="Mayor")),"Alto",IF(OR(AND(P419="Muy Baja",T419="Catastrófico"),AND(P419="Baja",T419="Catastrófico"),AND(P419="Media",T419="Catastrófico"),AND(P419="Alta",T419="Catastrófico"),AND(P419="Muy Alta",T419="Catastrófico")),"Extremo",""))))</f>
        <v>Moderado</v>
      </c>
      <c r="W419" s="194">
        <v>1</v>
      </c>
      <c r="X419" s="192" t="s">
        <v>988</v>
      </c>
      <c r="Y419" s="194" t="str">
        <f t="shared" si="469"/>
        <v>Probabilidad</v>
      </c>
      <c r="Z419" s="188" t="s">
        <v>211</v>
      </c>
      <c r="AA419" s="188" t="s">
        <v>219</v>
      </c>
      <c r="AB419" s="185" t="str">
        <f t="shared" si="481"/>
        <v>40%</v>
      </c>
      <c r="AC419" s="188" t="s">
        <v>222</v>
      </c>
      <c r="AD419" s="188" t="s">
        <v>227</v>
      </c>
      <c r="AE419" s="188" t="s">
        <v>231</v>
      </c>
      <c r="AF419" s="602">
        <f t="shared" ref="AF419" si="558">IFERROR(IF(Y419="Probabilidad",(Q419-(+Q419*AB419)),IF(Y419="Impacto",Q419,"")),"")</f>
        <v>0.36</v>
      </c>
      <c r="AG419" s="186" t="str">
        <f t="shared" si="470"/>
        <v>Baja</v>
      </c>
      <c r="AH419" s="185">
        <f t="shared" si="471"/>
        <v>0.36</v>
      </c>
      <c r="AI419" s="186" t="str">
        <f t="shared" ca="1" si="472"/>
        <v>Moderado</v>
      </c>
      <c r="AJ419" s="185">
        <f t="shared" ref="AJ419" ca="1" si="559">IFERROR(IF(Y419="Impacto",(U419-(+U419*AB419)),IF(Y419="Probabilidad",U419,"")),"")</f>
        <v>0.6</v>
      </c>
      <c r="AK419" s="187" t="str">
        <f t="shared" ca="1" si="473"/>
        <v>Moderado</v>
      </c>
      <c r="AL419" s="603" t="s">
        <v>258</v>
      </c>
      <c r="AM419" s="189"/>
      <c r="AN419" s="194"/>
      <c r="AO419" s="190"/>
      <c r="AP419" s="190"/>
      <c r="AQ419" s="191"/>
      <c r="AR419" s="194"/>
    </row>
    <row r="420" spans="1:44" s="605" customFormat="1" ht="184.5" customHeight="1" x14ac:dyDescent="0.25">
      <c r="A420" s="252"/>
      <c r="B420" s="264"/>
      <c r="C420" s="266"/>
      <c r="D420" s="264"/>
      <c r="E420" s="505"/>
      <c r="F420" s="506"/>
      <c r="G420" s="506"/>
      <c r="H420" s="507"/>
      <c r="I420" s="249"/>
      <c r="J420" s="249"/>
      <c r="K420" s="249"/>
      <c r="L420" s="249"/>
      <c r="M420" s="253"/>
      <c r="N420" s="251"/>
      <c r="O420" s="256"/>
      <c r="P420" s="610"/>
      <c r="Q420" s="611"/>
      <c r="R420" s="611"/>
      <c r="S420" s="611">
        <f ca="1">IF(NOT(ISERROR(MATCH(R420,_xlfn.ANCHORARRAY(H431),0))),Q433&amp;"Por favor no seleccionar los criterios de impacto",R420)</f>
        <v>0</v>
      </c>
      <c r="T420" s="610"/>
      <c r="U420" s="611"/>
      <c r="V420" s="252"/>
      <c r="W420" s="194">
        <v>2</v>
      </c>
      <c r="X420" s="192" t="s">
        <v>989</v>
      </c>
      <c r="Y420" s="194" t="str">
        <f t="shared" si="469"/>
        <v>Probabilidad</v>
      </c>
      <c r="Z420" s="188" t="s">
        <v>211</v>
      </c>
      <c r="AA420" s="188" t="s">
        <v>219</v>
      </c>
      <c r="AB420" s="185" t="str">
        <f t="shared" si="481"/>
        <v>40%</v>
      </c>
      <c r="AC420" s="188" t="s">
        <v>222</v>
      </c>
      <c r="AD420" s="188" t="s">
        <v>227</v>
      </c>
      <c r="AE420" s="188" t="s">
        <v>231</v>
      </c>
      <c r="AF420" s="602">
        <f t="shared" ref="AF420:AF424" si="560">IFERROR(IF(AND(Y419="Probabilidad",Y420="Probabilidad"),(AH419-(+AH419*AB420)),IF(Y420="Probabilidad",(Q419-(+Q419*AB420)),IF(Y420="Impacto",AH419,""))),"")</f>
        <v>0.216</v>
      </c>
      <c r="AG420" s="186" t="str">
        <f t="shared" si="470"/>
        <v>Baja</v>
      </c>
      <c r="AH420" s="185">
        <f t="shared" si="471"/>
        <v>0.216</v>
      </c>
      <c r="AI420" s="186" t="str">
        <f t="shared" ca="1" si="472"/>
        <v>Moderado</v>
      </c>
      <c r="AJ420" s="185">
        <f t="shared" ref="AJ420" ca="1" si="561">IFERROR(IF(AND(Y419="Impacto",Y420="Impacto"),(AJ419-(+AJ419*AB420)),IF(Y420="Impacto",(U419-(+U419*AB420)),IF(Y420="Probabilidad",AJ419,""))),"")</f>
        <v>0.6</v>
      </c>
      <c r="AK420" s="187" t="str">
        <f t="shared" ca="1" si="473"/>
        <v>Moderado</v>
      </c>
      <c r="AL420" s="603" t="s">
        <v>258</v>
      </c>
      <c r="AM420" s="189"/>
      <c r="AN420" s="194"/>
      <c r="AO420" s="190"/>
      <c r="AP420" s="190"/>
      <c r="AQ420" s="191"/>
      <c r="AR420" s="194"/>
    </row>
    <row r="421" spans="1:44" s="605" customFormat="1" ht="69" hidden="1" customHeight="1" x14ac:dyDescent="0.25">
      <c r="A421" s="252"/>
      <c r="B421" s="264"/>
      <c r="C421" s="266"/>
      <c r="D421" s="264"/>
      <c r="E421" s="505"/>
      <c r="F421" s="506"/>
      <c r="G421" s="506"/>
      <c r="H421" s="507"/>
      <c r="I421" s="249"/>
      <c r="J421" s="249"/>
      <c r="K421" s="249"/>
      <c r="L421" s="249"/>
      <c r="M421" s="253"/>
      <c r="N421" s="251"/>
      <c r="O421" s="256"/>
      <c r="P421" s="610"/>
      <c r="Q421" s="611"/>
      <c r="R421" s="611"/>
      <c r="S421" s="611">
        <f ca="1">IF(NOT(ISERROR(MATCH(R421,_xlfn.ANCHORARRAY(H432),0))),Q434&amp;"Por favor no seleccionar los criterios de impacto",R421)</f>
        <v>0</v>
      </c>
      <c r="T421" s="610"/>
      <c r="U421" s="611"/>
      <c r="V421" s="252"/>
      <c r="W421" s="194">
        <v>3</v>
      </c>
      <c r="X421" s="192"/>
      <c r="Y421" s="194" t="str">
        <f t="shared" si="469"/>
        <v/>
      </c>
      <c r="Z421" s="188"/>
      <c r="AA421" s="188"/>
      <c r="AB421" s="185" t="str">
        <f t="shared" si="481"/>
        <v/>
      </c>
      <c r="AC421" s="188"/>
      <c r="AD421" s="188"/>
      <c r="AE421" s="188"/>
      <c r="AF421" s="602" t="str">
        <f t="shared" si="560"/>
        <v/>
      </c>
      <c r="AG421" s="186" t="str">
        <f t="shared" si="470"/>
        <v/>
      </c>
      <c r="AH421" s="185" t="str">
        <f t="shared" si="471"/>
        <v/>
      </c>
      <c r="AI421" s="186" t="str">
        <f t="shared" si="472"/>
        <v/>
      </c>
      <c r="AJ421" s="185" t="str">
        <f t="shared" ref="AJ421:AJ424" si="562">IFERROR(IF(AND(Y420="Impacto",Y421="Impacto"),(AJ420-(+AJ420*AB421)),IF(AND(Y420="Probabilidad",Y421="Impacto"),(AJ419-(+AJ419*AB421)),IF(Y421="Probabilidad",AJ420,""))),"")</f>
        <v/>
      </c>
      <c r="AK421" s="187" t="str">
        <f t="shared" si="473"/>
        <v/>
      </c>
      <c r="AL421" s="603"/>
      <c r="AM421" s="189"/>
      <c r="AN421" s="194"/>
      <c r="AO421" s="190"/>
      <c r="AP421" s="190"/>
      <c r="AQ421" s="191"/>
      <c r="AR421" s="194"/>
    </row>
    <row r="422" spans="1:44" s="605" customFormat="1" ht="69" hidden="1" customHeight="1" x14ac:dyDescent="0.25">
      <c r="A422" s="252"/>
      <c r="B422" s="264"/>
      <c r="C422" s="266"/>
      <c r="D422" s="264"/>
      <c r="E422" s="505"/>
      <c r="F422" s="506"/>
      <c r="G422" s="506"/>
      <c r="H422" s="507"/>
      <c r="I422" s="249"/>
      <c r="J422" s="249"/>
      <c r="K422" s="249"/>
      <c r="L422" s="249"/>
      <c r="M422" s="253"/>
      <c r="N422" s="251"/>
      <c r="O422" s="256"/>
      <c r="P422" s="610"/>
      <c r="Q422" s="611"/>
      <c r="R422" s="611"/>
      <c r="S422" s="611">
        <f ca="1">IF(NOT(ISERROR(MATCH(R422,_xlfn.ANCHORARRAY(H433),0))),Q435&amp;"Por favor no seleccionar los criterios de impacto",R422)</f>
        <v>0</v>
      </c>
      <c r="T422" s="610"/>
      <c r="U422" s="611"/>
      <c r="V422" s="252"/>
      <c r="W422" s="194">
        <v>4</v>
      </c>
      <c r="X422" s="192"/>
      <c r="Y422" s="194" t="str">
        <f t="shared" ref="Y422:Y485" si="563">IF(OR(Z422="Preventivo",Z422="Detectivo"),"Probabilidad",IF(Z422="Correctivo","Impacto",""))</f>
        <v/>
      </c>
      <c r="Z422" s="188"/>
      <c r="AA422" s="188"/>
      <c r="AB422" s="185" t="str">
        <f t="shared" si="481"/>
        <v/>
      </c>
      <c r="AC422" s="188"/>
      <c r="AD422" s="188"/>
      <c r="AE422" s="188"/>
      <c r="AF422" s="602" t="str">
        <f t="shared" si="560"/>
        <v/>
      </c>
      <c r="AG422" s="186" t="str">
        <f t="shared" ref="AG422:AG485" si="564">IFERROR(IF(AF422="","",IF(AF422&lt;=0.2,"Muy Baja",IF(AF422&lt;=0.4,"Baja",IF(AF422&lt;=0.6,"Media",IF(AF422&lt;=0.8,"Alta","Muy Alta"))))),"")</f>
        <v/>
      </c>
      <c r="AH422" s="185" t="str">
        <f t="shared" ref="AH422:AH485" si="565">+AF422</f>
        <v/>
      </c>
      <c r="AI422" s="186" t="str">
        <f t="shared" ref="AI422:AI485" si="566">IFERROR(IF(AJ422="","",IF(AJ422&lt;=0.2,"Leve",IF(AJ422&lt;=0.4,"Menor",IF(AJ422&lt;=0.6,"Moderado",IF(AJ422&lt;=0.8,"Mayor","Catastrófico"))))),"")</f>
        <v/>
      </c>
      <c r="AJ422" s="185" t="str">
        <f t="shared" si="562"/>
        <v/>
      </c>
      <c r="AK422" s="187" t="str">
        <f t="shared" ref="AK422:AK485" si="567">IFERROR(IF(OR(AND(AG422="Muy Baja",AI422="Leve"),AND(AG422="Muy Baja",AI422="Menor"),AND(AG422="Baja",AI422="Leve")),"Bajo",IF(OR(AND(AG422="Muy baja",AI422="Moderado"),AND(AG422="Baja",AI422="Menor"),AND(AG422="Baja",AI422="Moderado"),AND(AG422="Media",AI422="Leve"),AND(AG422="Media",AI422="Menor"),AND(AG422="Media",AI422="Moderado"),AND(AG422="Alta",AI422="Leve"),AND(AG422="Alta",AI422="Menor")),"Moderado",IF(OR(AND(AG422="Muy Baja",AI422="Mayor"),AND(AG422="Baja",AI422="Mayor"),AND(AG422="Media",AI422="Mayor"),AND(AG422="Alta",AI422="Moderado"),AND(AG422="Alta",AI422="Mayor"),AND(AG422="Muy Alta",AI422="Leve"),AND(AG422="Muy Alta",AI422="Menor"),AND(AG422="Muy Alta",AI422="Moderado"),AND(AG422="Muy Alta",AI422="Mayor")),"Alto",IF(OR(AND(AG422="Muy Baja",AI422="Catastrófico"),AND(AG422="Baja",AI422="Catastrófico"),AND(AG422="Media",AI422="Catastrófico"),AND(AG422="Alta",AI422="Catastrófico"),AND(AG422="Muy Alta",AI422="Catastrófico")),"Extremo","")))),"")</f>
        <v/>
      </c>
      <c r="AL422" s="603"/>
      <c r="AM422" s="189"/>
      <c r="AN422" s="194"/>
      <c r="AO422" s="190"/>
      <c r="AP422" s="190"/>
      <c r="AQ422" s="191"/>
      <c r="AR422" s="194"/>
    </row>
    <row r="423" spans="1:44" s="605" customFormat="1" ht="69" hidden="1" customHeight="1" x14ac:dyDescent="0.25">
      <c r="A423" s="252"/>
      <c r="B423" s="264"/>
      <c r="C423" s="266"/>
      <c r="D423" s="264"/>
      <c r="E423" s="505"/>
      <c r="F423" s="506"/>
      <c r="G423" s="506"/>
      <c r="H423" s="507"/>
      <c r="I423" s="249"/>
      <c r="J423" s="249"/>
      <c r="K423" s="249"/>
      <c r="L423" s="249"/>
      <c r="M423" s="253"/>
      <c r="N423" s="251"/>
      <c r="O423" s="256"/>
      <c r="P423" s="610"/>
      <c r="Q423" s="611"/>
      <c r="R423" s="611"/>
      <c r="S423" s="611">
        <f ca="1">IF(NOT(ISERROR(MATCH(R423,_xlfn.ANCHORARRAY(H434),0))),Q436&amp;"Por favor no seleccionar los criterios de impacto",R423)</f>
        <v>0</v>
      </c>
      <c r="T423" s="610"/>
      <c r="U423" s="611"/>
      <c r="V423" s="252"/>
      <c r="W423" s="194">
        <v>5</v>
      </c>
      <c r="X423" s="192"/>
      <c r="Y423" s="194" t="str">
        <f t="shared" si="563"/>
        <v/>
      </c>
      <c r="Z423" s="188"/>
      <c r="AA423" s="188"/>
      <c r="AB423" s="185" t="str">
        <f t="shared" ref="AB423:AB486" si="568">IF(AND(Z423="Preventivo",AA423="Automático"),"50%",IF(AND(Z423="Preventivo",AA423="Manual"),"40%",IF(AND(Z423="Detectivo",AA423="Automático"),"40%",IF(AND(Z423="Detectivo",AA423="Manual"),"30%",IF(AND(Z423="Correctivo",AA423="Automático"),"35%",IF(AND(Z423="Correctivo",AA423="Manual"),"25%",""))))))</f>
        <v/>
      </c>
      <c r="AC423" s="188"/>
      <c r="AD423" s="188"/>
      <c r="AE423" s="188"/>
      <c r="AF423" s="602" t="str">
        <f t="shared" si="560"/>
        <v/>
      </c>
      <c r="AG423" s="186" t="str">
        <f t="shared" si="564"/>
        <v/>
      </c>
      <c r="AH423" s="185" t="str">
        <f t="shared" si="565"/>
        <v/>
      </c>
      <c r="AI423" s="186" t="str">
        <f t="shared" si="566"/>
        <v/>
      </c>
      <c r="AJ423" s="185" t="str">
        <f t="shared" si="562"/>
        <v/>
      </c>
      <c r="AK423" s="187" t="str">
        <f t="shared" si="567"/>
        <v/>
      </c>
      <c r="AL423" s="603"/>
      <c r="AM423" s="189"/>
      <c r="AN423" s="194"/>
      <c r="AO423" s="190"/>
      <c r="AP423" s="190"/>
      <c r="AQ423" s="191"/>
      <c r="AR423" s="194"/>
    </row>
    <row r="424" spans="1:44" s="605" customFormat="1" ht="69" hidden="1" customHeight="1" x14ac:dyDescent="0.25">
      <c r="A424" s="252"/>
      <c r="B424" s="265"/>
      <c r="C424" s="267"/>
      <c r="D424" s="265"/>
      <c r="E424" s="505"/>
      <c r="F424" s="506"/>
      <c r="G424" s="506"/>
      <c r="H424" s="507"/>
      <c r="I424" s="250"/>
      <c r="J424" s="250"/>
      <c r="K424" s="250"/>
      <c r="L424" s="250"/>
      <c r="M424" s="253"/>
      <c r="N424" s="239"/>
      <c r="O424" s="256"/>
      <c r="P424" s="610"/>
      <c r="Q424" s="611"/>
      <c r="R424" s="611"/>
      <c r="S424" s="611">
        <f ca="1">IF(NOT(ISERROR(MATCH(R424,_xlfn.ANCHORARRAY(H435),0))),Q437&amp;"Por favor no seleccionar los criterios de impacto",R424)</f>
        <v>0</v>
      </c>
      <c r="T424" s="610"/>
      <c r="U424" s="611"/>
      <c r="V424" s="252"/>
      <c r="W424" s="194">
        <v>6</v>
      </c>
      <c r="X424" s="192"/>
      <c r="Y424" s="194" t="str">
        <f t="shared" si="563"/>
        <v/>
      </c>
      <c r="Z424" s="188"/>
      <c r="AA424" s="188"/>
      <c r="AB424" s="185" t="str">
        <f t="shared" si="568"/>
        <v/>
      </c>
      <c r="AC424" s="188"/>
      <c r="AD424" s="188"/>
      <c r="AE424" s="188"/>
      <c r="AF424" s="602" t="str">
        <f t="shared" si="560"/>
        <v/>
      </c>
      <c r="AG424" s="186" t="str">
        <f t="shared" si="564"/>
        <v/>
      </c>
      <c r="AH424" s="185" t="str">
        <f t="shared" si="565"/>
        <v/>
      </c>
      <c r="AI424" s="186" t="str">
        <f t="shared" si="566"/>
        <v/>
      </c>
      <c r="AJ424" s="185" t="str">
        <f t="shared" si="562"/>
        <v/>
      </c>
      <c r="AK424" s="187" t="str">
        <f t="shared" si="567"/>
        <v/>
      </c>
      <c r="AL424" s="603"/>
      <c r="AM424" s="189"/>
      <c r="AN424" s="194"/>
      <c r="AO424" s="190"/>
      <c r="AP424" s="190"/>
      <c r="AQ424" s="191"/>
      <c r="AR424" s="194"/>
    </row>
    <row r="425" spans="1:44" s="605" customFormat="1" ht="120.75" customHeight="1" x14ac:dyDescent="0.25">
      <c r="A425" s="252">
        <v>69</v>
      </c>
      <c r="B425" s="245" t="s">
        <v>990</v>
      </c>
      <c r="C425" s="238" t="s">
        <v>280</v>
      </c>
      <c r="D425" s="268" t="s">
        <v>991</v>
      </c>
      <c r="E425" s="253" t="s">
        <v>243</v>
      </c>
      <c r="F425" s="254" t="s">
        <v>992</v>
      </c>
      <c r="G425" s="254" t="s">
        <v>993</v>
      </c>
      <c r="H425" s="255" t="s">
        <v>994</v>
      </c>
      <c r="I425" s="248" t="s">
        <v>480</v>
      </c>
      <c r="J425" s="248" t="s">
        <v>480</v>
      </c>
      <c r="K425" s="248" t="s">
        <v>480</v>
      </c>
      <c r="L425" s="248" t="s">
        <v>480</v>
      </c>
      <c r="M425" s="253" t="s">
        <v>469</v>
      </c>
      <c r="N425" s="238"/>
      <c r="O425" s="256">
        <v>52</v>
      </c>
      <c r="P425" s="610" t="str">
        <f t="shared" si="526"/>
        <v>Media</v>
      </c>
      <c r="Q425" s="611">
        <f t="shared" si="527"/>
        <v>0.6</v>
      </c>
      <c r="R425" s="611" t="s">
        <v>195</v>
      </c>
      <c r="S425" s="611" t="str">
        <f ca="1">IF(NOT(ISERROR(MATCH(R425,'Tabla Impacto'!$B$221:$B$223,0))),'Tabla Impacto'!$F$223&amp;"Por favor no seleccionar los criterios de impacto(Afectación Económica o presupuestal y Pérdida Reputacional)",R425)</f>
        <v xml:space="preserve">Entre 100 y 500 SMLMV </v>
      </c>
      <c r="T425" s="610" t="str">
        <f ca="1">+IF(OR(S425='[1]Tabla Impacto'!$C$11,S425='[1]Tabla Impacto'!$D$11),"Leve",IF(OR(S425='[1]Tabla Impacto'!$C$12,S425='[1]Tabla Impacto'!$D$12),"Menor",IF(OR(S425='[1]Tabla Impacto'!$C$13,S425='[1]Tabla Impacto'!$D$13),"Moderado",IF(OR(S425='[1]Tabla Impacto'!$C$14,S425='[1]Tabla Impacto'!$D$14),"Mayor",IF(OR(S425='[1]Tabla Impacto'!$C$15,S425='[1]Tabla Impacto'!$D$15),"Catastrófico","")))))</f>
        <v>Mayor</v>
      </c>
      <c r="U425" s="611">
        <f t="shared" ref="U425" ca="1" si="569">IF(T425="","",IF(T425="Leve",0.2,IF(T425="Menor",0.4,IF(T425="Moderado",0.6,IF(T425="Mayor",0.8,IF(T425="Catastrófico",1,))))))</f>
        <v>0.8</v>
      </c>
      <c r="V425" s="252" t="str">
        <f t="shared" ref="V425" ca="1" si="570">IF(OR(AND(P425="Muy Baja",T425="Leve"),AND(P425="Muy Baja",T425="Menor"),AND(P425="Baja",T425="Leve")),"Bajo",IF(OR(AND(P425="Muy baja",T425="Moderado"),AND(P425="Baja",T425="Menor"),AND(P425="Baja",T425="Moderado"),AND(P425="Media",T425="Leve"),AND(P425="Media",T425="Menor"),AND(P425="Media",T425="Moderado"),AND(P425="Alta",T425="Leve"),AND(P425="Alta",T425="Menor")),"Moderado",IF(OR(AND(P425="Muy Baja",T425="Mayor"),AND(P425="Baja",T425="Mayor"),AND(P425="Media",T425="Mayor"),AND(P425="Alta",T425="Moderado"),AND(P425="Alta",T425="Mayor"),AND(P425="Muy Alta",T425="Leve"),AND(P425="Muy Alta",T425="Menor"),AND(P425="Muy Alta",T425="Moderado"),AND(P425="Muy Alta",T425="Mayor")),"Alto",IF(OR(AND(P425="Muy Baja",T425="Catastrófico"),AND(P425="Baja",T425="Catastrófico"),AND(P425="Media",T425="Catastrófico"),AND(P425="Alta",T425="Catastrófico"),AND(P425="Muy Alta",T425="Catastrófico")),"Extremo",""))))</f>
        <v>Alto</v>
      </c>
      <c r="W425" s="194">
        <v>1</v>
      </c>
      <c r="X425" s="192" t="s">
        <v>995</v>
      </c>
      <c r="Y425" s="194" t="str">
        <f t="shared" si="563"/>
        <v>Probabilidad</v>
      </c>
      <c r="Z425" s="188" t="s">
        <v>211</v>
      </c>
      <c r="AA425" s="188" t="s">
        <v>219</v>
      </c>
      <c r="AB425" s="185" t="str">
        <f t="shared" si="568"/>
        <v>40%</v>
      </c>
      <c r="AC425" s="188" t="s">
        <v>222</v>
      </c>
      <c r="AD425" s="188" t="s">
        <v>227</v>
      </c>
      <c r="AE425" s="188" t="s">
        <v>231</v>
      </c>
      <c r="AF425" s="602">
        <f t="shared" ref="AF425" si="571">IFERROR(IF(Y425="Probabilidad",(Q425-(+Q425*AB425)),IF(Y425="Impacto",Q425,"")),"")</f>
        <v>0.36</v>
      </c>
      <c r="AG425" s="186" t="str">
        <f t="shared" si="564"/>
        <v>Baja</v>
      </c>
      <c r="AH425" s="185">
        <f t="shared" si="565"/>
        <v>0.36</v>
      </c>
      <c r="AI425" s="186" t="str">
        <f t="shared" ca="1" si="566"/>
        <v>Mayor</v>
      </c>
      <c r="AJ425" s="185">
        <f t="shared" ref="AJ425" ca="1" si="572">IFERROR(IF(Y425="Impacto",(U425-(+U425*AB425)),IF(Y425="Probabilidad",U425,"")),"")</f>
        <v>0.8</v>
      </c>
      <c r="AK425" s="187" t="str">
        <f t="shared" ca="1" si="567"/>
        <v>Alto</v>
      </c>
      <c r="AL425" s="603" t="s">
        <v>265</v>
      </c>
      <c r="AM425" s="617" t="s">
        <v>999</v>
      </c>
      <c r="AN425" s="238" t="s">
        <v>1000</v>
      </c>
      <c r="AO425" s="240">
        <v>45292</v>
      </c>
      <c r="AP425" s="618" t="s">
        <v>576</v>
      </c>
      <c r="AQ425" s="238" t="s">
        <v>1001</v>
      </c>
      <c r="AR425" s="245" t="s">
        <v>262</v>
      </c>
    </row>
    <row r="426" spans="1:44" s="605" customFormat="1" ht="135.75" customHeight="1" x14ac:dyDescent="0.25">
      <c r="A426" s="252"/>
      <c r="B426" s="246"/>
      <c r="C426" s="251"/>
      <c r="D426" s="264"/>
      <c r="E426" s="253"/>
      <c r="F426" s="254"/>
      <c r="G426" s="254"/>
      <c r="H426" s="255"/>
      <c r="I426" s="249"/>
      <c r="J426" s="249"/>
      <c r="K426" s="249"/>
      <c r="L426" s="249"/>
      <c r="M426" s="253"/>
      <c r="N426" s="251"/>
      <c r="O426" s="256"/>
      <c r="P426" s="610"/>
      <c r="Q426" s="611"/>
      <c r="R426" s="611"/>
      <c r="S426" s="611">
        <f ca="1">IF(NOT(ISERROR(MATCH(R426,_xlfn.ANCHORARRAY(H437),0))),Q439&amp;"Por favor no seleccionar los criterios de impacto",R426)</f>
        <v>0</v>
      </c>
      <c r="T426" s="610"/>
      <c r="U426" s="611"/>
      <c r="V426" s="252"/>
      <c r="W426" s="194">
        <v>2</v>
      </c>
      <c r="X426" s="192" t="s">
        <v>996</v>
      </c>
      <c r="Y426" s="194" t="str">
        <f t="shared" si="563"/>
        <v>Probabilidad</v>
      </c>
      <c r="Z426" s="188" t="s">
        <v>211</v>
      </c>
      <c r="AA426" s="188" t="s">
        <v>219</v>
      </c>
      <c r="AB426" s="185" t="str">
        <f t="shared" si="568"/>
        <v>40%</v>
      </c>
      <c r="AC426" s="188" t="s">
        <v>222</v>
      </c>
      <c r="AD426" s="188" t="s">
        <v>227</v>
      </c>
      <c r="AE426" s="188" t="s">
        <v>231</v>
      </c>
      <c r="AF426" s="602">
        <f t="shared" ref="AF426:AF430" si="573">IFERROR(IF(AND(Y425="Probabilidad",Y426="Probabilidad"),(AH425-(+AH425*AB426)),IF(Y426="Probabilidad",(Q425-(+Q425*AB426)),IF(Y426="Impacto",AH425,""))),"")</f>
        <v>0.216</v>
      </c>
      <c r="AG426" s="186" t="str">
        <f t="shared" si="564"/>
        <v>Baja</v>
      </c>
      <c r="AH426" s="185">
        <f t="shared" si="565"/>
        <v>0.216</v>
      </c>
      <c r="AI426" s="186" t="str">
        <f t="shared" ca="1" si="566"/>
        <v>Mayor</v>
      </c>
      <c r="AJ426" s="185">
        <f t="shared" ref="AJ426" ca="1" si="574">IFERROR(IF(AND(Y425="Impacto",Y426="Impacto"),(AJ425-(+AJ425*AB426)),IF(Y426="Impacto",(U425-(+U425*AB426)),IF(Y426="Probabilidad",AJ425,""))),"")</f>
        <v>0.8</v>
      </c>
      <c r="AK426" s="187" t="str">
        <f t="shared" ca="1" si="567"/>
        <v>Alto</v>
      </c>
      <c r="AL426" s="603" t="s">
        <v>265</v>
      </c>
      <c r="AM426" s="619"/>
      <c r="AN426" s="251"/>
      <c r="AO426" s="279"/>
      <c r="AP426" s="620"/>
      <c r="AQ426" s="251"/>
      <c r="AR426" s="246"/>
    </row>
    <row r="427" spans="1:44" s="605" customFormat="1" ht="118.5" customHeight="1" x14ac:dyDescent="0.25">
      <c r="A427" s="252"/>
      <c r="B427" s="246"/>
      <c r="C427" s="251"/>
      <c r="D427" s="264"/>
      <c r="E427" s="253"/>
      <c r="F427" s="254"/>
      <c r="G427" s="254"/>
      <c r="H427" s="255"/>
      <c r="I427" s="249"/>
      <c r="J427" s="249"/>
      <c r="K427" s="249"/>
      <c r="L427" s="249"/>
      <c r="M427" s="253"/>
      <c r="N427" s="251"/>
      <c r="O427" s="256"/>
      <c r="P427" s="610"/>
      <c r="Q427" s="611"/>
      <c r="R427" s="611"/>
      <c r="S427" s="611">
        <f ca="1">IF(NOT(ISERROR(MATCH(R427,_xlfn.ANCHORARRAY(H438),0))),Q440&amp;"Por favor no seleccionar los criterios de impacto",R427)</f>
        <v>0</v>
      </c>
      <c r="T427" s="610"/>
      <c r="U427" s="611"/>
      <c r="V427" s="252"/>
      <c r="W427" s="194">
        <v>3</v>
      </c>
      <c r="X427" s="192" t="s">
        <v>997</v>
      </c>
      <c r="Y427" s="194" t="str">
        <f t="shared" si="563"/>
        <v>Probabilidad</v>
      </c>
      <c r="Z427" s="188" t="s">
        <v>211</v>
      </c>
      <c r="AA427" s="188" t="s">
        <v>219</v>
      </c>
      <c r="AB427" s="185" t="str">
        <f t="shared" si="568"/>
        <v>40%</v>
      </c>
      <c r="AC427" s="188" t="s">
        <v>222</v>
      </c>
      <c r="AD427" s="188" t="s">
        <v>227</v>
      </c>
      <c r="AE427" s="188" t="s">
        <v>231</v>
      </c>
      <c r="AF427" s="602">
        <f t="shared" si="573"/>
        <v>0.12959999999999999</v>
      </c>
      <c r="AG427" s="186" t="str">
        <f t="shared" si="564"/>
        <v>Muy Baja</v>
      </c>
      <c r="AH427" s="185">
        <f t="shared" si="565"/>
        <v>0.12959999999999999</v>
      </c>
      <c r="AI427" s="186" t="str">
        <f t="shared" ca="1" si="566"/>
        <v>Mayor</v>
      </c>
      <c r="AJ427" s="185">
        <f t="shared" ref="AJ427:AJ430" ca="1" si="575">IFERROR(IF(AND(Y426="Impacto",Y427="Impacto"),(AJ426-(+AJ426*AB427)),IF(AND(Y426="Probabilidad",Y427="Impacto"),(AJ425-(+AJ425*AB427)),IF(Y427="Probabilidad",AJ426,""))),"")</f>
        <v>0.8</v>
      </c>
      <c r="AK427" s="187" t="str">
        <f t="shared" ca="1" si="567"/>
        <v>Alto</v>
      </c>
      <c r="AL427" s="603" t="s">
        <v>265</v>
      </c>
      <c r="AM427" s="619"/>
      <c r="AN427" s="251"/>
      <c r="AO427" s="279"/>
      <c r="AP427" s="620"/>
      <c r="AQ427" s="251"/>
      <c r="AR427" s="246"/>
    </row>
    <row r="428" spans="1:44" s="605" customFormat="1" ht="106.5" x14ac:dyDescent="0.25">
      <c r="A428" s="252"/>
      <c r="B428" s="246"/>
      <c r="C428" s="251"/>
      <c r="D428" s="264"/>
      <c r="E428" s="253"/>
      <c r="F428" s="254"/>
      <c r="G428" s="254"/>
      <c r="H428" s="255"/>
      <c r="I428" s="249"/>
      <c r="J428" s="249"/>
      <c r="K428" s="249"/>
      <c r="L428" s="249"/>
      <c r="M428" s="253"/>
      <c r="N428" s="251"/>
      <c r="O428" s="256"/>
      <c r="P428" s="610"/>
      <c r="Q428" s="611"/>
      <c r="R428" s="611"/>
      <c r="S428" s="611">
        <f ca="1">IF(NOT(ISERROR(MATCH(R428,_xlfn.ANCHORARRAY(H439),0))),Q441&amp;"Por favor no seleccionar los criterios de impacto",R428)</f>
        <v>0</v>
      </c>
      <c r="T428" s="610"/>
      <c r="U428" s="611"/>
      <c r="V428" s="252"/>
      <c r="W428" s="194">
        <v>4</v>
      </c>
      <c r="X428" s="193" t="s">
        <v>998</v>
      </c>
      <c r="Y428" s="194" t="str">
        <f t="shared" si="563"/>
        <v>Probabilidad</v>
      </c>
      <c r="Z428" s="188" t="s">
        <v>211</v>
      </c>
      <c r="AA428" s="188" t="s">
        <v>219</v>
      </c>
      <c r="AB428" s="185" t="str">
        <f t="shared" si="568"/>
        <v>40%</v>
      </c>
      <c r="AC428" s="188" t="s">
        <v>222</v>
      </c>
      <c r="AD428" s="188" t="s">
        <v>227</v>
      </c>
      <c r="AE428" s="188" t="s">
        <v>231</v>
      </c>
      <c r="AF428" s="602">
        <f t="shared" si="573"/>
        <v>7.7759999999999996E-2</v>
      </c>
      <c r="AG428" s="186" t="str">
        <f t="shared" si="564"/>
        <v>Muy Baja</v>
      </c>
      <c r="AH428" s="185">
        <f t="shared" si="565"/>
        <v>7.7759999999999996E-2</v>
      </c>
      <c r="AI428" s="186" t="str">
        <f t="shared" ca="1" si="566"/>
        <v>Mayor</v>
      </c>
      <c r="AJ428" s="185">
        <f t="shared" ca="1" si="575"/>
        <v>0.8</v>
      </c>
      <c r="AK428" s="187" t="str">
        <f t="shared" ca="1" si="567"/>
        <v>Alto</v>
      </c>
      <c r="AL428" s="603" t="s">
        <v>265</v>
      </c>
      <c r="AM428" s="621"/>
      <c r="AN428" s="239"/>
      <c r="AO428" s="241"/>
      <c r="AP428" s="622"/>
      <c r="AQ428" s="239"/>
      <c r="AR428" s="247"/>
    </row>
    <row r="429" spans="1:44" s="605" customFormat="1" ht="69" hidden="1" customHeight="1" x14ac:dyDescent="0.25">
      <c r="A429" s="252"/>
      <c r="B429" s="246"/>
      <c r="C429" s="251"/>
      <c r="D429" s="264"/>
      <c r="E429" s="253"/>
      <c r="F429" s="254"/>
      <c r="G429" s="254"/>
      <c r="H429" s="255"/>
      <c r="I429" s="249"/>
      <c r="J429" s="249"/>
      <c r="K429" s="249"/>
      <c r="L429" s="249"/>
      <c r="M429" s="253"/>
      <c r="N429" s="251"/>
      <c r="O429" s="256"/>
      <c r="P429" s="610"/>
      <c r="Q429" s="611"/>
      <c r="R429" s="611"/>
      <c r="S429" s="611">
        <f ca="1">IF(NOT(ISERROR(MATCH(R429,_xlfn.ANCHORARRAY(H440),0))),Q442&amp;"Por favor no seleccionar los criterios de impacto",R429)</f>
        <v>0</v>
      </c>
      <c r="T429" s="610"/>
      <c r="U429" s="611"/>
      <c r="V429" s="252"/>
      <c r="W429" s="194">
        <v>5</v>
      </c>
      <c r="X429" s="192"/>
      <c r="Y429" s="194" t="str">
        <f t="shared" si="563"/>
        <v/>
      </c>
      <c r="Z429" s="188"/>
      <c r="AA429" s="188"/>
      <c r="AB429" s="185" t="str">
        <f t="shared" si="568"/>
        <v/>
      </c>
      <c r="AC429" s="188"/>
      <c r="AD429" s="188"/>
      <c r="AE429" s="188"/>
      <c r="AF429" s="602" t="str">
        <f t="shared" si="573"/>
        <v/>
      </c>
      <c r="AG429" s="186" t="str">
        <f t="shared" si="564"/>
        <v/>
      </c>
      <c r="AH429" s="185" t="str">
        <f t="shared" si="565"/>
        <v/>
      </c>
      <c r="AI429" s="186" t="str">
        <f t="shared" si="566"/>
        <v/>
      </c>
      <c r="AJ429" s="185" t="str">
        <f t="shared" si="575"/>
        <v/>
      </c>
      <c r="AK429" s="187" t="str">
        <f t="shared" si="567"/>
        <v/>
      </c>
      <c r="AL429" s="603"/>
      <c r="AM429" s="189"/>
      <c r="AN429" s="194"/>
      <c r="AO429" s="190"/>
      <c r="AP429" s="190"/>
      <c r="AQ429" s="191"/>
      <c r="AR429" s="194"/>
    </row>
    <row r="430" spans="1:44" s="605" customFormat="1" ht="69" hidden="1" customHeight="1" x14ac:dyDescent="0.25">
      <c r="A430" s="252"/>
      <c r="B430" s="247"/>
      <c r="C430" s="239"/>
      <c r="D430" s="265"/>
      <c r="E430" s="253"/>
      <c r="F430" s="254"/>
      <c r="G430" s="254"/>
      <c r="H430" s="255"/>
      <c r="I430" s="250"/>
      <c r="J430" s="250"/>
      <c r="K430" s="250"/>
      <c r="L430" s="250"/>
      <c r="M430" s="253"/>
      <c r="N430" s="239"/>
      <c r="O430" s="256"/>
      <c r="P430" s="610"/>
      <c r="Q430" s="611"/>
      <c r="R430" s="611"/>
      <c r="S430" s="611">
        <f ca="1">IF(NOT(ISERROR(MATCH(R430,_xlfn.ANCHORARRAY(H441),0))),Q443&amp;"Por favor no seleccionar los criterios de impacto",R430)</f>
        <v>0</v>
      </c>
      <c r="T430" s="610"/>
      <c r="U430" s="611"/>
      <c r="V430" s="252"/>
      <c r="W430" s="194">
        <v>6</v>
      </c>
      <c r="X430" s="192"/>
      <c r="Y430" s="194" t="str">
        <f t="shared" si="563"/>
        <v/>
      </c>
      <c r="Z430" s="188"/>
      <c r="AA430" s="188"/>
      <c r="AB430" s="185" t="str">
        <f t="shared" si="568"/>
        <v/>
      </c>
      <c r="AC430" s="188"/>
      <c r="AD430" s="188"/>
      <c r="AE430" s="188"/>
      <c r="AF430" s="602" t="str">
        <f t="shared" si="573"/>
        <v/>
      </c>
      <c r="AG430" s="186" t="str">
        <f t="shared" si="564"/>
        <v/>
      </c>
      <c r="AH430" s="185" t="str">
        <f t="shared" si="565"/>
        <v/>
      </c>
      <c r="AI430" s="186" t="str">
        <f t="shared" si="566"/>
        <v/>
      </c>
      <c r="AJ430" s="185" t="str">
        <f t="shared" si="575"/>
        <v/>
      </c>
      <c r="AK430" s="187" t="str">
        <f t="shared" si="567"/>
        <v/>
      </c>
      <c r="AL430" s="603"/>
      <c r="AM430" s="189"/>
      <c r="AN430" s="194"/>
      <c r="AO430" s="190"/>
      <c r="AP430" s="190"/>
      <c r="AQ430" s="191"/>
      <c r="AR430" s="194"/>
    </row>
    <row r="431" spans="1:44" s="605" customFormat="1" ht="137.25" customHeight="1" x14ac:dyDescent="0.25">
      <c r="A431" s="252">
        <v>70</v>
      </c>
      <c r="B431" s="245" t="s">
        <v>1002</v>
      </c>
      <c r="C431" s="238" t="s">
        <v>280</v>
      </c>
      <c r="D431" s="263" t="s">
        <v>1003</v>
      </c>
      <c r="E431" s="253" t="s">
        <v>243</v>
      </c>
      <c r="F431" s="254" t="s">
        <v>1004</v>
      </c>
      <c r="G431" s="254" t="s">
        <v>1005</v>
      </c>
      <c r="H431" s="255" t="s">
        <v>1006</v>
      </c>
      <c r="I431" s="248" t="s">
        <v>480</v>
      </c>
      <c r="J431" s="248" t="s">
        <v>480</v>
      </c>
      <c r="K431" s="248" t="s">
        <v>480</v>
      </c>
      <c r="L431" s="248" t="s">
        <v>480</v>
      </c>
      <c r="M431" s="253" t="s">
        <v>469</v>
      </c>
      <c r="N431" s="238"/>
      <c r="O431" s="256">
        <v>365</v>
      </c>
      <c r="P431" s="610" t="str">
        <f t="shared" si="526"/>
        <v>Media</v>
      </c>
      <c r="Q431" s="611">
        <f t="shared" si="527"/>
        <v>0.6</v>
      </c>
      <c r="R431" s="611" t="s">
        <v>195</v>
      </c>
      <c r="S431" s="611" t="str">
        <f ca="1">IF(NOT(ISERROR(MATCH(R431,'Tabla Impacto'!$B$221:$B$223,0))),'Tabla Impacto'!$F$223&amp;"Por favor no seleccionar los criterios de impacto(Afectación Económica o presupuestal y Pérdida Reputacional)",R431)</f>
        <v xml:space="preserve">Entre 100 y 500 SMLMV </v>
      </c>
      <c r="T431" s="610" t="str">
        <f ca="1">+IF(OR(S431='[1]Tabla Impacto'!$C$11,S431='[1]Tabla Impacto'!$D$11),"Leve",IF(OR(S431='[1]Tabla Impacto'!$C$12,S431='[1]Tabla Impacto'!$D$12),"Menor",IF(OR(S431='[1]Tabla Impacto'!$C$13,S431='[1]Tabla Impacto'!$D$13),"Moderado",IF(OR(S431='[1]Tabla Impacto'!$C$14,S431='[1]Tabla Impacto'!$D$14),"Mayor",IF(OR(S431='[1]Tabla Impacto'!$C$15,S431='[1]Tabla Impacto'!$D$15),"Catastrófico","")))))</f>
        <v>Mayor</v>
      </c>
      <c r="U431" s="611">
        <f t="shared" ref="U431" ca="1" si="576">IF(T431="","",IF(T431="Leve",0.2,IF(T431="Menor",0.4,IF(T431="Moderado",0.6,IF(T431="Mayor",0.8,IF(T431="Catastrófico",1,))))))</f>
        <v>0.8</v>
      </c>
      <c r="V431" s="252" t="str">
        <f t="shared" ref="V431" ca="1" si="577">IF(OR(AND(P431="Muy Baja",T431="Leve"),AND(P431="Muy Baja",T431="Menor"),AND(P431="Baja",T431="Leve")),"Bajo",IF(OR(AND(P431="Muy baja",T431="Moderado"),AND(P431="Baja",T431="Menor"),AND(P431="Baja",T431="Moderado"),AND(P431="Media",T431="Leve"),AND(P431="Media",T431="Menor"),AND(P431="Media",T431="Moderado"),AND(P431="Alta",T431="Leve"),AND(P431="Alta",T431="Menor")),"Moderado",IF(OR(AND(P431="Muy Baja",T431="Mayor"),AND(P431="Baja",T431="Mayor"),AND(P431="Media",T431="Mayor"),AND(P431="Alta",T431="Moderado"),AND(P431="Alta",T431="Mayor"),AND(P431="Muy Alta",T431="Leve"),AND(P431="Muy Alta",T431="Menor"),AND(P431="Muy Alta",T431="Moderado"),AND(P431="Muy Alta",T431="Mayor")),"Alto",IF(OR(AND(P431="Muy Baja",T431="Catastrófico"),AND(P431="Baja",T431="Catastrófico"),AND(P431="Media",T431="Catastrófico"),AND(P431="Alta",T431="Catastrófico"),AND(P431="Muy Alta",T431="Catastrófico")),"Extremo",""))))</f>
        <v>Alto</v>
      </c>
      <c r="W431" s="194">
        <v>1</v>
      </c>
      <c r="X431" s="523" t="s">
        <v>1007</v>
      </c>
      <c r="Y431" s="194" t="str">
        <f t="shared" si="563"/>
        <v>Probabilidad</v>
      </c>
      <c r="Z431" s="188" t="s">
        <v>211</v>
      </c>
      <c r="AA431" s="188" t="s">
        <v>219</v>
      </c>
      <c r="AB431" s="185" t="str">
        <f>IF(AND(Z431="Preventivo",AA431="Automático"),"50%",IF(AND(Z431="Preventivo",AA431="Manual"),"40%",IF(AND(Z431="Detectivo",AA431="Automático"),"40%",IF(AND(Z431="Detectivo",AA431="Manual"),"30%",IF(AND(Z431="Correctivo",AA431="Automático"),"35%",IF(AND(Z431="Correctivo",AA431="Manual"),"25%",""))))))</f>
        <v>40%</v>
      </c>
      <c r="AC431" s="188" t="s">
        <v>222</v>
      </c>
      <c r="AD431" s="188" t="s">
        <v>227</v>
      </c>
      <c r="AE431" s="188" t="s">
        <v>231</v>
      </c>
      <c r="AF431" s="602">
        <f t="shared" ref="AF431" si="578">IFERROR(IF(Y431="Probabilidad",(Q431-(+Q431*AB431)),IF(Y431="Impacto",Q431,"")),"")</f>
        <v>0.36</v>
      </c>
      <c r="AG431" s="186" t="str">
        <f t="shared" si="564"/>
        <v>Baja</v>
      </c>
      <c r="AH431" s="185">
        <f t="shared" si="565"/>
        <v>0.36</v>
      </c>
      <c r="AI431" s="186" t="str">
        <f t="shared" ca="1" si="566"/>
        <v>Mayor</v>
      </c>
      <c r="AJ431" s="185">
        <f t="shared" ref="AJ431" ca="1" si="579">IFERROR(IF(Y431="Impacto",(U431-(+U431*AB431)),IF(Y431="Probabilidad",U431,"")),"")</f>
        <v>0.8</v>
      </c>
      <c r="AK431" s="187" t="str">
        <f t="shared" ca="1" si="567"/>
        <v>Alto</v>
      </c>
      <c r="AL431" s="603" t="s">
        <v>265</v>
      </c>
      <c r="AM431" s="617" t="s">
        <v>1014</v>
      </c>
      <c r="AN431" s="238" t="s">
        <v>1013</v>
      </c>
      <c r="AO431" s="240">
        <v>45292</v>
      </c>
      <c r="AP431" s="618" t="s">
        <v>576</v>
      </c>
      <c r="AQ431" s="238" t="s">
        <v>1001</v>
      </c>
      <c r="AR431" s="245" t="s">
        <v>262</v>
      </c>
    </row>
    <row r="432" spans="1:44" s="605" customFormat="1" ht="144" customHeight="1" x14ac:dyDescent="0.25">
      <c r="A432" s="252"/>
      <c r="B432" s="246"/>
      <c r="C432" s="251"/>
      <c r="D432" s="266"/>
      <c r="E432" s="253"/>
      <c r="F432" s="254"/>
      <c r="G432" s="254"/>
      <c r="H432" s="255"/>
      <c r="I432" s="249"/>
      <c r="J432" s="249"/>
      <c r="K432" s="249"/>
      <c r="L432" s="249"/>
      <c r="M432" s="253"/>
      <c r="N432" s="251"/>
      <c r="O432" s="256"/>
      <c r="P432" s="610"/>
      <c r="Q432" s="611"/>
      <c r="R432" s="611"/>
      <c r="S432" s="611">
        <f ca="1">IF(NOT(ISERROR(MATCH(R432,_xlfn.ANCHORARRAY(H443),0))),Q445&amp;"Por favor no seleccionar los criterios de impacto",R432)</f>
        <v>0</v>
      </c>
      <c r="T432" s="610"/>
      <c r="U432" s="611"/>
      <c r="V432" s="252"/>
      <c r="W432" s="194">
        <v>2</v>
      </c>
      <c r="X432" s="523" t="s">
        <v>1008</v>
      </c>
      <c r="Y432" s="194" t="str">
        <f t="shared" si="563"/>
        <v>Probabilidad</v>
      </c>
      <c r="Z432" s="188" t="s">
        <v>211</v>
      </c>
      <c r="AA432" s="188" t="s">
        <v>219</v>
      </c>
      <c r="AB432" s="185" t="str">
        <f t="shared" ref="AB432:AB439" si="580">IF(AND(Z432="Preventivo",AA432="Automático"),"50%",IF(AND(Z432="Preventivo",AA432="Manual"),"40%",IF(AND(Z432="Detectivo",AA432="Automático"),"40%",IF(AND(Z432="Detectivo",AA432="Manual"),"30%",IF(AND(Z432="Correctivo",AA432="Automático"),"35%",IF(AND(Z432="Correctivo",AA432="Manual"),"25%",""))))))</f>
        <v>40%</v>
      </c>
      <c r="AC432" s="188" t="s">
        <v>222</v>
      </c>
      <c r="AD432" s="188" t="s">
        <v>227</v>
      </c>
      <c r="AE432" s="188" t="s">
        <v>231</v>
      </c>
      <c r="AF432" s="602">
        <f t="shared" ref="AF432:AF436" si="581">IFERROR(IF(AND(Y431="Probabilidad",Y432="Probabilidad"),(AH431-(+AH431*AB432)),IF(Y432="Probabilidad",(Q431-(+Q431*AB432)),IF(Y432="Impacto",AH431,""))),"")</f>
        <v>0.216</v>
      </c>
      <c r="AG432" s="186" t="str">
        <f t="shared" si="564"/>
        <v>Baja</v>
      </c>
      <c r="AH432" s="185">
        <f t="shared" si="565"/>
        <v>0.216</v>
      </c>
      <c r="AI432" s="186" t="str">
        <f t="shared" ca="1" si="566"/>
        <v>Mayor</v>
      </c>
      <c r="AJ432" s="185">
        <f t="shared" ref="AJ432" ca="1" si="582">IFERROR(IF(AND(Y431="Impacto",Y432="Impacto"),(AJ431-(+AJ431*AB432)),IF(Y432="Impacto",(U431-(+U431*AB432)),IF(Y432="Probabilidad",AJ431,""))),"")</f>
        <v>0.8</v>
      </c>
      <c r="AK432" s="187" t="str">
        <f t="shared" ca="1" si="567"/>
        <v>Alto</v>
      </c>
      <c r="AL432" s="603" t="s">
        <v>265</v>
      </c>
      <c r="AM432" s="619"/>
      <c r="AN432" s="251"/>
      <c r="AO432" s="279"/>
      <c r="AP432" s="620"/>
      <c r="AQ432" s="251"/>
      <c r="AR432" s="246"/>
    </row>
    <row r="433" spans="1:44" s="605" customFormat="1" ht="174.75" customHeight="1" x14ac:dyDescent="0.25">
      <c r="A433" s="252"/>
      <c r="B433" s="246"/>
      <c r="C433" s="251"/>
      <c r="D433" s="266"/>
      <c r="E433" s="253"/>
      <c r="F433" s="254"/>
      <c r="G433" s="254"/>
      <c r="H433" s="255"/>
      <c r="I433" s="249"/>
      <c r="J433" s="249"/>
      <c r="K433" s="249"/>
      <c r="L433" s="249"/>
      <c r="M433" s="253"/>
      <c r="N433" s="251"/>
      <c r="O433" s="256"/>
      <c r="P433" s="610"/>
      <c r="Q433" s="611"/>
      <c r="R433" s="611"/>
      <c r="S433" s="611">
        <f ca="1">IF(NOT(ISERROR(MATCH(R433,_xlfn.ANCHORARRAY(H444),0))),Q446&amp;"Por favor no seleccionar los criterios de impacto",R433)</f>
        <v>0</v>
      </c>
      <c r="T433" s="610"/>
      <c r="U433" s="611"/>
      <c r="V433" s="252"/>
      <c r="W433" s="194">
        <v>3</v>
      </c>
      <c r="X433" s="523" t="s">
        <v>1009</v>
      </c>
      <c r="Y433" s="194" t="str">
        <f t="shared" si="563"/>
        <v>Probabilidad</v>
      </c>
      <c r="Z433" s="188" t="s">
        <v>211</v>
      </c>
      <c r="AA433" s="188" t="s">
        <v>219</v>
      </c>
      <c r="AB433" s="185" t="str">
        <f t="shared" si="580"/>
        <v>40%</v>
      </c>
      <c r="AC433" s="188" t="s">
        <v>222</v>
      </c>
      <c r="AD433" s="188" t="s">
        <v>227</v>
      </c>
      <c r="AE433" s="188" t="s">
        <v>231</v>
      </c>
      <c r="AF433" s="602">
        <f t="shared" si="581"/>
        <v>0.12959999999999999</v>
      </c>
      <c r="AG433" s="186" t="str">
        <f t="shared" si="564"/>
        <v>Muy Baja</v>
      </c>
      <c r="AH433" s="185">
        <f t="shared" si="565"/>
        <v>0.12959999999999999</v>
      </c>
      <c r="AI433" s="186" t="str">
        <f t="shared" ca="1" si="566"/>
        <v>Mayor</v>
      </c>
      <c r="AJ433" s="185">
        <f t="shared" ref="AJ433:AJ436" ca="1" si="583">IFERROR(IF(AND(Y432="Impacto",Y433="Impacto"),(AJ432-(+AJ432*AB433)),IF(AND(Y432="Probabilidad",Y433="Impacto"),(AJ431-(+AJ431*AB433)),IF(Y433="Probabilidad",AJ432,""))),"")</f>
        <v>0.8</v>
      </c>
      <c r="AK433" s="187" t="str">
        <f t="shared" ca="1" si="567"/>
        <v>Alto</v>
      </c>
      <c r="AL433" s="603" t="s">
        <v>265</v>
      </c>
      <c r="AM433" s="619"/>
      <c r="AN433" s="251"/>
      <c r="AO433" s="279"/>
      <c r="AP433" s="620"/>
      <c r="AQ433" s="251"/>
      <c r="AR433" s="246"/>
    </row>
    <row r="434" spans="1:44" s="605" customFormat="1" ht="116.25" customHeight="1" x14ac:dyDescent="0.25">
      <c r="A434" s="252"/>
      <c r="B434" s="246"/>
      <c r="C434" s="251"/>
      <c r="D434" s="266"/>
      <c r="E434" s="253"/>
      <c r="F434" s="254"/>
      <c r="G434" s="254"/>
      <c r="H434" s="255"/>
      <c r="I434" s="249"/>
      <c r="J434" s="249"/>
      <c r="K434" s="249"/>
      <c r="L434" s="249"/>
      <c r="M434" s="253"/>
      <c r="N434" s="251"/>
      <c r="O434" s="256"/>
      <c r="P434" s="610"/>
      <c r="Q434" s="611"/>
      <c r="R434" s="611"/>
      <c r="S434" s="611">
        <f ca="1">IF(NOT(ISERROR(MATCH(R434,_xlfn.ANCHORARRAY(H445),0))),Q447&amp;"Por favor no seleccionar los criterios de impacto",R434)</f>
        <v>0</v>
      </c>
      <c r="T434" s="610"/>
      <c r="U434" s="611"/>
      <c r="V434" s="252"/>
      <c r="W434" s="194">
        <v>4</v>
      </c>
      <c r="X434" s="523" t="s">
        <v>1010</v>
      </c>
      <c r="Y434" s="194" t="str">
        <f t="shared" si="563"/>
        <v>Probabilidad</v>
      </c>
      <c r="Z434" s="188" t="s">
        <v>211</v>
      </c>
      <c r="AA434" s="188" t="s">
        <v>219</v>
      </c>
      <c r="AB434" s="185" t="str">
        <f t="shared" si="580"/>
        <v>40%</v>
      </c>
      <c r="AC434" s="188" t="s">
        <v>222</v>
      </c>
      <c r="AD434" s="188" t="s">
        <v>227</v>
      </c>
      <c r="AE434" s="188" t="s">
        <v>231</v>
      </c>
      <c r="AF434" s="602">
        <f t="shared" si="581"/>
        <v>7.7759999999999996E-2</v>
      </c>
      <c r="AG434" s="186" t="str">
        <f t="shared" si="564"/>
        <v>Muy Baja</v>
      </c>
      <c r="AH434" s="185">
        <f t="shared" si="565"/>
        <v>7.7759999999999996E-2</v>
      </c>
      <c r="AI434" s="186" t="str">
        <f t="shared" ca="1" si="566"/>
        <v>Mayor</v>
      </c>
      <c r="AJ434" s="185">
        <f t="shared" ca="1" si="583"/>
        <v>0.8</v>
      </c>
      <c r="AK434" s="187" t="str">
        <f t="shared" ca="1" si="567"/>
        <v>Alto</v>
      </c>
      <c r="AL434" s="603" t="s">
        <v>265</v>
      </c>
      <c r="AM434" s="619"/>
      <c r="AN434" s="251"/>
      <c r="AO434" s="279"/>
      <c r="AP434" s="620"/>
      <c r="AQ434" s="251"/>
      <c r="AR434" s="246"/>
    </row>
    <row r="435" spans="1:44" s="605" customFormat="1" ht="105.75" x14ac:dyDescent="0.25">
      <c r="A435" s="252"/>
      <c r="B435" s="246"/>
      <c r="C435" s="251"/>
      <c r="D435" s="266"/>
      <c r="E435" s="253"/>
      <c r="F435" s="254"/>
      <c r="G435" s="254"/>
      <c r="H435" s="255"/>
      <c r="I435" s="249"/>
      <c r="J435" s="249"/>
      <c r="K435" s="249"/>
      <c r="L435" s="249"/>
      <c r="M435" s="253"/>
      <c r="N435" s="251"/>
      <c r="O435" s="256"/>
      <c r="P435" s="610"/>
      <c r="Q435" s="611"/>
      <c r="R435" s="611"/>
      <c r="S435" s="611">
        <f ca="1">IF(NOT(ISERROR(MATCH(R435,_xlfn.ANCHORARRAY(H446),0))),Q448&amp;"Por favor no seleccionar los criterios de impacto",R435)</f>
        <v>0</v>
      </c>
      <c r="T435" s="610"/>
      <c r="U435" s="611"/>
      <c r="V435" s="252"/>
      <c r="W435" s="194">
        <v>5</v>
      </c>
      <c r="X435" s="523" t="s">
        <v>1011</v>
      </c>
      <c r="Y435" s="194" t="str">
        <f t="shared" si="563"/>
        <v>Probabilidad</v>
      </c>
      <c r="Z435" s="188" t="s">
        <v>211</v>
      </c>
      <c r="AA435" s="188" t="s">
        <v>219</v>
      </c>
      <c r="AB435" s="185" t="str">
        <f t="shared" si="580"/>
        <v>40%</v>
      </c>
      <c r="AC435" s="188" t="s">
        <v>222</v>
      </c>
      <c r="AD435" s="188" t="s">
        <v>227</v>
      </c>
      <c r="AE435" s="188" t="s">
        <v>231</v>
      </c>
      <c r="AF435" s="602">
        <f t="shared" si="581"/>
        <v>4.6655999999999996E-2</v>
      </c>
      <c r="AG435" s="186" t="str">
        <f t="shared" si="564"/>
        <v>Muy Baja</v>
      </c>
      <c r="AH435" s="185">
        <f t="shared" si="565"/>
        <v>4.6655999999999996E-2</v>
      </c>
      <c r="AI435" s="186" t="str">
        <f t="shared" ca="1" si="566"/>
        <v>Mayor</v>
      </c>
      <c r="AJ435" s="185">
        <f t="shared" ca="1" si="583"/>
        <v>0.8</v>
      </c>
      <c r="AK435" s="187" t="str">
        <f t="shared" ca="1" si="567"/>
        <v>Alto</v>
      </c>
      <c r="AL435" s="603" t="s">
        <v>265</v>
      </c>
      <c r="AM435" s="619"/>
      <c r="AN435" s="251"/>
      <c r="AO435" s="279"/>
      <c r="AP435" s="620"/>
      <c r="AQ435" s="251"/>
      <c r="AR435" s="246"/>
    </row>
    <row r="436" spans="1:44" s="605" customFormat="1" ht="105.75" x14ac:dyDescent="0.25">
      <c r="A436" s="252"/>
      <c r="B436" s="247"/>
      <c r="C436" s="239"/>
      <c r="D436" s="267"/>
      <c r="E436" s="253"/>
      <c r="F436" s="254"/>
      <c r="G436" s="254"/>
      <c r="H436" s="255"/>
      <c r="I436" s="250"/>
      <c r="J436" s="250"/>
      <c r="K436" s="250"/>
      <c r="L436" s="250"/>
      <c r="M436" s="253"/>
      <c r="N436" s="239"/>
      <c r="O436" s="256"/>
      <c r="P436" s="610"/>
      <c r="Q436" s="611"/>
      <c r="R436" s="611"/>
      <c r="S436" s="611">
        <f ca="1">IF(NOT(ISERROR(MATCH(R436,_xlfn.ANCHORARRAY(H447),0))),Q449&amp;"Por favor no seleccionar los criterios de impacto",R436)</f>
        <v>0</v>
      </c>
      <c r="T436" s="610"/>
      <c r="U436" s="611"/>
      <c r="V436" s="252"/>
      <c r="W436" s="194">
        <v>6</v>
      </c>
      <c r="X436" s="523" t="s">
        <v>1012</v>
      </c>
      <c r="Y436" s="194" t="str">
        <f t="shared" si="563"/>
        <v>Probabilidad</v>
      </c>
      <c r="Z436" s="188" t="s">
        <v>213</v>
      </c>
      <c r="AA436" s="188" t="s">
        <v>219</v>
      </c>
      <c r="AB436" s="185" t="str">
        <f t="shared" si="580"/>
        <v>30%</v>
      </c>
      <c r="AC436" s="188" t="s">
        <v>222</v>
      </c>
      <c r="AD436" s="188" t="s">
        <v>227</v>
      </c>
      <c r="AE436" s="188" t="s">
        <v>231</v>
      </c>
      <c r="AF436" s="602">
        <f t="shared" si="581"/>
        <v>3.2659199999999999E-2</v>
      </c>
      <c r="AG436" s="186" t="str">
        <f t="shared" si="564"/>
        <v>Muy Baja</v>
      </c>
      <c r="AH436" s="185">
        <f t="shared" si="565"/>
        <v>3.2659199999999999E-2</v>
      </c>
      <c r="AI436" s="186" t="str">
        <f t="shared" ca="1" si="566"/>
        <v>Mayor</v>
      </c>
      <c r="AJ436" s="185">
        <f t="shared" ca="1" si="583"/>
        <v>0.8</v>
      </c>
      <c r="AK436" s="187" t="str">
        <f t="shared" ca="1" si="567"/>
        <v>Alto</v>
      </c>
      <c r="AL436" s="603" t="s">
        <v>265</v>
      </c>
      <c r="AM436" s="621"/>
      <c r="AN436" s="239"/>
      <c r="AO436" s="241"/>
      <c r="AP436" s="622"/>
      <c r="AQ436" s="239"/>
      <c r="AR436" s="247"/>
    </row>
    <row r="437" spans="1:44" s="605" customFormat="1" ht="121.5" customHeight="1" x14ac:dyDescent="0.25">
      <c r="A437" s="252">
        <v>71</v>
      </c>
      <c r="B437" s="245" t="s">
        <v>1015</v>
      </c>
      <c r="C437" s="238" t="s">
        <v>280</v>
      </c>
      <c r="D437" s="263" t="s">
        <v>1003</v>
      </c>
      <c r="E437" s="253" t="s">
        <v>239</v>
      </c>
      <c r="F437" s="254" t="s">
        <v>1016</v>
      </c>
      <c r="G437" s="254" t="s">
        <v>1017</v>
      </c>
      <c r="H437" s="255" t="s">
        <v>1018</v>
      </c>
      <c r="I437" s="248" t="s">
        <v>480</v>
      </c>
      <c r="J437" s="248" t="s">
        <v>480</v>
      </c>
      <c r="K437" s="248" t="s">
        <v>480</v>
      </c>
      <c r="L437" s="248" t="s">
        <v>480</v>
      </c>
      <c r="M437" s="253" t="s">
        <v>469</v>
      </c>
      <c r="N437" s="238"/>
      <c r="O437" s="256">
        <v>365</v>
      </c>
      <c r="P437" s="610" t="str">
        <f t="shared" ref="P437:P455" si="584">IF(O437&lt;=0,"",IF(O437&lt;=2,"Muy Baja",IF(O437&lt;=24,"Baja",IF(O437&lt;=500,"Media",IF(O437&lt;=5000,"Alta","Muy Alta")))))</f>
        <v>Media</v>
      </c>
      <c r="Q437" s="611">
        <f t="shared" ref="Q437:Q455" si="585">IF(P437="","",IF(P437="Muy Baja",0.2,IF(P437="Baja",0.4,IF(P437="Media",0.6,IF(P437="Alta",0.8,IF(P437="Muy Alta",1,))))))</f>
        <v>0.6</v>
      </c>
      <c r="R437" s="611" t="s">
        <v>192</v>
      </c>
      <c r="S437" s="611" t="str">
        <f ca="1">IF(NOT(ISERROR(MATCH(R437,'Tabla Impacto'!$B$221:$B$223,0))),'Tabla Impacto'!$F$223&amp;"Por favor no seleccionar los criterios de impacto(Afectación Económica o presupuestal y Pérdida Reputacional)",R437)</f>
        <v xml:space="preserve">Entre 50 y 100 SMLMV </v>
      </c>
      <c r="T437" s="610" t="str">
        <f ca="1">+IF(OR(S437='[1]Tabla Impacto'!$C$11,S437='[1]Tabla Impacto'!$D$11),"Leve",IF(OR(S437='[1]Tabla Impacto'!$C$12,S437='[1]Tabla Impacto'!$D$12),"Menor",IF(OR(S437='[1]Tabla Impacto'!$C$13,S437='[1]Tabla Impacto'!$D$13),"Moderado",IF(OR(S437='[1]Tabla Impacto'!$C$14,S437='[1]Tabla Impacto'!$D$14),"Mayor",IF(OR(S437='[1]Tabla Impacto'!$C$15,S437='[1]Tabla Impacto'!$D$15),"Catastrófico","")))))</f>
        <v>Moderado</v>
      </c>
      <c r="U437" s="611">
        <f t="shared" ref="U437" ca="1" si="586">IF(T437="","",IF(T437="Leve",0.2,IF(T437="Menor",0.4,IF(T437="Moderado",0.6,IF(T437="Mayor",0.8,IF(T437="Catastrófico",1,))))))</f>
        <v>0.6</v>
      </c>
      <c r="V437" s="252" t="str">
        <f t="shared" ref="V437" ca="1" si="587">IF(OR(AND(P437="Muy Baja",T437="Leve"),AND(P437="Muy Baja",T437="Menor"),AND(P437="Baja",T437="Leve")),"Bajo",IF(OR(AND(P437="Muy baja",T437="Moderado"),AND(P437="Baja",T437="Menor"),AND(P437="Baja",T437="Moderado"),AND(P437="Media",T437="Leve"),AND(P437="Media",T437="Menor"),AND(P437="Media",T437="Moderado"),AND(P437="Alta",T437="Leve"),AND(P437="Alta",T437="Menor")),"Moderado",IF(OR(AND(P437="Muy Baja",T437="Mayor"),AND(P437="Baja",T437="Mayor"),AND(P437="Media",T437="Mayor"),AND(P437="Alta",T437="Moderado"),AND(P437="Alta",T437="Mayor"),AND(P437="Muy Alta",T437="Leve"),AND(P437="Muy Alta",T437="Menor"),AND(P437="Muy Alta",T437="Moderado"),AND(P437="Muy Alta",T437="Mayor")),"Alto",IF(OR(AND(P437="Muy Baja",T437="Catastrófico"),AND(P437="Baja",T437="Catastrófico"),AND(P437="Media",T437="Catastrófico"),AND(P437="Alta",T437="Catastrófico"),AND(P437="Muy Alta",T437="Catastrófico")),"Extremo",""))))</f>
        <v>Moderado</v>
      </c>
      <c r="W437" s="194">
        <v>1</v>
      </c>
      <c r="X437" s="523" t="s">
        <v>1019</v>
      </c>
      <c r="Y437" s="194" t="str">
        <f t="shared" si="563"/>
        <v>Probabilidad</v>
      </c>
      <c r="Z437" s="188" t="s">
        <v>211</v>
      </c>
      <c r="AA437" s="188" t="s">
        <v>219</v>
      </c>
      <c r="AB437" s="185" t="str">
        <f t="shared" si="580"/>
        <v>40%</v>
      </c>
      <c r="AC437" s="188" t="s">
        <v>222</v>
      </c>
      <c r="AD437" s="188" t="s">
        <v>227</v>
      </c>
      <c r="AE437" s="188" t="s">
        <v>231</v>
      </c>
      <c r="AF437" s="602">
        <f t="shared" ref="AF437" si="588">IFERROR(IF(Y437="Probabilidad",(Q437-(+Q437*AB437)),IF(Y437="Impacto",Q437,"")),"")</f>
        <v>0.36</v>
      </c>
      <c r="AG437" s="186" t="str">
        <f t="shared" si="564"/>
        <v>Baja</v>
      </c>
      <c r="AH437" s="185">
        <f t="shared" si="565"/>
        <v>0.36</v>
      </c>
      <c r="AI437" s="186" t="str">
        <f t="shared" ca="1" si="566"/>
        <v>Moderado</v>
      </c>
      <c r="AJ437" s="185">
        <f t="shared" ref="AJ437" ca="1" si="589">IFERROR(IF(Y437="Impacto",(U437-(+U437*AB437)),IF(Y437="Probabilidad",U437,"")),"")</f>
        <v>0.6</v>
      </c>
      <c r="AK437" s="187" t="str">
        <f t="shared" ca="1" si="567"/>
        <v>Moderado</v>
      </c>
      <c r="AL437" s="603" t="s">
        <v>258</v>
      </c>
      <c r="AM437" s="189"/>
      <c r="AN437" s="194"/>
      <c r="AO437" s="190"/>
      <c r="AP437" s="190"/>
      <c r="AQ437" s="191"/>
      <c r="AR437" s="194"/>
    </row>
    <row r="438" spans="1:44" s="605" customFormat="1" ht="129.75" customHeight="1" x14ac:dyDescent="0.25">
      <c r="A438" s="252"/>
      <c r="B438" s="246"/>
      <c r="C438" s="251"/>
      <c r="D438" s="266"/>
      <c r="E438" s="253"/>
      <c r="F438" s="254"/>
      <c r="G438" s="254"/>
      <c r="H438" s="255"/>
      <c r="I438" s="249"/>
      <c r="J438" s="249"/>
      <c r="K438" s="249"/>
      <c r="L438" s="249"/>
      <c r="M438" s="253"/>
      <c r="N438" s="251"/>
      <c r="O438" s="256"/>
      <c r="P438" s="610"/>
      <c r="Q438" s="611"/>
      <c r="R438" s="611"/>
      <c r="S438" s="611">
        <f ca="1">IF(NOT(ISERROR(MATCH(R438,_xlfn.ANCHORARRAY(H449),0))),Q451&amp;"Por favor no seleccionar los criterios de impacto",R438)</f>
        <v>0</v>
      </c>
      <c r="T438" s="610"/>
      <c r="U438" s="611"/>
      <c r="V438" s="252"/>
      <c r="W438" s="194">
        <v>2</v>
      </c>
      <c r="X438" s="523" t="s">
        <v>1020</v>
      </c>
      <c r="Y438" s="194" t="str">
        <f t="shared" si="563"/>
        <v>Probabilidad</v>
      </c>
      <c r="Z438" s="188" t="s">
        <v>211</v>
      </c>
      <c r="AA438" s="188" t="s">
        <v>219</v>
      </c>
      <c r="AB438" s="185" t="str">
        <f t="shared" si="580"/>
        <v>40%</v>
      </c>
      <c r="AC438" s="188" t="s">
        <v>222</v>
      </c>
      <c r="AD438" s="188" t="s">
        <v>227</v>
      </c>
      <c r="AE438" s="188" t="s">
        <v>231</v>
      </c>
      <c r="AF438" s="602">
        <f t="shared" ref="AF438:AF442" si="590">IFERROR(IF(AND(Y437="Probabilidad",Y438="Probabilidad"),(AH437-(+AH437*AB438)),IF(Y438="Probabilidad",(Q437-(+Q437*AB438)),IF(Y438="Impacto",AH437,""))),"")</f>
        <v>0.216</v>
      </c>
      <c r="AG438" s="186" t="str">
        <f t="shared" si="564"/>
        <v>Baja</v>
      </c>
      <c r="AH438" s="185">
        <f t="shared" si="565"/>
        <v>0.216</v>
      </c>
      <c r="AI438" s="186" t="str">
        <f t="shared" ca="1" si="566"/>
        <v>Moderado</v>
      </c>
      <c r="AJ438" s="185">
        <f t="shared" ref="AJ438" ca="1" si="591">IFERROR(IF(AND(Y437="Impacto",Y438="Impacto"),(AJ437-(+AJ437*AB438)),IF(Y438="Impacto",(U437-(+U437*AB438)),IF(Y438="Probabilidad",AJ437,""))),"")</f>
        <v>0.6</v>
      </c>
      <c r="AK438" s="187" t="str">
        <f t="shared" ca="1" si="567"/>
        <v>Moderado</v>
      </c>
      <c r="AL438" s="603" t="s">
        <v>258</v>
      </c>
      <c r="AM438" s="189"/>
      <c r="AN438" s="194"/>
      <c r="AO438" s="190"/>
      <c r="AP438" s="190"/>
      <c r="AQ438" s="191"/>
      <c r="AR438" s="194"/>
    </row>
    <row r="439" spans="1:44" s="605" customFormat="1" ht="144" customHeight="1" x14ac:dyDescent="0.25">
      <c r="A439" s="252"/>
      <c r="B439" s="246"/>
      <c r="C439" s="251"/>
      <c r="D439" s="266"/>
      <c r="E439" s="253"/>
      <c r="F439" s="254"/>
      <c r="G439" s="254"/>
      <c r="H439" s="255"/>
      <c r="I439" s="249"/>
      <c r="J439" s="249"/>
      <c r="K439" s="249"/>
      <c r="L439" s="249"/>
      <c r="M439" s="253"/>
      <c r="N439" s="251"/>
      <c r="O439" s="256"/>
      <c r="P439" s="610"/>
      <c r="Q439" s="611"/>
      <c r="R439" s="611"/>
      <c r="S439" s="611">
        <f ca="1">IF(NOT(ISERROR(MATCH(R439,_xlfn.ANCHORARRAY(H450),0))),Q452&amp;"Por favor no seleccionar los criterios de impacto",R439)</f>
        <v>0</v>
      </c>
      <c r="T439" s="610"/>
      <c r="U439" s="611"/>
      <c r="V439" s="252"/>
      <c r="W439" s="194">
        <v>3</v>
      </c>
      <c r="X439" s="523" t="s">
        <v>1021</v>
      </c>
      <c r="Y439" s="194" t="str">
        <f t="shared" si="563"/>
        <v>Probabilidad</v>
      </c>
      <c r="Z439" s="188" t="s">
        <v>211</v>
      </c>
      <c r="AA439" s="188" t="s">
        <v>219</v>
      </c>
      <c r="AB439" s="185" t="str">
        <f t="shared" si="580"/>
        <v>40%</v>
      </c>
      <c r="AC439" s="188" t="s">
        <v>222</v>
      </c>
      <c r="AD439" s="188" t="s">
        <v>227</v>
      </c>
      <c r="AE439" s="188" t="s">
        <v>231</v>
      </c>
      <c r="AF439" s="602">
        <f t="shared" si="590"/>
        <v>0.12959999999999999</v>
      </c>
      <c r="AG439" s="186" t="str">
        <f t="shared" si="564"/>
        <v>Muy Baja</v>
      </c>
      <c r="AH439" s="185">
        <f t="shared" si="565"/>
        <v>0.12959999999999999</v>
      </c>
      <c r="AI439" s="186" t="str">
        <f t="shared" ca="1" si="566"/>
        <v>Moderado</v>
      </c>
      <c r="AJ439" s="185">
        <f t="shared" ref="AJ439:AJ442" ca="1" si="592">IFERROR(IF(AND(Y438="Impacto",Y439="Impacto"),(AJ438-(+AJ438*AB439)),IF(AND(Y438="Probabilidad",Y439="Impacto"),(AJ437-(+AJ437*AB439)),IF(Y439="Probabilidad",AJ438,""))),"")</f>
        <v>0.6</v>
      </c>
      <c r="AK439" s="187" t="str">
        <f t="shared" ca="1" si="567"/>
        <v>Moderado</v>
      </c>
      <c r="AL439" s="603" t="s">
        <v>258</v>
      </c>
      <c r="AM439" s="189"/>
      <c r="AN439" s="194"/>
      <c r="AO439" s="190"/>
      <c r="AP439" s="190"/>
      <c r="AQ439" s="191"/>
      <c r="AR439" s="194"/>
    </row>
    <row r="440" spans="1:44" s="605" customFormat="1" ht="69" hidden="1" customHeight="1" x14ac:dyDescent="0.25">
      <c r="A440" s="252"/>
      <c r="B440" s="246"/>
      <c r="C440" s="251"/>
      <c r="D440" s="266"/>
      <c r="E440" s="253"/>
      <c r="F440" s="254"/>
      <c r="G440" s="254"/>
      <c r="H440" s="255"/>
      <c r="I440" s="249"/>
      <c r="J440" s="249"/>
      <c r="K440" s="249"/>
      <c r="L440" s="249"/>
      <c r="M440" s="253"/>
      <c r="N440" s="251"/>
      <c r="O440" s="256"/>
      <c r="P440" s="610"/>
      <c r="Q440" s="611"/>
      <c r="R440" s="611"/>
      <c r="S440" s="611">
        <f ca="1">IF(NOT(ISERROR(MATCH(R440,_xlfn.ANCHORARRAY(H451),0))),Q453&amp;"Por favor no seleccionar los criterios de impacto",R440)</f>
        <v>0</v>
      </c>
      <c r="T440" s="610"/>
      <c r="U440" s="611"/>
      <c r="V440" s="252"/>
      <c r="W440" s="194">
        <v>4</v>
      </c>
      <c r="X440" s="192"/>
      <c r="Y440" s="194" t="str">
        <f t="shared" si="563"/>
        <v/>
      </c>
      <c r="Z440" s="188"/>
      <c r="AA440" s="188"/>
      <c r="AB440" s="185" t="str">
        <f t="shared" si="568"/>
        <v/>
      </c>
      <c r="AC440" s="188"/>
      <c r="AD440" s="188"/>
      <c r="AE440" s="188"/>
      <c r="AF440" s="602" t="str">
        <f t="shared" si="590"/>
        <v/>
      </c>
      <c r="AG440" s="186" t="str">
        <f t="shared" si="564"/>
        <v/>
      </c>
      <c r="AH440" s="185" t="str">
        <f t="shared" si="565"/>
        <v/>
      </c>
      <c r="AI440" s="186" t="str">
        <f t="shared" si="566"/>
        <v/>
      </c>
      <c r="AJ440" s="185" t="str">
        <f t="shared" si="592"/>
        <v/>
      </c>
      <c r="AK440" s="187" t="str">
        <f t="shared" si="567"/>
        <v/>
      </c>
      <c r="AL440" s="603"/>
      <c r="AM440" s="189"/>
      <c r="AN440" s="194"/>
      <c r="AO440" s="190"/>
      <c r="AP440" s="190"/>
      <c r="AQ440" s="191"/>
      <c r="AR440" s="194"/>
    </row>
    <row r="441" spans="1:44" s="605" customFormat="1" ht="69" hidden="1" customHeight="1" x14ac:dyDescent="0.25">
      <c r="A441" s="252"/>
      <c r="B441" s="246"/>
      <c r="C441" s="251"/>
      <c r="D441" s="266"/>
      <c r="E441" s="253"/>
      <c r="F441" s="254"/>
      <c r="G441" s="254"/>
      <c r="H441" s="255"/>
      <c r="I441" s="249"/>
      <c r="J441" s="249"/>
      <c r="K441" s="249"/>
      <c r="L441" s="249"/>
      <c r="M441" s="253"/>
      <c r="N441" s="251"/>
      <c r="O441" s="256"/>
      <c r="P441" s="610"/>
      <c r="Q441" s="611"/>
      <c r="R441" s="611"/>
      <c r="S441" s="611">
        <f ca="1">IF(NOT(ISERROR(MATCH(R441,_xlfn.ANCHORARRAY(H452),0))),Q454&amp;"Por favor no seleccionar los criterios de impacto",R441)</f>
        <v>0</v>
      </c>
      <c r="T441" s="610"/>
      <c r="U441" s="611"/>
      <c r="V441" s="252"/>
      <c r="W441" s="194">
        <v>5</v>
      </c>
      <c r="X441" s="192"/>
      <c r="Y441" s="194" t="str">
        <f t="shared" si="563"/>
        <v/>
      </c>
      <c r="Z441" s="188"/>
      <c r="AA441" s="188"/>
      <c r="AB441" s="185" t="str">
        <f t="shared" si="568"/>
        <v/>
      </c>
      <c r="AC441" s="188"/>
      <c r="AD441" s="188"/>
      <c r="AE441" s="188"/>
      <c r="AF441" s="602" t="str">
        <f t="shared" si="590"/>
        <v/>
      </c>
      <c r="AG441" s="186" t="str">
        <f t="shared" si="564"/>
        <v/>
      </c>
      <c r="AH441" s="185" t="str">
        <f t="shared" si="565"/>
        <v/>
      </c>
      <c r="AI441" s="186" t="str">
        <f t="shared" si="566"/>
        <v/>
      </c>
      <c r="AJ441" s="185" t="str">
        <f t="shared" si="592"/>
        <v/>
      </c>
      <c r="AK441" s="187" t="str">
        <f t="shared" si="567"/>
        <v/>
      </c>
      <c r="AL441" s="603"/>
      <c r="AM441" s="189"/>
      <c r="AN441" s="194"/>
      <c r="AO441" s="190"/>
      <c r="AP441" s="190"/>
      <c r="AQ441" s="191"/>
      <c r="AR441" s="194"/>
    </row>
    <row r="442" spans="1:44" s="605" customFormat="1" ht="69" hidden="1" customHeight="1" x14ac:dyDescent="0.25">
      <c r="A442" s="252"/>
      <c r="B442" s="247"/>
      <c r="C442" s="239"/>
      <c r="D442" s="267"/>
      <c r="E442" s="253"/>
      <c r="F442" s="254"/>
      <c r="G442" s="254"/>
      <c r="H442" s="255"/>
      <c r="I442" s="250"/>
      <c r="J442" s="250"/>
      <c r="K442" s="250"/>
      <c r="L442" s="250"/>
      <c r="M442" s="253"/>
      <c r="N442" s="239"/>
      <c r="O442" s="256"/>
      <c r="P442" s="610"/>
      <c r="Q442" s="611"/>
      <c r="R442" s="611"/>
      <c r="S442" s="611">
        <f ca="1">IF(NOT(ISERROR(MATCH(R442,_xlfn.ANCHORARRAY(H453),0))),Q455&amp;"Por favor no seleccionar los criterios de impacto",R442)</f>
        <v>0</v>
      </c>
      <c r="T442" s="610"/>
      <c r="U442" s="611"/>
      <c r="V442" s="252"/>
      <c r="W442" s="194">
        <v>6</v>
      </c>
      <c r="X442" s="192"/>
      <c r="Y442" s="194" t="str">
        <f t="shared" si="563"/>
        <v/>
      </c>
      <c r="Z442" s="188"/>
      <c r="AA442" s="188"/>
      <c r="AB442" s="185" t="str">
        <f t="shared" si="568"/>
        <v/>
      </c>
      <c r="AC442" s="188"/>
      <c r="AD442" s="188"/>
      <c r="AE442" s="188"/>
      <c r="AF442" s="602" t="str">
        <f t="shared" si="590"/>
        <v/>
      </c>
      <c r="AG442" s="186" t="str">
        <f t="shared" si="564"/>
        <v/>
      </c>
      <c r="AH442" s="185" t="str">
        <f t="shared" si="565"/>
        <v/>
      </c>
      <c r="AI442" s="186" t="str">
        <f t="shared" si="566"/>
        <v/>
      </c>
      <c r="AJ442" s="185" t="str">
        <f t="shared" si="592"/>
        <v/>
      </c>
      <c r="AK442" s="187" t="str">
        <f t="shared" si="567"/>
        <v/>
      </c>
      <c r="AL442" s="603"/>
      <c r="AM442" s="189"/>
      <c r="AN442" s="194"/>
      <c r="AO442" s="190"/>
      <c r="AP442" s="190"/>
      <c r="AQ442" s="191"/>
      <c r="AR442" s="194"/>
    </row>
    <row r="443" spans="1:44" s="605" customFormat="1" ht="139.5" customHeight="1" x14ac:dyDescent="0.25">
      <c r="A443" s="252">
        <v>72</v>
      </c>
      <c r="B443" s="245" t="s">
        <v>1022</v>
      </c>
      <c r="C443" s="238" t="s">
        <v>280</v>
      </c>
      <c r="D443" s="263" t="s">
        <v>991</v>
      </c>
      <c r="E443" s="505" t="s">
        <v>243</v>
      </c>
      <c r="F443" s="506" t="s">
        <v>1023</v>
      </c>
      <c r="G443" s="506" t="s">
        <v>1024</v>
      </c>
      <c r="H443" s="507" t="s">
        <v>1025</v>
      </c>
      <c r="I443" s="248" t="s">
        <v>688</v>
      </c>
      <c r="J443" s="248" t="s">
        <v>688</v>
      </c>
      <c r="K443" s="248" t="s">
        <v>688</v>
      </c>
      <c r="L443" s="248" t="s">
        <v>688</v>
      </c>
      <c r="M443" s="616" t="s">
        <v>247</v>
      </c>
      <c r="N443" s="238"/>
      <c r="O443" s="256">
        <v>365</v>
      </c>
      <c r="P443" s="610" t="str">
        <f t="shared" si="584"/>
        <v>Media</v>
      </c>
      <c r="Q443" s="611">
        <f t="shared" si="585"/>
        <v>0.6</v>
      </c>
      <c r="R443" s="611" t="s">
        <v>195</v>
      </c>
      <c r="S443" s="611" t="str">
        <f ca="1">IF(NOT(ISERROR(MATCH(R443,'Tabla Impacto'!$B$221:$B$223,0))),'Tabla Impacto'!$F$223&amp;"Por favor no seleccionar los criterios de impacto(Afectación Económica o presupuestal y Pérdida Reputacional)",R443)</f>
        <v xml:space="preserve">Entre 100 y 500 SMLMV </v>
      </c>
      <c r="T443" s="610" t="str">
        <f ca="1">+IF(OR(S443='[1]Tabla Impacto'!$C$11,S443='[1]Tabla Impacto'!$D$11),"Leve",IF(OR(S443='[1]Tabla Impacto'!$C$12,S443='[1]Tabla Impacto'!$D$12),"Menor",IF(OR(S443='[1]Tabla Impacto'!$C$13,S443='[1]Tabla Impacto'!$D$13),"Moderado",IF(OR(S443='[1]Tabla Impacto'!$C$14,S443='[1]Tabla Impacto'!$D$14),"Mayor",IF(OR(S443='[1]Tabla Impacto'!$C$15,S443='[1]Tabla Impacto'!$D$15),"Catastrófico","")))))</f>
        <v>Mayor</v>
      </c>
      <c r="U443" s="611">
        <f t="shared" ref="U443" ca="1" si="593">IF(T443="","",IF(T443="Leve",0.2,IF(T443="Menor",0.4,IF(T443="Moderado",0.6,IF(T443="Mayor",0.8,IF(T443="Catastrófico",1,))))))</f>
        <v>0.8</v>
      </c>
      <c r="V443" s="252" t="str">
        <f t="shared" ref="V443" ca="1" si="594">IF(OR(AND(P443="Muy Baja",T443="Leve"),AND(P443="Muy Baja",T443="Menor"),AND(P443="Baja",T443="Leve")),"Bajo",IF(OR(AND(P443="Muy baja",T443="Moderado"),AND(P443="Baja",T443="Menor"),AND(P443="Baja",T443="Moderado"),AND(P443="Media",T443="Leve"),AND(P443="Media",T443="Menor"),AND(P443="Media",T443="Moderado"),AND(P443="Alta",T443="Leve"),AND(P443="Alta",T443="Menor")),"Moderado",IF(OR(AND(P443="Muy Baja",T443="Mayor"),AND(P443="Baja",T443="Mayor"),AND(P443="Media",T443="Mayor"),AND(P443="Alta",T443="Moderado"),AND(P443="Alta",T443="Mayor"),AND(P443="Muy Alta",T443="Leve"),AND(P443="Muy Alta",T443="Menor"),AND(P443="Muy Alta",T443="Moderado"),AND(P443="Muy Alta",T443="Mayor")),"Alto",IF(OR(AND(P443="Muy Baja",T443="Catastrófico"),AND(P443="Baja",T443="Catastrófico"),AND(P443="Media",T443="Catastrófico"),AND(P443="Alta",T443="Catastrófico"),AND(P443="Muy Alta",T443="Catastrófico")),"Extremo",""))))</f>
        <v>Alto</v>
      </c>
      <c r="W443" s="194">
        <v>1</v>
      </c>
      <c r="X443" s="192" t="s">
        <v>1026</v>
      </c>
      <c r="Y443" s="194" t="str">
        <f t="shared" si="563"/>
        <v>Probabilidad</v>
      </c>
      <c r="Z443" s="188" t="s">
        <v>211</v>
      </c>
      <c r="AA443" s="188" t="s">
        <v>219</v>
      </c>
      <c r="AB443" s="185" t="str">
        <f t="shared" si="568"/>
        <v>40%</v>
      </c>
      <c r="AC443" s="188" t="s">
        <v>222</v>
      </c>
      <c r="AD443" s="188" t="s">
        <v>227</v>
      </c>
      <c r="AE443" s="188" t="s">
        <v>231</v>
      </c>
      <c r="AF443" s="602">
        <f t="shared" ref="AF443" si="595">IFERROR(IF(Y443="Probabilidad",(Q443-(+Q443*AB443)),IF(Y443="Impacto",Q443,"")),"")</f>
        <v>0.36</v>
      </c>
      <c r="AG443" s="186" t="str">
        <f t="shared" si="564"/>
        <v>Baja</v>
      </c>
      <c r="AH443" s="185">
        <f t="shared" si="565"/>
        <v>0.36</v>
      </c>
      <c r="AI443" s="186" t="str">
        <f t="shared" ca="1" si="566"/>
        <v>Mayor</v>
      </c>
      <c r="AJ443" s="185">
        <f t="shared" ref="AJ443" ca="1" si="596">IFERROR(IF(Y443="Impacto",(U443-(+U443*AB443)),IF(Y443="Probabilidad",U443,"")),"")</f>
        <v>0.8</v>
      </c>
      <c r="AK443" s="187" t="str">
        <f t="shared" ca="1" si="567"/>
        <v>Alto</v>
      </c>
      <c r="AL443" s="603" t="s">
        <v>265</v>
      </c>
      <c r="AM443" s="623" t="s">
        <v>1030</v>
      </c>
      <c r="AN443" s="624" t="s">
        <v>1032</v>
      </c>
      <c r="AO443" s="625">
        <v>45323</v>
      </c>
      <c r="AP443" s="626" t="s">
        <v>576</v>
      </c>
      <c r="AQ443" s="238" t="s">
        <v>1031</v>
      </c>
      <c r="AR443" s="627" t="s">
        <v>262</v>
      </c>
    </row>
    <row r="444" spans="1:44" s="605" customFormat="1" ht="210" customHeight="1" x14ac:dyDescent="0.25">
      <c r="A444" s="252"/>
      <c r="B444" s="246"/>
      <c r="C444" s="251"/>
      <c r="D444" s="266"/>
      <c r="E444" s="505"/>
      <c r="F444" s="506"/>
      <c r="G444" s="506"/>
      <c r="H444" s="507"/>
      <c r="I444" s="249"/>
      <c r="J444" s="249"/>
      <c r="K444" s="249"/>
      <c r="L444" s="249"/>
      <c r="M444" s="616"/>
      <c r="N444" s="251"/>
      <c r="O444" s="256"/>
      <c r="P444" s="610"/>
      <c r="Q444" s="611"/>
      <c r="R444" s="611"/>
      <c r="S444" s="611">
        <f ca="1">IF(NOT(ISERROR(MATCH(R444,_xlfn.ANCHORARRAY(H455),0))),Q457&amp;"Por favor no seleccionar los criterios de impacto",R444)</f>
        <v>0</v>
      </c>
      <c r="T444" s="610"/>
      <c r="U444" s="611"/>
      <c r="V444" s="252"/>
      <c r="W444" s="194">
        <v>2</v>
      </c>
      <c r="X444" s="192" t="s">
        <v>1027</v>
      </c>
      <c r="Y444" s="194" t="str">
        <f t="shared" si="563"/>
        <v>Probabilidad</v>
      </c>
      <c r="Z444" s="188" t="s">
        <v>211</v>
      </c>
      <c r="AA444" s="188" t="s">
        <v>219</v>
      </c>
      <c r="AB444" s="185" t="str">
        <f t="shared" si="568"/>
        <v>40%</v>
      </c>
      <c r="AC444" s="188" t="s">
        <v>222</v>
      </c>
      <c r="AD444" s="188" t="s">
        <v>227</v>
      </c>
      <c r="AE444" s="188" t="s">
        <v>231</v>
      </c>
      <c r="AF444" s="602">
        <f t="shared" ref="AF444:AF448" si="597">IFERROR(IF(AND(Y443="Probabilidad",Y444="Probabilidad"),(AH443-(+AH443*AB444)),IF(Y444="Probabilidad",(Q443-(+Q443*AB444)),IF(Y444="Impacto",AH443,""))),"")</f>
        <v>0.216</v>
      </c>
      <c r="AG444" s="186" t="str">
        <f t="shared" si="564"/>
        <v>Baja</v>
      </c>
      <c r="AH444" s="185">
        <f t="shared" si="565"/>
        <v>0.216</v>
      </c>
      <c r="AI444" s="186" t="str">
        <f t="shared" ca="1" si="566"/>
        <v>Mayor</v>
      </c>
      <c r="AJ444" s="185">
        <f t="shared" ref="AJ444" ca="1" si="598">IFERROR(IF(AND(Y443="Impacto",Y444="Impacto"),(AJ443-(+AJ443*AB444)),IF(Y444="Impacto",(U443-(+U443*AB444)),IF(Y444="Probabilidad",AJ443,""))),"")</f>
        <v>0.8</v>
      </c>
      <c r="AK444" s="187" t="str">
        <f t="shared" ca="1" si="567"/>
        <v>Alto</v>
      </c>
      <c r="AL444" s="603" t="s">
        <v>265</v>
      </c>
      <c r="AM444" s="628"/>
      <c r="AN444" s="629"/>
      <c r="AO444" s="630"/>
      <c r="AP444" s="631"/>
      <c r="AQ444" s="251"/>
      <c r="AR444" s="632"/>
    </row>
    <row r="445" spans="1:44" s="605" customFormat="1" ht="182.25" x14ac:dyDescent="0.25">
      <c r="A445" s="252"/>
      <c r="B445" s="246"/>
      <c r="C445" s="251"/>
      <c r="D445" s="266"/>
      <c r="E445" s="505"/>
      <c r="F445" s="506"/>
      <c r="G445" s="506"/>
      <c r="H445" s="507"/>
      <c r="I445" s="249"/>
      <c r="J445" s="249"/>
      <c r="K445" s="249"/>
      <c r="L445" s="249"/>
      <c r="M445" s="616"/>
      <c r="N445" s="251"/>
      <c r="O445" s="256"/>
      <c r="P445" s="610"/>
      <c r="Q445" s="611"/>
      <c r="R445" s="611"/>
      <c r="S445" s="611">
        <f ca="1">IF(NOT(ISERROR(MATCH(R445,_xlfn.ANCHORARRAY(H456),0))),Q458&amp;"Por favor no seleccionar los criterios de impacto",R445)</f>
        <v>0</v>
      </c>
      <c r="T445" s="610"/>
      <c r="U445" s="611"/>
      <c r="V445" s="252"/>
      <c r="W445" s="194">
        <v>3</v>
      </c>
      <c r="X445" s="192" t="s">
        <v>1028</v>
      </c>
      <c r="Y445" s="194" t="str">
        <f t="shared" si="563"/>
        <v>Probabilidad</v>
      </c>
      <c r="Z445" s="188" t="s">
        <v>211</v>
      </c>
      <c r="AA445" s="188" t="s">
        <v>219</v>
      </c>
      <c r="AB445" s="185" t="str">
        <f t="shared" si="568"/>
        <v>40%</v>
      </c>
      <c r="AC445" s="188" t="s">
        <v>222</v>
      </c>
      <c r="AD445" s="188" t="s">
        <v>227</v>
      </c>
      <c r="AE445" s="188" t="s">
        <v>231</v>
      </c>
      <c r="AF445" s="602">
        <f t="shared" si="597"/>
        <v>0.12959999999999999</v>
      </c>
      <c r="AG445" s="186" t="str">
        <f t="shared" si="564"/>
        <v>Muy Baja</v>
      </c>
      <c r="AH445" s="185">
        <f t="shared" si="565"/>
        <v>0.12959999999999999</v>
      </c>
      <c r="AI445" s="186" t="str">
        <f t="shared" ca="1" si="566"/>
        <v>Mayor</v>
      </c>
      <c r="AJ445" s="185">
        <f t="shared" ref="AJ445:AJ448" ca="1" si="599">IFERROR(IF(AND(Y444="Impacto",Y445="Impacto"),(AJ444-(+AJ444*AB445)),IF(AND(Y444="Probabilidad",Y445="Impacto"),(AJ443-(+AJ443*AB445)),IF(Y445="Probabilidad",AJ444,""))),"")</f>
        <v>0.8</v>
      </c>
      <c r="AK445" s="187" t="str">
        <f t="shared" ca="1" si="567"/>
        <v>Alto</v>
      </c>
      <c r="AL445" s="603" t="s">
        <v>265</v>
      </c>
      <c r="AM445" s="628"/>
      <c r="AN445" s="629"/>
      <c r="AO445" s="630"/>
      <c r="AP445" s="631"/>
      <c r="AQ445" s="251"/>
      <c r="AR445" s="632"/>
    </row>
    <row r="446" spans="1:44" s="605" customFormat="1" ht="191.25" customHeight="1" x14ac:dyDescent="0.25">
      <c r="A446" s="252"/>
      <c r="B446" s="246"/>
      <c r="C446" s="251"/>
      <c r="D446" s="266"/>
      <c r="E446" s="505"/>
      <c r="F446" s="506"/>
      <c r="G446" s="506"/>
      <c r="H446" s="507"/>
      <c r="I446" s="249"/>
      <c r="J446" s="249"/>
      <c r="K446" s="249"/>
      <c r="L446" s="249"/>
      <c r="M446" s="616"/>
      <c r="N446" s="251"/>
      <c r="O446" s="256"/>
      <c r="P446" s="610"/>
      <c r="Q446" s="611"/>
      <c r="R446" s="611"/>
      <c r="S446" s="611">
        <f ca="1">IF(NOT(ISERROR(MATCH(R446,_xlfn.ANCHORARRAY(H457),0))),Q459&amp;"Por favor no seleccionar los criterios de impacto",R446)</f>
        <v>0</v>
      </c>
      <c r="T446" s="610"/>
      <c r="U446" s="611"/>
      <c r="V446" s="252"/>
      <c r="W446" s="194">
        <v>4</v>
      </c>
      <c r="X446" s="192" t="s">
        <v>1029</v>
      </c>
      <c r="Y446" s="194" t="str">
        <f t="shared" si="563"/>
        <v>Probabilidad</v>
      </c>
      <c r="Z446" s="188" t="s">
        <v>213</v>
      </c>
      <c r="AA446" s="188" t="s">
        <v>219</v>
      </c>
      <c r="AB446" s="185" t="str">
        <f t="shared" si="568"/>
        <v>30%</v>
      </c>
      <c r="AC446" s="188" t="s">
        <v>222</v>
      </c>
      <c r="AD446" s="188" t="s">
        <v>227</v>
      </c>
      <c r="AE446" s="188" t="s">
        <v>231</v>
      </c>
      <c r="AF446" s="602">
        <f t="shared" si="597"/>
        <v>9.0719999999999995E-2</v>
      </c>
      <c r="AG446" s="186" t="str">
        <f t="shared" si="564"/>
        <v>Muy Baja</v>
      </c>
      <c r="AH446" s="185">
        <f t="shared" si="565"/>
        <v>9.0719999999999995E-2</v>
      </c>
      <c r="AI446" s="186" t="str">
        <f t="shared" ca="1" si="566"/>
        <v>Mayor</v>
      </c>
      <c r="AJ446" s="185">
        <f t="shared" ca="1" si="599"/>
        <v>0.8</v>
      </c>
      <c r="AK446" s="187" t="str">
        <f t="shared" ca="1" si="567"/>
        <v>Alto</v>
      </c>
      <c r="AL446" s="603" t="s">
        <v>265</v>
      </c>
      <c r="AM446" s="633"/>
      <c r="AN446" s="634"/>
      <c r="AO446" s="635"/>
      <c r="AP446" s="636"/>
      <c r="AQ446" s="239"/>
      <c r="AR446" s="637"/>
    </row>
    <row r="447" spans="1:44" s="605" customFormat="1" ht="69" hidden="1" customHeight="1" x14ac:dyDescent="0.25">
      <c r="A447" s="252"/>
      <c r="B447" s="246"/>
      <c r="C447" s="251"/>
      <c r="D447" s="266"/>
      <c r="E447" s="505"/>
      <c r="F447" s="506"/>
      <c r="G447" s="506"/>
      <c r="H447" s="507"/>
      <c r="I447" s="249"/>
      <c r="J447" s="249"/>
      <c r="K447" s="249"/>
      <c r="L447" s="249"/>
      <c r="M447" s="616"/>
      <c r="N447" s="251"/>
      <c r="O447" s="256"/>
      <c r="P447" s="610"/>
      <c r="Q447" s="611"/>
      <c r="R447" s="611"/>
      <c r="S447" s="611">
        <f ca="1">IF(NOT(ISERROR(MATCH(R447,_xlfn.ANCHORARRAY(H458),0))),Q460&amp;"Por favor no seleccionar los criterios de impacto",R447)</f>
        <v>0</v>
      </c>
      <c r="T447" s="610"/>
      <c r="U447" s="611"/>
      <c r="V447" s="252"/>
      <c r="W447" s="194">
        <v>5</v>
      </c>
      <c r="X447" s="192"/>
      <c r="Y447" s="194" t="str">
        <f t="shared" si="563"/>
        <v/>
      </c>
      <c r="Z447" s="188"/>
      <c r="AA447" s="188"/>
      <c r="AB447" s="185" t="str">
        <f t="shared" si="568"/>
        <v/>
      </c>
      <c r="AC447" s="188"/>
      <c r="AD447" s="188"/>
      <c r="AE447" s="188"/>
      <c r="AF447" s="602" t="str">
        <f t="shared" si="597"/>
        <v/>
      </c>
      <c r="AG447" s="186" t="str">
        <f t="shared" si="564"/>
        <v/>
      </c>
      <c r="AH447" s="185" t="str">
        <f t="shared" si="565"/>
        <v/>
      </c>
      <c r="AI447" s="186" t="str">
        <f t="shared" si="566"/>
        <v/>
      </c>
      <c r="AJ447" s="185" t="str">
        <f t="shared" si="599"/>
        <v/>
      </c>
      <c r="AK447" s="187" t="str">
        <f t="shared" si="567"/>
        <v/>
      </c>
      <c r="AL447" s="603"/>
      <c r="AM447" s="189"/>
      <c r="AN447" s="194"/>
      <c r="AO447" s="190"/>
      <c r="AP447" s="190"/>
      <c r="AQ447" s="191"/>
      <c r="AR447" s="194"/>
    </row>
    <row r="448" spans="1:44" s="605" customFormat="1" ht="69" hidden="1" customHeight="1" x14ac:dyDescent="0.25">
      <c r="A448" s="252"/>
      <c r="B448" s="247"/>
      <c r="C448" s="239"/>
      <c r="D448" s="267"/>
      <c r="E448" s="505"/>
      <c r="F448" s="506"/>
      <c r="G448" s="506"/>
      <c r="H448" s="507"/>
      <c r="I448" s="250"/>
      <c r="J448" s="250"/>
      <c r="K448" s="250"/>
      <c r="L448" s="250"/>
      <c r="M448" s="616"/>
      <c r="N448" s="239"/>
      <c r="O448" s="256"/>
      <c r="P448" s="610"/>
      <c r="Q448" s="611"/>
      <c r="R448" s="611"/>
      <c r="S448" s="611">
        <f ca="1">IF(NOT(ISERROR(MATCH(R448,_xlfn.ANCHORARRAY(H459),0))),Q461&amp;"Por favor no seleccionar los criterios de impacto",R448)</f>
        <v>0</v>
      </c>
      <c r="T448" s="610"/>
      <c r="U448" s="611"/>
      <c r="V448" s="252"/>
      <c r="W448" s="194">
        <v>6</v>
      </c>
      <c r="X448" s="192"/>
      <c r="Y448" s="194" t="str">
        <f t="shared" si="563"/>
        <v/>
      </c>
      <c r="Z448" s="188"/>
      <c r="AA448" s="188"/>
      <c r="AB448" s="185" t="str">
        <f t="shared" si="568"/>
        <v/>
      </c>
      <c r="AC448" s="188"/>
      <c r="AD448" s="188"/>
      <c r="AE448" s="188"/>
      <c r="AF448" s="602" t="str">
        <f t="shared" si="597"/>
        <v/>
      </c>
      <c r="AG448" s="186" t="str">
        <f t="shared" si="564"/>
        <v/>
      </c>
      <c r="AH448" s="185" t="str">
        <f t="shared" si="565"/>
        <v/>
      </c>
      <c r="AI448" s="186" t="str">
        <f t="shared" si="566"/>
        <v/>
      </c>
      <c r="AJ448" s="185" t="str">
        <f t="shared" si="599"/>
        <v/>
      </c>
      <c r="AK448" s="187" t="str">
        <f t="shared" si="567"/>
        <v/>
      </c>
      <c r="AL448" s="603"/>
      <c r="AM448" s="189"/>
      <c r="AN448" s="194"/>
      <c r="AO448" s="190"/>
      <c r="AP448" s="190"/>
      <c r="AQ448" s="191"/>
      <c r="AR448" s="194"/>
    </row>
    <row r="449" spans="1:44" s="605" customFormat="1" ht="141.75" customHeight="1" x14ac:dyDescent="0.25">
      <c r="A449" s="242">
        <v>73</v>
      </c>
      <c r="B449" s="245" t="s">
        <v>1033</v>
      </c>
      <c r="C449" s="238" t="s">
        <v>280</v>
      </c>
      <c r="D449" s="263" t="s">
        <v>991</v>
      </c>
      <c r="E449" s="505" t="s">
        <v>239</v>
      </c>
      <c r="F449" s="506" t="s">
        <v>1023</v>
      </c>
      <c r="G449" s="506" t="s">
        <v>1034</v>
      </c>
      <c r="H449" s="507" t="s">
        <v>1035</v>
      </c>
      <c r="I449" s="248" t="s">
        <v>688</v>
      </c>
      <c r="J449" s="248" t="s">
        <v>688</v>
      </c>
      <c r="K449" s="248" t="s">
        <v>688</v>
      </c>
      <c r="L449" s="248" t="s">
        <v>688</v>
      </c>
      <c r="M449" s="616" t="s">
        <v>247</v>
      </c>
      <c r="N449" s="238"/>
      <c r="O449" s="256">
        <v>365</v>
      </c>
      <c r="P449" s="610" t="str">
        <f t="shared" si="584"/>
        <v>Media</v>
      </c>
      <c r="Q449" s="611">
        <f t="shared" si="585"/>
        <v>0.6</v>
      </c>
      <c r="R449" s="611" t="s">
        <v>195</v>
      </c>
      <c r="S449" s="611" t="str">
        <f ca="1">IF(NOT(ISERROR(MATCH(R449,'Tabla Impacto'!$B$221:$B$223,0))),'Tabla Impacto'!$F$223&amp;"Por favor no seleccionar los criterios de impacto(Afectación Económica o presupuestal y Pérdida Reputacional)",R449)</f>
        <v xml:space="preserve">Entre 100 y 500 SMLMV </v>
      </c>
      <c r="T449" s="610" t="str">
        <f ca="1">+IF(OR(S449='[1]Tabla Impacto'!$C$11,S449='[1]Tabla Impacto'!$D$11),"Leve",IF(OR(S449='[1]Tabla Impacto'!$C$12,S449='[1]Tabla Impacto'!$D$12),"Menor",IF(OR(S449='[1]Tabla Impacto'!$C$13,S449='[1]Tabla Impacto'!$D$13),"Moderado",IF(OR(S449='[1]Tabla Impacto'!$C$14,S449='[1]Tabla Impacto'!$D$14),"Mayor",IF(OR(S449='[1]Tabla Impacto'!$C$15,S449='[1]Tabla Impacto'!$D$15),"Catastrófico","")))))</f>
        <v>Mayor</v>
      </c>
      <c r="U449" s="611">
        <f t="shared" ref="U449" ca="1" si="600">IF(T449="","",IF(T449="Leve",0.2,IF(T449="Menor",0.4,IF(T449="Moderado",0.6,IF(T449="Mayor",0.8,IF(T449="Catastrófico",1,))))))</f>
        <v>0.8</v>
      </c>
      <c r="V449" s="252" t="str">
        <f t="shared" ref="V449" ca="1" si="601">IF(OR(AND(P449="Muy Baja",T449="Leve"),AND(P449="Muy Baja",T449="Menor"),AND(P449="Baja",T449="Leve")),"Bajo",IF(OR(AND(P449="Muy baja",T449="Moderado"),AND(P449="Baja",T449="Menor"),AND(P449="Baja",T449="Moderado"),AND(P449="Media",T449="Leve"),AND(P449="Media",T449="Menor"),AND(P449="Media",T449="Moderado"),AND(P449="Alta",T449="Leve"),AND(P449="Alta",T449="Menor")),"Moderado",IF(OR(AND(P449="Muy Baja",T449="Mayor"),AND(P449="Baja",T449="Mayor"),AND(P449="Media",T449="Mayor"),AND(P449="Alta",T449="Moderado"),AND(P449="Alta",T449="Mayor"),AND(P449="Muy Alta",T449="Leve"),AND(P449="Muy Alta",T449="Menor"),AND(P449="Muy Alta",T449="Moderado"),AND(P449="Muy Alta",T449="Mayor")),"Alto",IF(OR(AND(P449="Muy Baja",T449="Catastrófico"),AND(P449="Baja",T449="Catastrófico"),AND(P449="Media",T449="Catastrófico"),AND(P449="Alta",T449="Catastrófico"),AND(P449="Muy Alta",T449="Catastrófico")),"Extremo",""))))</f>
        <v>Alto</v>
      </c>
      <c r="W449" s="194">
        <v>1</v>
      </c>
      <c r="X449" s="193" t="s">
        <v>1036</v>
      </c>
      <c r="Y449" s="194" t="str">
        <f t="shared" si="563"/>
        <v>Probabilidad</v>
      </c>
      <c r="Z449" s="188" t="s">
        <v>211</v>
      </c>
      <c r="AA449" s="188" t="s">
        <v>219</v>
      </c>
      <c r="AB449" s="185" t="str">
        <f t="shared" si="568"/>
        <v>40%</v>
      </c>
      <c r="AC449" s="188" t="s">
        <v>222</v>
      </c>
      <c r="AD449" s="188" t="s">
        <v>227</v>
      </c>
      <c r="AE449" s="188" t="s">
        <v>231</v>
      </c>
      <c r="AF449" s="602">
        <f t="shared" ref="AF449" si="602">IFERROR(IF(Y449="Probabilidad",(Q449-(+Q449*AB449)),IF(Y449="Impacto",Q449,"")),"")</f>
        <v>0.36</v>
      </c>
      <c r="AG449" s="186" t="str">
        <f t="shared" si="564"/>
        <v>Baja</v>
      </c>
      <c r="AH449" s="185">
        <f t="shared" si="565"/>
        <v>0.36</v>
      </c>
      <c r="AI449" s="186" t="str">
        <f t="shared" ca="1" si="566"/>
        <v>Mayor</v>
      </c>
      <c r="AJ449" s="185">
        <f t="shared" ref="AJ449" ca="1" si="603">IFERROR(IF(Y449="Impacto",(U449-(+U449*AB449)),IF(Y449="Probabilidad",U449,"")),"")</f>
        <v>0.8</v>
      </c>
      <c r="AK449" s="187" t="str">
        <f t="shared" ca="1" si="567"/>
        <v>Alto</v>
      </c>
      <c r="AL449" s="603" t="s">
        <v>265</v>
      </c>
      <c r="AM449" s="623" t="s">
        <v>1040</v>
      </c>
      <c r="AN449" s="626" t="s">
        <v>1041</v>
      </c>
      <c r="AO449" s="625">
        <v>45323</v>
      </c>
      <c r="AP449" s="624" t="s">
        <v>576</v>
      </c>
      <c r="AQ449" s="626"/>
      <c r="AR449" s="627" t="s">
        <v>262</v>
      </c>
    </row>
    <row r="450" spans="1:44" s="605" customFormat="1" ht="126.75" customHeight="1" x14ac:dyDescent="0.25">
      <c r="A450" s="243"/>
      <c r="B450" s="246"/>
      <c r="C450" s="251"/>
      <c r="D450" s="266"/>
      <c r="E450" s="505"/>
      <c r="F450" s="506"/>
      <c r="G450" s="506"/>
      <c r="H450" s="507"/>
      <c r="I450" s="249"/>
      <c r="J450" s="249"/>
      <c r="K450" s="249"/>
      <c r="L450" s="249"/>
      <c r="M450" s="616"/>
      <c r="N450" s="251"/>
      <c r="O450" s="256"/>
      <c r="P450" s="610"/>
      <c r="Q450" s="611"/>
      <c r="R450" s="611"/>
      <c r="S450" s="611">
        <f ca="1">IF(NOT(ISERROR(MATCH(R450,_xlfn.ANCHORARRAY(H461),0))),Q463&amp;"Por favor no seleccionar los criterios de impacto",R450)</f>
        <v>0</v>
      </c>
      <c r="T450" s="610"/>
      <c r="U450" s="611"/>
      <c r="V450" s="252"/>
      <c r="W450" s="194">
        <v>2</v>
      </c>
      <c r="X450" s="193" t="s">
        <v>1037</v>
      </c>
      <c r="Y450" s="194" t="str">
        <f t="shared" si="563"/>
        <v>Probabilidad</v>
      </c>
      <c r="Z450" s="188" t="s">
        <v>211</v>
      </c>
      <c r="AA450" s="188" t="s">
        <v>219</v>
      </c>
      <c r="AB450" s="185" t="str">
        <f t="shared" si="568"/>
        <v>40%</v>
      </c>
      <c r="AC450" s="188" t="s">
        <v>222</v>
      </c>
      <c r="AD450" s="188" t="s">
        <v>227</v>
      </c>
      <c r="AE450" s="188" t="s">
        <v>231</v>
      </c>
      <c r="AF450" s="602">
        <f t="shared" ref="AF450:AF454" si="604">IFERROR(IF(AND(Y449="Probabilidad",Y450="Probabilidad"),(AH449-(+AH449*AB450)),IF(Y450="Probabilidad",(Q449-(+Q449*AB450)),IF(Y450="Impacto",AH449,""))),"")</f>
        <v>0.216</v>
      </c>
      <c r="AG450" s="186" t="str">
        <f t="shared" si="564"/>
        <v>Baja</v>
      </c>
      <c r="AH450" s="185">
        <f t="shared" si="565"/>
        <v>0.216</v>
      </c>
      <c r="AI450" s="186" t="str">
        <f t="shared" ca="1" si="566"/>
        <v>Mayor</v>
      </c>
      <c r="AJ450" s="185">
        <f t="shared" ref="AJ450" ca="1" si="605">IFERROR(IF(AND(Y449="Impacto",Y450="Impacto"),(AJ449-(+AJ449*AB450)),IF(Y450="Impacto",(U449-(+U449*AB450)),IF(Y450="Probabilidad",AJ449,""))),"")</f>
        <v>0.8</v>
      </c>
      <c r="AK450" s="187" t="str">
        <f t="shared" ca="1" si="567"/>
        <v>Alto</v>
      </c>
      <c r="AL450" s="603" t="s">
        <v>265</v>
      </c>
      <c r="AM450" s="628"/>
      <c r="AN450" s="631"/>
      <c r="AO450" s="630"/>
      <c r="AP450" s="629"/>
      <c r="AQ450" s="631"/>
      <c r="AR450" s="632"/>
    </row>
    <row r="451" spans="1:44" s="605" customFormat="1" ht="132" customHeight="1" x14ac:dyDescent="0.25">
      <c r="A451" s="243"/>
      <c r="B451" s="246"/>
      <c r="C451" s="251"/>
      <c r="D451" s="266"/>
      <c r="E451" s="505"/>
      <c r="F451" s="506"/>
      <c r="G451" s="506"/>
      <c r="H451" s="507"/>
      <c r="I451" s="249"/>
      <c r="J451" s="249"/>
      <c r="K451" s="249"/>
      <c r="L451" s="249"/>
      <c r="M451" s="616"/>
      <c r="N451" s="251"/>
      <c r="O451" s="256"/>
      <c r="P451" s="610"/>
      <c r="Q451" s="611"/>
      <c r="R451" s="611"/>
      <c r="S451" s="611">
        <f ca="1">IF(NOT(ISERROR(MATCH(R451,_xlfn.ANCHORARRAY(H462),0))),Q464&amp;"Por favor no seleccionar los criterios de impacto",R451)</f>
        <v>0</v>
      </c>
      <c r="T451" s="610"/>
      <c r="U451" s="611"/>
      <c r="V451" s="252"/>
      <c r="W451" s="194">
        <v>3</v>
      </c>
      <c r="X451" s="193" t="s">
        <v>1038</v>
      </c>
      <c r="Y451" s="194" t="str">
        <f t="shared" si="563"/>
        <v>Probabilidad</v>
      </c>
      <c r="Z451" s="188" t="s">
        <v>211</v>
      </c>
      <c r="AA451" s="188" t="s">
        <v>219</v>
      </c>
      <c r="AB451" s="185" t="str">
        <f t="shared" si="568"/>
        <v>40%</v>
      </c>
      <c r="AC451" s="188" t="s">
        <v>222</v>
      </c>
      <c r="AD451" s="188" t="s">
        <v>227</v>
      </c>
      <c r="AE451" s="188" t="s">
        <v>231</v>
      </c>
      <c r="AF451" s="602">
        <f t="shared" si="604"/>
        <v>0.12959999999999999</v>
      </c>
      <c r="AG451" s="186" t="str">
        <f t="shared" si="564"/>
        <v>Muy Baja</v>
      </c>
      <c r="AH451" s="185">
        <f t="shared" si="565"/>
        <v>0.12959999999999999</v>
      </c>
      <c r="AI451" s="186" t="str">
        <f t="shared" ca="1" si="566"/>
        <v>Mayor</v>
      </c>
      <c r="AJ451" s="185">
        <f t="shared" ref="AJ451:AJ454" ca="1" si="606">IFERROR(IF(AND(Y450="Impacto",Y451="Impacto"),(AJ450-(+AJ450*AB451)),IF(AND(Y450="Probabilidad",Y451="Impacto"),(AJ449-(+AJ449*AB451)),IF(Y451="Probabilidad",AJ450,""))),"")</f>
        <v>0.8</v>
      </c>
      <c r="AK451" s="187" t="str">
        <f t="shared" ca="1" si="567"/>
        <v>Alto</v>
      </c>
      <c r="AL451" s="603" t="s">
        <v>265</v>
      </c>
      <c r="AM451" s="628"/>
      <c r="AN451" s="631"/>
      <c r="AO451" s="630"/>
      <c r="AP451" s="629"/>
      <c r="AQ451" s="631"/>
      <c r="AR451" s="632"/>
    </row>
    <row r="452" spans="1:44" s="605" customFormat="1" ht="179.25" customHeight="1" x14ac:dyDescent="0.25">
      <c r="A452" s="243"/>
      <c r="B452" s="246"/>
      <c r="C452" s="251"/>
      <c r="D452" s="266"/>
      <c r="E452" s="505"/>
      <c r="F452" s="506"/>
      <c r="G452" s="506"/>
      <c r="H452" s="507"/>
      <c r="I452" s="249"/>
      <c r="J452" s="249"/>
      <c r="K452" s="249"/>
      <c r="L452" s="249"/>
      <c r="M452" s="616"/>
      <c r="N452" s="251"/>
      <c r="O452" s="256"/>
      <c r="P452" s="610"/>
      <c r="Q452" s="611"/>
      <c r="R452" s="611"/>
      <c r="S452" s="611">
        <f ca="1">IF(NOT(ISERROR(MATCH(R452,_xlfn.ANCHORARRAY(H463),0))),Q465&amp;"Por favor no seleccionar los criterios de impacto",R452)</f>
        <v>0</v>
      </c>
      <c r="T452" s="610"/>
      <c r="U452" s="611"/>
      <c r="V452" s="252"/>
      <c r="W452" s="194">
        <v>4</v>
      </c>
      <c r="X452" s="192" t="s">
        <v>1039</v>
      </c>
      <c r="Y452" s="194" t="str">
        <f t="shared" si="563"/>
        <v>Probabilidad</v>
      </c>
      <c r="Z452" s="188" t="s">
        <v>213</v>
      </c>
      <c r="AA452" s="188" t="s">
        <v>219</v>
      </c>
      <c r="AB452" s="185" t="str">
        <f t="shared" si="568"/>
        <v>30%</v>
      </c>
      <c r="AC452" s="188" t="s">
        <v>222</v>
      </c>
      <c r="AD452" s="188" t="s">
        <v>227</v>
      </c>
      <c r="AE452" s="188" t="s">
        <v>231</v>
      </c>
      <c r="AF452" s="602">
        <f t="shared" si="604"/>
        <v>9.0719999999999995E-2</v>
      </c>
      <c r="AG452" s="186" t="str">
        <f t="shared" si="564"/>
        <v>Muy Baja</v>
      </c>
      <c r="AH452" s="185">
        <f t="shared" si="565"/>
        <v>9.0719999999999995E-2</v>
      </c>
      <c r="AI452" s="186" t="str">
        <f t="shared" ca="1" si="566"/>
        <v>Mayor</v>
      </c>
      <c r="AJ452" s="185">
        <f t="shared" ca="1" si="606"/>
        <v>0.8</v>
      </c>
      <c r="AK452" s="187" t="str">
        <f t="shared" ca="1" si="567"/>
        <v>Alto</v>
      </c>
      <c r="AL452" s="603" t="s">
        <v>265</v>
      </c>
      <c r="AM452" s="633"/>
      <c r="AN452" s="636"/>
      <c r="AO452" s="635"/>
      <c r="AP452" s="634"/>
      <c r="AQ452" s="636"/>
      <c r="AR452" s="637"/>
    </row>
    <row r="453" spans="1:44" s="605" customFormat="1" ht="69" hidden="1" customHeight="1" x14ac:dyDescent="0.25">
      <c r="A453" s="243"/>
      <c r="B453" s="246"/>
      <c r="C453" s="251"/>
      <c r="D453" s="266"/>
      <c r="E453" s="505"/>
      <c r="F453" s="506"/>
      <c r="G453" s="506"/>
      <c r="H453" s="507"/>
      <c r="I453" s="249"/>
      <c r="J453" s="249"/>
      <c r="K453" s="249"/>
      <c r="L453" s="249"/>
      <c r="M453" s="616"/>
      <c r="N453" s="251"/>
      <c r="O453" s="256"/>
      <c r="P453" s="610"/>
      <c r="Q453" s="611"/>
      <c r="R453" s="611"/>
      <c r="S453" s="611">
        <f ca="1">IF(NOT(ISERROR(MATCH(R453,_xlfn.ANCHORARRAY(H464),0))),Q466&amp;"Por favor no seleccionar los criterios de impacto",R453)</f>
        <v>0</v>
      </c>
      <c r="T453" s="610"/>
      <c r="U453" s="611"/>
      <c r="V453" s="252"/>
      <c r="W453" s="194">
        <v>5</v>
      </c>
      <c r="X453" s="192"/>
      <c r="Y453" s="194" t="str">
        <f t="shared" si="563"/>
        <v/>
      </c>
      <c r="Z453" s="188"/>
      <c r="AA453" s="188"/>
      <c r="AB453" s="185" t="str">
        <f t="shared" si="568"/>
        <v/>
      </c>
      <c r="AC453" s="188"/>
      <c r="AD453" s="188"/>
      <c r="AE453" s="188"/>
      <c r="AF453" s="602" t="str">
        <f t="shared" si="604"/>
        <v/>
      </c>
      <c r="AG453" s="186" t="str">
        <f t="shared" si="564"/>
        <v/>
      </c>
      <c r="AH453" s="185" t="str">
        <f t="shared" si="565"/>
        <v/>
      </c>
      <c r="AI453" s="186" t="str">
        <f t="shared" si="566"/>
        <v/>
      </c>
      <c r="AJ453" s="185" t="str">
        <f t="shared" si="606"/>
        <v/>
      </c>
      <c r="AK453" s="187" t="str">
        <f t="shared" si="567"/>
        <v/>
      </c>
      <c r="AL453" s="603"/>
      <c r="AM453" s="189"/>
      <c r="AN453" s="194"/>
      <c r="AO453" s="190"/>
      <c r="AP453" s="190"/>
      <c r="AQ453" s="191"/>
      <c r="AR453" s="194"/>
    </row>
    <row r="454" spans="1:44" s="605" customFormat="1" ht="69" hidden="1" customHeight="1" x14ac:dyDescent="0.25">
      <c r="A454" s="244"/>
      <c r="B454" s="247"/>
      <c r="C454" s="239"/>
      <c r="D454" s="267"/>
      <c r="E454" s="505"/>
      <c r="F454" s="506"/>
      <c r="G454" s="506"/>
      <c r="H454" s="507"/>
      <c r="I454" s="250"/>
      <c r="J454" s="250"/>
      <c r="K454" s="250"/>
      <c r="L454" s="250"/>
      <c r="M454" s="616"/>
      <c r="N454" s="239"/>
      <c r="O454" s="256"/>
      <c r="P454" s="610"/>
      <c r="Q454" s="611"/>
      <c r="R454" s="611"/>
      <c r="S454" s="611">
        <f ca="1">IF(NOT(ISERROR(MATCH(R454,_xlfn.ANCHORARRAY(H465),0))),Q467&amp;"Por favor no seleccionar los criterios de impacto",R454)</f>
        <v>0</v>
      </c>
      <c r="T454" s="610"/>
      <c r="U454" s="611"/>
      <c r="V454" s="252"/>
      <c r="W454" s="194">
        <v>6</v>
      </c>
      <c r="X454" s="192"/>
      <c r="Y454" s="194" t="str">
        <f t="shared" si="563"/>
        <v/>
      </c>
      <c r="Z454" s="188"/>
      <c r="AA454" s="188"/>
      <c r="AB454" s="185" t="str">
        <f t="shared" si="568"/>
        <v/>
      </c>
      <c r="AC454" s="188"/>
      <c r="AD454" s="188"/>
      <c r="AE454" s="188"/>
      <c r="AF454" s="602" t="str">
        <f t="shared" si="604"/>
        <v/>
      </c>
      <c r="AG454" s="186" t="str">
        <f t="shared" si="564"/>
        <v/>
      </c>
      <c r="AH454" s="185" t="str">
        <f t="shared" si="565"/>
        <v/>
      </c>
      <c r="AI454" s="186" t="str">
        <f t="shared" si="566"/>
        <v/>
      </c>
      <c r="AJ454" s="185" t="str">
        <f t="shared" si="606"/>
        <v/>
      </c>
      <c r="AK454" s="187" t="str">
        <f t="shared" si="567"/>
        <v/>
      </c>
      <c r="AL454" s="603"/>
      <c r="AM454" s="189"/>
      <c r="AN454" s="194"/>
      <c r="AO454" s="190"/>
      <c r="AP454" s="190"/>
      <c r="AQ454" s="191"/>
      <c r="AR454" s="194"/>
    </row>
    <row r="455" spans="1:44" s="605" customFormat="1" ht="213" customHeight="1" x14ac:dyDescent="0.25">
      <c r="A455" s="252">
        <v>74</v>
      </c>
      <c r="B455" s="245" t="s">
        <v>1042</v>
      </c>
      <c r="C455" s="238" t="s">
        <v>280</v>
      </c>
      <c r="D455" s="268" t="s">
        <v>1043</v>
      </c>
      <c r="E455" s="253" t="s">
        <v>243</v>
      </c>
      <c r="F455" s="254" t="s">
        <v>793</v>
      </c>
      <c r="G455" s="254" t="s">
        <v>1044</v>
      </c>
      <c r="H455" s="255" t="s">
        <v>1045</v>
      </c>
      <c r="I455" s="248" t="s">
        <v>480</v>
      </c>
      <c r="J455" s="248" t="s">
        <v>480</v>
      </c>
      <c r="K455" s="248" t="s">
        <v>480</v>
      </c>
      <c r="L455" s="248" t="s">
        <v>480</v>
      </c>
      <c r="M455" s="253" t="s">
        <v>242</v>
      </c>
      <c r="N455" s="238"/>
      <c r="O455" s="256">
        <v>1500</v>
      </c>
      <c r="P455" s="610" t="str">
        <f t="shared" si="584"/>
        <v>Alta</v>
      </c>
      <c r="Q455" s="611">
        <f t="shared" si="585"/>
        <v>0.8</v>
      </c>
      <c r="R455" s="611" t="s">
        <v>187</v>
      </c>
      <c r="S455" s="611" t="str">
        <f ca="1">IF(NOT(ISERROR(MATCH(R455,'Tabla Impacto'!$B$221:$B$223,0))),'Tabla Impacto'!$F$223&amp;"Por favor no seleccionar los criterios de impacto(Afectación Económica o presupuestal y Pérdida Reputacional)",R455)</f>
        <v>El riesgo afecta la imagen de alguna área de la organización</v>
      </c>
      <c r="T455" s="610" t="str">
        <f ca="1">+IF(OR(S455='[1]Tabla Impacto'!$C$11,S455='[1]Tabla Impacto'!$D$11),"Leve",IF(OR(S455='[1]Tabla Impacto'!$C$12,S455='[1]Tabla Impacto'!$D$12),"Menor",IF(OR(S455='[1]Tabla Impacto'!$C$13,S455='[1]Tabla Impacto'!$D$13),"Moderado",IF(OR(S455='[1]Tabla Impacto'!$C$14,S455='[1]Tabla Impacto'!$D$14),"Mayor",IF(OR(S455='[1]Tabla Impacto'!$C$15,S455='[1]Tabla Impacto'!$D$15),"Catastrófico","")))))</f>
        <v>Leve</v>
      </c>
      <c r="U455" s="611">
        <f t="shared" ref="U455" ca="1" si="607">IF(T455="","",IF(T455="Leve",0.2,IF(T455="Menor",0.4,IF(T455="Moderado",0.6,IF(T455="Mayor",0.8,IF(T455="Catastrófico",1,))))))</f>
        <v>0.2</v>
      </c>
      <c r="V455" s="252" t="str">
        <f t="shared" ref="V455" ca="1" si="608">IF(OR(AND(P455="Muy Baja",T455="Leve"),AND(P455="Muy Baja",T455="Menor"),AND(P455="Baja",T455="Leve")),"Bajo",IF(OR(AND(P455="Muy baja",T455="Moderado"),AND(P455="Baja",T455="Menor"),AND(P455="Baja",T455="Moderado"),AND(P455="Media",T455="Leve"),AND(P455="Media",T455="Menor"),AND(P455="Media",T455="Moderado"),AND(P455="Alta",T455="Leve"),AND(P455="Alta",T455="Menor")),"Moderado",IF(OR(AND(P455="Muy Baja",T455="Mayor"),AND(P455="Baja",T455="Mayor"),AND(P455="Media",T455="Mayor"),AND(P455="Alta",T455="Moderado"),AND(P455="Alta",T455="Mayor"),AND(P455="Muy Alta",T455="Leve"),AND(P455="Muy Alta",T455="Menor"),AND(P455="Muy Alta",T455="Moderado"),AND(P455="Muy Alta",T455="Mayor")),"Alto",IF(OR(AND(P455="Muy Baja",T455="Catastrófico"),AND(P455="Baja",T455="Catastrófico"),AND(P455="Media",T455="Catastrófico"),AND(P455="Alta",T455="Catastrófico"),AND(P455="Muy Alta",T455="Catastrófico")),"Extremo",""))))</f>
        <v>Moderado</v>
      </c>
      <c r="W455" s="194">
        <v>1</v>
      </c>
      <c r="X455" s="195" t="s">
        <v>1046</v>
      </c>
      <c r="Y455" s="194" t="str">
        <f t="shared" si="563"/>
        <v>Probabilidad</v>
      </c>
      <c r="Z455" s="188" t="s">
        <v>211</v>
      </c>
      <c r="AA455" s="188" t="s">
        <v>219</v>
      </c>
      <c r="AB455" s="185" t="str">
        <f t="shared" si="568"/>
        <v>40%</v>
      </c>
      <c r="AC455" s="188" t="s">
        <v>222</v>
      </c>
      <c r="AD455" s="188" t="s">
        <v>227</v>
      </c>
      <c r="AE455" s="188" t="s">
        <v>231</v>
      </c>
      <c r="AF455" s="602">
        <f t="shared" ref="AF455" si="609">IFERROR(IF(Y455="Probabilidad",(Q455-(+Q455*AB455)),IF(Y455="Impacto",Q455,"")),"")</f>
        <v>0.48</v>
      </c>
      <c r="AG455" s="186" t="str">
        <f t="shared" si="564"/>
        <v>Media</v>
      </c>
      <c r="AH455" s="185">
        <f t="shared" si="565"/>
        <v>0.48</v>
      </c>
      <c r="AI455" s="186" t="str">
        <f t="shared" ca="1" si="566"/>
        <v>Leve</v>
      </c>
      <c r="AJ455" s="185">
        <f t="shared" ref="AJ455" ca="1" si="610">IFERROR(IF(Y455="Impacto",(U455-(+U455*AB455)),IF(Y455="Probabilidad",U455,"")),"")</f>
        <v>0.2</v>
      </c>
      <c r="AK455" s="187" t="str">
        <f t="shared" ca="1" si="567"/>
        <v>Moderado</v>
      </c>
      <c r="AL455" s="603" t="s">
        <v>258</v>
      </c>
      <c r="AM455" s="189"/>
      <c r="AN455" s="194"/>
      <c r="AO455" s="190"/>
      <c r="AP455" s="190"/>
      <c r="AQ455" s="191"/>
      <c r="AR455" s="194"/>
    </row>
    <row r="456" spans="1:44" s="605" customFormat="1" ht="184.5" customHeight="1" x14ac:dyDescent="0.25">
      <c r="A456" s="252"/>
      <c r="B456" s="246"/>
      <c r="C456" s="251"/>
      <c r="D456" s="264"/>
      <c r="E456" s="253"/>
      <c r="F456" s="254"/>
      <c r="G456" s="254"/>
      <c r="H456" s="255"/>
      <c r="I456" s="249"/>
      <c r="J456" s="249"/>
      <c r="K456" s="249"/>
      <c r="L456" s="249"/>
      <c r="M456" s="253"/>
      <c r="N456" s="251"/>
      <c r="O456" s="256"/>
      <c r="P456" s="610"/>
      <c r="Q456" s="611"/>
      <c r="R456" s="611"/>
      <c r="S456" s="611">
        <f ca="1">IF(NOT(ISERROR(MATCH(R456,_xlfn.ANCHORARRAY(H467),0))),Q469&amp;"Por favor no seleccionar los criterios de impacto",R456)</f>
        <v>0</v>
      </c>
      <c r="T456" s="610"/>
      <c r="U456" s="611"/>
      <c r="V456" s="252"/>
      <c r="W456" s="194">
        <v>2</v>
      </c>
      <c r="X456" s="192" t="s">
        <v>1047</v>
      </c>
      <c r="Y456" s="194" t="str">
        <f t="shared" si="563"/>
        <v>Probabilidad</v>
      </c>
      <c r="Z456" s="188" t="s">
        <v>211</v>
      </c>
      <c r="AA456" s="188" t="s">
        <v>219</v>
      </c>
      <c r="AB456" s="185" t="str">
        <f t="shared" si="568"/>
        <v>40%</v>
      </c>
      <c r="AC456" s="188" t="s">
        <v>222</v>
      </c>
      <c r="AD456" s="188" t="s">
        <v>227</v>
      </c>
      <c r="AE456" s="188" t="s">
        <v>231</v>
      </c>
      <c r="AF456" s="602">
        <f t="shared" ref="AF456:AF460" si="611">IFERROR(IF(AND(Y455="Probabilidad",Y456="Probabilidad"),(AH455-(+AH455*AB456)),IF(Y456="Probabilidad",(Q455-(+Q455*AB456)),IF(Y456="Impacto",AH455,""))),"")</f>
        <v>0.28799999999999998</v>
      </c>
      <c r="AG456" s="186" t="str">
        <f t="shared" si="564"/>
        <v>Baja</v>
      </c>
      <c r="AH456" s="185">
        <f t="shared" si="565"/>
        <v>0.28799999999999998</v>
      </c>
      <c r="AI456" s="186" t="str">
        <f t="shared" ca="1" si="566"/>
        <v>Leve</v>
      </c>
      <c r="AJ456" s="185">
        <f t="shared" ref="AJ456" ca="1" si="612">IFERROR(IF(AND(Y455="Impacto",Y456="Impacto"),(AJ455-(+AJ455*AB456)),IF(Y456="Impacto",(U455-(+U455*AB456)),IF(Y456="Probabilidad",AJ455,""))),"")</f>
        <v>0.2</v>
      </c>
      <c r="AK456" s="187" t="str">
        <f t="shared" ca="1" si="567"/>
        <v>Bajo</v>
      </c>
      <c r="AL456" s="603" t="s">
        <v>258</v>
      </c>
      <c r="AM456" s="189"/>
      <c r="AN456" s="194"/>
      <c r="AO456" s="190"/>
      <c r="AP456" s="190"/>
      <c r="AQ456" s="191"/>
      <c r="AR456" s="194"/>
    </row>
    <row r="457" spans="1:44" s="605" customFormat="1" ht="69" hidden="1" customHeight="1" x14ac:dyDescent="0.25">
      <c r="A457" s="252"/>
      <c r="B457" s="246"/>
      <c r="C457" s="251"/>
      <c r="D457" s="264"/>
      <c r="E457" s="253"/>
      <c r="F457" s="254"/>
      <c r="G457" s="254"/>
      <c r="H457" s="255"/>
      <c r="I457" s="249"/>
      <c r="J457" s="249"/>
      <c r="K457" s="249"/>
      <c r="L457" s="249"/>
      <c r="M457" s="253"/>
      <c r="N457" s="251"/>
      <c r="O457" s="256"/>
      <c r="P457" s="610"/>
      <c r="Q457" s="611"/>
      <c r="R457" s="611"/>
      <c r="S457" s="611">
        <f ca="1">IF(NOT(ISERROR(MATCH(R457,_xlfn.ANCHORARRAY(H468),0))),Q470&amp;"Por favor no seleccionar los criterios de impacto",R457)</f>
        <v>0</v>
      </c>
      <c r="T457" s="610"/>
      <c r="U457" s="611"/>
      <c r="V457" s="252"/>
      <c r="W457" s="194">
        <v>3</v>
      </c>
      <c r="X457" s="192"/>
      <c r="Y457" s="194" t="str">
        <f t="shared" si="563"/>
        <v/>
      </c>
      <c r="Z457" s="188"/>
      <c r="AA457" s="188"/>
      <c r="AB457" s="185" t="str">
        <f t="shared" si="568"/>
        <v/>
      </c>
      <c r="AC457" s="188"/>
      <c r="AD457" s="188"/>
      <c r="AE457" s="188"/>
      <c r="AF457" s="602" t="str">
        <f t="shared" si="611"/>
        <v/>
      </c>
      <c r="AG457" s="186" t="str">
        <f t="shared" si="564"/>
        <v/>
      </c>
      <c r="AH457" s="185" t="str">
        <f t="shared" si="565"/>
        <v/>
      </c>
      <c r="AI457" s="186" t="str">
        <f t="shared" si="566"/>
        <v/>
      </c>
      <c r="AJ457" s="185" t="str">
        <f t="shared" ref="AJ457:AJ460" si="613">IFERROR(IF(AND(Y456="Impacto",Y457="Impacto"),(AJ456-(+AJ456*AB457)),IF(AND(Y456="Probabilidad",Y457="Impacto"),(AJ455-(+AJ455*AB457)),IF(Y457="Probabilidad",AJ456,""))),"")</f>
        <v/>
      </c>
      <c r="AK457" s="187" t="str">
        <f t="shared" si="567"/>
        <v/>
      </c>
      <c r="AL457" s="603"/>
      <c r="AM457" s="189"/>
      <c r="AN457" s="194"/>
      <c r="AO457" s="190"/>
      <c r="AP457" s="190"/>
      <c r="AQ457" s="191"/>
      <c r="AR457" s="194"/>
    </row>
    <row r="458" spans="1:44" s="605" customFormat="1" ht="69" hidden="1" customHeight="1" x14ac:dyDescent="0.25">
      <c r="A458" s="252"/>
      <c r="B458" s="246"/>
      <c r="C458" s="251"/>
      <c r="D458" s="264"/>
      <c r="E458" s="253"/>
      <c r="F458" s="254"/>
      <c r="G458" s="254"/>
      <c r="H458" s="255"/>
      <c r="I458" s="249"/>
      <c r="J458" s="249"/>
      <c r="K458" s="249"/>
      <c r="L458" s="249"/>
      <c r="M458" s="253"/>
      <c r="N458" s="251"/>
      <c r="O458" s="256"/>
      <c r="P458" s="610"/>
      <c r="Q458" s="611"/>
      <c r="R458" s="611"/>
      <c r="S458" s="611">
        <f ca="1">IF(NOT(ISERROR(MATCH(R458,_xlfn.ANCHORARRAY(H469),0))),Q471&amp;"Por favor no seleccionar los criterios de impacto",R458)</f>
        <v>0</v>
      </c>
      <c r="T458" s="610"/>
      <c r="U458" s="611"/>
      <c r="V458" s="252"/>
      <c r="W458" s="194">
        <v>4</v>
      </c>
      <c r="X458" s="192"/>
      <c r="Y458" s="194" t="str">
        <f t="shared" si="563"/>
        <v/>
      </c>
      <c r="Z458" s="188"/>
      <c r="AA458" s="188"/>
      <c r="AB458" s="185" t="str">
        <f t="shared" si="568"/>
        <v/>
      </c>
      <c r="AC458" s="188"/>
      <c r="AD458" s="188"/>
      <c r="AE458" s="188"/>
      <c r="AF458" s="602" t="str">
        <f t="shared" si="611"/>
        <v/>
      </c>
      <c r="AG458" s="186" t="str">
        <f t="shared" si="564"/>
        <v/>
      </c>
      <c r="AH458" s="185" t="str">
        <f t="shared" si="565"/>
        <v/>
      </c>
      <c r="AI458" s="186" t="str">
        <f t="shared" si="566"/>
        <v/>
      </c>
      <c r="AJ458" s="185" t="str">
        <f t="shared" si="613"/>
        <v/>
      </c>
      <c r="AK458" s="187" t="str">
        <f t="shared" si="567"/>
        <v/>
      </c>
      <c r="AL458" s="603"/>
      <c r="AM458" s="189"/>
      <c r="AN458" s="194"/>
      <c r="AO458" s="190"/>
      <c r="AP458" s="190"/>
      <c r="AQ458" s="191"/>
      <c r="AR458" s="194"/>
    </row>
    <row r="459" spans="1:44" s="605" customFormat="1" ht="69" hidden="1" customHeight="1" x14ac:dyDescent="0.25">
      <c r="A459" s="252"/>
      <c r="B459" s="246"/>
      <c r="C459" s="251"/>
      <c r="D459" s="264"/>
      <c r="E459" s="253"/>
      <c r="F459" s="254"/>
      <c r="G459" s="254"/>
      <c r="H459" s="255"/>
      <c r="I459" s="249"/>
      <c r="J459" s="249"/>
      <c r="K459" s="249"/>
      <c r="L459" s="249"/>
      <c r="M459" s="253"/>
      <c r="N459" s="251"/>
      <c r="O459" s="256"/>
      <c r="P459" s="610"/>
      <c r="Q459" s="611"/>
      <c r="R459" s="611"/>
      <c r="S459" s="611">
        <f ca="1">IF(NOT(ISERROR(MATCH(R459,_xlfn.ANCHORARRAY(H470),0))),Q472&amp;"Por favor no seleccionar los criterios de impacto",R459)</f>
        <v>0</v>
      </c>
      <c r="T459" s="610"/>
      <c r="U459" s="611"/>
      <c r="V459" s="252"/>
      <c r="W459" s="194">
        <v>5</v>
      </c>
      <c r="X459" s="192"/>
      <c r="Y459" s="194" t="str">
        <f t="shared" si="563"/>
        <v/>
      </c>
      <c r="Z459" s="188"/>
      <c r="AA459" s="188"/>
      <c r="AB459" s="185" t="str">
        <f t="shared" si="568"/>
        <v/>
      </c>
      <c r="AC459" s="188"/>
      <c r="AD459" s="188"/>
      <c r="AE459" s="188"/>
      <c r="AF459" s="602" t="str">
        <f t="shared" si="611"/>
        <v/>
      </c>
      <c r="AG459" s="186" t="str">
        <f t="shared" si="564"/>
        <v/>
      </c>
      <c r="AH459" s="185" t="str">
        <f t="shared" si="565"/>
        <v/>
      </c>
      <c r="AI459" s="186" t="str">
        <f t="shared" si="566"/>
        <v/>
      </c>
      <c r="AJ459" s="185" t="str">
        <f t="shared" si="613"/>
        <v/>
      </c>
      <c r="AK459" s="187" t="str">
        <f t="shared" si="567"/>
        <v/>
      </c>
      <c r="AL459" s="603"/>
      <c r="AM459" s="189"/>
      <c r="AN459" s="194"/>
      <c r="AO459" s="190"/>
      <c r="AP459" s="190"/>
      <c r="AQ459" s="191"/>
      <c r="AR459" s="194"/>
    </row>
    <row r="460" spans="1:44" s="605" customFormat="1" ht="69" hidden="1" customHeight="1" x14ac:dyDescent="0.25">
      <c r="A460" s="252"/>
      <c r="B460" s="247"/>
      <c r="C460" s="239"/>
      <c r="D460" s="265"/>
      <c r="E460" s="253"/>
      <c r="F460" s="254"/>
      <c r="G460" s="254"/>
      <c r="H460" s="255"/>
      <c r="I460" s="250"/>
      <c r="J460" s="250"/>
      <c r="K460" s="250"/>
      <c r="L460" s="250"/>
      <c r="M460" s="253"/>
      <c r="N460" s="239"/>
      <c r="O460" s="256"/>
      <c r="P460" s="610"/>
      <c r="Q460" s="611"/>
      <c r="R460" s="611"/>
      <c r="S460" s="611">
        <f ca="1">IF(NOT(ISERROR(MATCH(R460,_xlfn.ANCHORARRAY(H471),0))),Q473&amp;"Por favor no seleccionar los criterios de impacto",R460)</f>
        <v>0</v>
      </c>
      <c r="T460" s="610"/>
      <c r="U460" s="611"/>
      <c r="V460" s="252"/>
      <c r="W460" s="194">
        <v>6</v>
      </c>
      <c r="X460" s="192"/>
      <c r="Y460" s="194" t="str">
        <f t="shared" si="563"/>
        <v/>
      </c>
      <c r="Z460" s="188"/>
      <c r="AA460" s="188"/>
      <c r="AB460" s="185" t="str">
        <f t="shared" si="568"/>
        <v/>
      </c>
      <c r="AC460" s="188"/>
      <c r="AD460" s="188"/>
      <c r="AE460" s="188"/>
      <c r="AF460" s="602" t="str">
        <f t="shared" si="611"/>
        <v/>
      </c>
      <c r="AG460" s="186" t="str">
        <f t="shared" si="564"/>
        <v/>
      </c>
      <c r="AH460" s="185" t="str">
        <f t="shared" si="565"/>
        <v/>
      </c>
      <c r="AI460" s="186" t="str">
        <f t="shared" si="566"/>
        <v/>
      </c>
      <c r="AJ460" s="185" t="str">
        <f t="shared" si="613"/>
        <v/>
      </c>
      <c r="AK460" s="187" t="str">
        <f t="shared" si="567"/>
        <v/>
      </c>
      <c r="AL460" s="603"/>
      <c r="AM460" s="189"/>
      <c r="AN460" s="194"/>
      <c r="AO460" s="190"/>
      <c r="AP460" s="190"/>
      <c r="AQ460" s="191"/>
      <c r="AR460" s="194"/>
    </row>
    <row r="461" spans="1:44" s="605" customFormat="1" ht="204" customHeight="1" x14ac:dyDescent="0.25">
      <c r="A461" s="252">
        <v>75</v>
      </c>
      <c r="B461" s="245" t="s">
        <v>1048</v>
      </c>
      <c r="C461" s="238" t="s">
        <v>281</v>
      </c>
      <c r="D461" s="268" t="s">
        <v>1049</v>
      </c>
      <c r="E461" s="253" t="s">
        <v>243</v>
      </c>
      <c r="F461" s="254" t="s">
        <v>1050</v>
      </c>
      <c r="G461" s="254" t="s">
        <v>1051</v>
      </c>
      <c r="H461" s="255" t="s">
        <v>1052</v>
      </c>
      <c r="I461" s="248" t="s">
        <v>480</v>
      </c>
      <c r="J461" s="248" t="s">
        <v>480</v>
      </c>
      <c r="K461" s="248" t="s">
        <v>480</v>
      </c>
      <c r="L461" s="248" t="s">
        <v>480</v>
      </c>
      <c r="M461" s="253" t="s">
        <v>472</v>
      </c>
      <c r="N461" s="238"/>
      <c r="O461" s="256">
        <v>1</v>
      </c>
      <c r="P461" s="610" t="str">
        <f t="shared" ref="P461:P515" si="614">IF(O461&lt;=0,"",IF(O461&lt;=2,"Muy Baja",IF(O461&lt;=24,"Baja",IF(O461&lt;=500,"Media",IF(O461&lt;=5000,"Alta","Muy Alta")))))</f>
        <v>Muy Baja</v>
      </c>
      <c r="Q461" s="611">
        <f t="shared" ref="Q461:Q515" si="615">IF(P461="","",IF(P461="Muy Baja",0.2,IF(P461="Baja",0.4,IF(P461="Media",0.6,IF(P461="Alta",0.8,IF(P461="Muy Alta",1,))))))</f>
        <v>0.2</v>
      </c>
      <c r="R461" s="611" t="s">
        <v>195</v>
      </c>
      <c r="S461" s="611" t="str">
        <f ca="1">IF(NOT(ISERROR(MATCH(R461,'Tabla Impacto'!$B$221:$B$223,0))),'Tabla Impacto'!$F$223&amp;"Por favor no seleccionar los criterios de impacto(Afectación Económica o presupuestal y Pérdida Reputacional)",R461)</f>
        <v xml:space="preserve">Entre 100 y 500 SMLMV </v>
      </c>
      <c r="T461" s="610" t="str">
        <f ca="1">+IF(OR(S461='[1]Tabla Impacto'!$C$11,S461='[1]Tabla Impacto'!$D$11),"Leve",IF(OR(S461='[1]Tabla Impacto'!$C$12,S461='[1]Tabla Impacto'!$D$12),"Menor",IF(OR(S461='[1]Tabla Impacto'!$C$13,S461='[1]Tabla Impacto'!$D$13),"Moderado",IF(OR(S461='[1]Tabla Impacto'!$C$14,S461='[1]Tabla Impacto'!$D$14),"Mayor",IF(OR(S461='[1]Tabla Impacto'!$C$15,S461='[1]Tabla Impacto'!$D$15),"Catastrófico","")))))</f>
        <v>Mayor</v>
      </c>
      <c r="U461" s="611">
        <f t="shared" ref="U461" ca="1" si="616">IF(T461="","",IF(T461="Leve",0.2,IF(T461="Menor",0.4,IF(T461="Moderado",0.6,IF(T461="Mayor",0.8,IF(T461="Catastrófico",1,))))))</f>
        <v>0.8</v>
      </c>
      <c r="V461" s="252" t="str">
        <f t="shared" ref="V461" ca="1" si="617">IF(OR(AND(P461="Muy Baja",T461="Leve"),AND(P461="Muy Baja",T461="Menor"),AND(P461="Baja",T461="Leve")),"Bajo",IF(OR(AND(P461="Muy baja",T461="Moderado"),AND(P461="Baja",T461="Menor"),AND(P461="Baja",T461="Moderado"),AND(P461="Media",T461="Leve"),AND(P461="Media",T461="Menor"),AND(P461="Media",T461="Moderado"),AND(P461="Alta",T461="Leve"),AND(P461="Alta",T461="Menor")),"Moderado",IF(OR(AND(P461="Muy Baja",T461="Mayor"),AND(P461="Baja",T461="Mayor"),AND(P461="Media",T461="Mayor"),AND(P461="Alta",T461="Moderado"),AND(P461="Alta",T461="Mayor"),AND(P461="Muy Alta",T461="Leve"),AND(P461="Muy Alta",T461="Menor"),AND(P461="Muy Alta",T461="Moderado"),AND(P461="Muy Alta",T461="Mayor")),"Alto",IF(OR(AND(P461="Muy Baja",T461="Catastrófico"),AND(P461="Baja",T461="Catastrófico"),AND(P461="Media",T461="Catastrófico"),AND(P461="Alta",T461="Catastrófico"),AND(P461="Muy Alta",T461="Catastrófico")),"Extremo",""))))</f>
        <v>Alto</v>
      </c>
      <c r="W461" s="194">
        <v>1</v>
      </c>
      <c r="X461" s="192" t="s">
        <v>1053</v>
      </c>
      <c r="Y461" s="194" t="str">
        <f t="shared" si="563"/>
        <v>Probabilidad</v>
      </c>
      <c r="Z461" s="188" t="s">
        <v>211</v>
      </c>
      <c r="AA461" s="188" t="s">
        <v>219</v>
      </c>
      <c r="AB461" s="185" t="str">
        <f>IF(AND(Z461="Preventivo",AA461="Automático"),"50%",IF(AND(Z461="Preventivo",AA461="Manual"),"40%",IF(AND(Z461="Detectivo",AA461="Automático"),"40%",IF(AND(Z461="Detectivo",AA461="Manual"),"30%",IF(AND(Z461="Correctivo",AA461="Automático"),"35%",IF(AND(Z461="Correctivo",AA461="Manual"),"25%",""))))))</f>
        <v>40%</v>
      </c>
      <c r="AC461" s="188" t="s">
        <v>222</v>
      </c>
      <c r="AD461" s="188" t="s">
        <v>227</v>
      </c>
      <c r="AE461" s="188" t="s">
        <v>231</v>
      </c>
      <c r="AF461" s="602">
        <f t="shared" ref="AF461" si="618">IFERROR(IF(Y461="Probabilidad",(Q461-(+Q461*AB461)),IF(Y461="Impacto",Q461,"")),"")</f>
        <v>0.12</v>
      </c>
      <c r="AG461" s="186" t="str">
        <f t="shared" si="564"/>
        <v>Muy Baja</v>
      </c>
      <c r="AH461" s="185">
        <f t="shared" si="565"/>
        <v>0.12</v>
      </c>
      <c r="AI461" s="186" t="str">
        <f t="shared" ca="1" si="566"/>
        <v>Mayor</v>
      </c>
      <c r="AJ461" s="185">
        <f t="shared" ref="AJ461" ca="1" si="619">IFERROR(IF(Y461="Impacto",(U461-(+U461*AB461)),IF(Y461="Probabilidad",U461,"")),"")</f>
        <v>0.8</v>
      </c>
      <c r="AK461" s="187" t="str">
        <f t="shared" ca="1" si="567"/>
        <v>Alto</v>
      </c>
      <c r="AL461" s="603" t="s">
        <v>265</v>
      </c>
      <c r="AM461" s="236" t="s">
        <v>1056</v>
      </c>
      <c r="AN461" s="245" t="s">
        <v>1057</v>
      </c>
      <c r="AO461" s="240">
        <v>45412</v>
      </c>
      <c r="AP461" s="240" t="s">
        <v>576</v>
      </c>
      <c r="AQ461" s="238" t="s">
        <v>1058</v>
      </c>
      <c r="AR461" s="245" t="s">
        <v>262</v>
      </c>
    </row>
    <row r="462" spans="1:44" s="605" customFormat="1" ht="165" customHeight="1" x14ac:dyDescent="0.25">
      <c r="A462" s="252"/>
      <c r="B462" s="246"/>
      <c r="C462" s="251"/>
      <c r="D462" s="264"/>
      <c r="E462" s="253"/>
      <c r="F462" s="254"/>
      <c r="G462" s="254"/>
      <c r="H462" s="255"/>
      <c r="I462" s="249"/>
      <c r="J462" s="249"/>
      <c r="K462" s="249"/>
      <c r="L462" s="249"/>
      <c r="M462" s="253"/>
      <c r="N462" s="251"/>
      <c r="O462" s="256"/>
      <c r="P462" s="610"/>
      <c r="Q462" s="611"/>
      <c r="R462" s="611"/>
      <c r="S462" s="611">
        <f ca="1">IF(NOT(ISERROR(MATCH(R462,_xlfn.ANCHORARRAY(H473),0))),Q475&amp;"Por favor no seleccionar los criterios de impacto",R462)</f>
        <v>0</v>
      </c>
      <c r="T462" s="610"/>
      <c r="U462" s="611"/>
      <c r="V462" s="252"/>
      <c r="W462" s="194">
        <v>2</v>
      </c>
      <c r="X462" s="192" t="s">
        <v>1054</v>
      </c>
      <c r="Y462" s="194" t="str">
        <f t="shared" si="563"/>
        <v>Probabilidad</v>
      </c>
      <c r="Z462" s="188" t="s">
        <v>211</v>
      </c>
      <c r="AA462" s="188" t="s">
        <v>219</v>
      </c>
      <c r="AB462" s="185" t="str">
        <f>IF(AND(Z462="Preventivo",AA462="Automático"),"50%",IF(AND(Z462="Preventivo",AA462="Manual"),"40%",IF(AND(Z462="Detectivo",AA462="Automático"),"40%",IF(AND(Z462="Detectivo",AA462="Manual"),"30%",IF(AND(Z462="Correctivo",AA462="Automático"),"35%",IF(AND(Z462="Correctivo",AA462="Manual"),"25%",""))))))</f>
        <v>40%</v>
      </c>
      <c r="AC462" s="188" t="s">
        <v>222</v>
      </c>
      <c r="AD462" s="188" t="s">
        <v>227</v>
      </c>
      <c r="AE462" s="188" t="s">
        <v>231</v>
      </c>
      <c r="AF462" s="602">
        <f t="shared" ref="AF462:AF466" si="620">IFERROR(IF(AND(Y461="Probabilidad",Y462="Probabilidad"),(AH461-(+AH461*AB462)),IF(Y462="Probabilidad",(Q461-(+Q461*AB462)),IF(Y462="Impacto",AH461,""))),"")</f>
        <v>7.1999999999999995E-2</v>
      </c>
      <c r="AG462" s="186" t="str">
        <f t="shared" si="564"/>
        <v>Muy Baja</v>
      </c>
      <c r="AH462" s="185">
        <f t="shared" si="565"/>
        <v>7.1999999999999995E-2</v>
      </c>
      <c r="AI462" s="186" t="str">
        <f t="shared" ca="1" si="566"/>
        <v>Mayor</v>
      </c>
      <c r="AJ462" s="185">
        <f t="shared" ref="AJ462" ca="1" si="621">IFERROR(IF(AND(Y461="Impacto",Y462="Impacto"),(AJ461-(+AJ461*AB462)),IF(Y462="Impacto",(U461-(+U461*AB462)),IF(Y462="Probabilidad",AJ461,""))),"")</f>
        <v>0.8</v>
      </c>
      <c r="AK462" s="187" t="str">
        <f t="shared" ca="1" si="567"/>
        <v>Alto</v>
      </c>
      <c r="AL462" s="603" t="s">
        <v>265</v>
      </c>
      <c r="AM462" s="278"/>
      <c r="AN462" s="246"/>
      <c r="AO462" s="279"/>
      <c r="AP462" s="279"/>
      <c r="AQ462" s="251"/>
      <c r="AR462" s="246"/>
    </row>
    <row r="463" spans="1:44" s="605" customFormat="1" ht="135.75" customHeight="1" x14ac:dyDescent="0.25">
      <c r="A463" s="252"/>
      <c r="B463" s="246"/>
      <c r="C463" s="251"/>
      <c r="D463" s="264"/>
      <c r="E463" s="253"/>
      <c r="F463" s="254"/>
      <c r="G463" s="254"/>
      <c r="H463" s="255"/>
      <c r="I463" s="249"/>
      <c r="J463" s="249"/>
      <c r="K463" s="249"/>
      <c r="L463" s="249"/>
      <c r="M463" s="253"/>
      <c r="N463" s="251"/>
      <c r="O463" s="256"/>
      <c r="P463" s="610"/>
      <c r="Q463" s="611"/>
      <c r="R463" s="611"/>
      <c r="S463" s="611">
        <f ca="1">IF(NOT(ISERROR(MATCH(R463,_xlfn.ANCHORARRAY(H474),0))),Q476&amp;"Por favor no seleccionar los criterios de impacto",R463)</f>
        <v>0</v>
      </c>
      <c r="T463" s="610"/>
      <c r="U463" s="611"/>
      <c r="V463" s="252"/>
      <c r="W463" s="194">
        <v>3</v>
      </c>
      <c r="X463" s="192" t="s">
        <v>1055</v>
      </c>
      <c r="Y463" s="194" t="str">
        <f t="shared" si="563"/>
        <v>Probabilidad</v>
      </c>
      <c r="Z463" s="188" t="s">
        <v>211</v>
      </c>
      <c r="AA463" s="188" t="s">
        <v>219</v>
      </c>
      <c r="AB463" s="185" t="str">
        <f>IF(AND(Z463="Preventivo",AA463="Automático"),"50%",IF(AND(Z463="Preventivo",AA463="Manual"),"40%",IF(AND(Z463="Detectivo",AA463="Automático"),"40%",IF(AND(Z463="Detectivo",AA463="Manual"),"30%",IF(AND(Z463="Correctivo",AA463="Automático"),"35%",IF(AND(Z463="Correctivo",AA463="Manual"),"25%",""))))))</f>
        <v>40%</v>
      </c>
      <c r="AC463" s="188" t="s">
        <v>222</v>
      </c>
      <c r="AD463" s="188" t="s">
        <v>227</v>
      </c>
      <c r="AE463" s="188" t="s">
        <v>231</v>
      </c>
      <c r="AF463" s="602">
        <f t="shared" si="620"/>
        <v>4.3199999999999995E-2</v>
      </c>
      <c r="AG463" s="186" t="str">
        <f t="shared" si="564"/>
        <v>Muy Baja</v>
      </c>
      <c r="AH463" s="185">
        <f t="shared" si="565"/>
        <v>4.3199999999999995E-2</v>
      </c>
      <c r="AI463" s="186" t="str">
        <f t="shared" ca="1" si="566"/>
        <v>Mayor</v>
      </c>
      <c r="AJ463" s="185">
        <f t="shared" ref="AJ463:AJ466" ca="1" si="622">IFERROR(IF(AND(Y462="Impacto",Y463="Impacto"),(AJ462-(+AJ462*AB463)),IF(AND(Y462="Probabilidad",Y463="Impacto"),(AJ461-(+AJ461*AB463)),IF(Y463="Probabilidad",AJ462,""))),"")</f>
        <v>0.8</v>
      </c>
      <c r="AK463" s="187" t="str">
        <f t="shared" ca="1" si="567"/>
        <v>Alto</v>
      </c>
      <c r="AL463" s="603" t="s">
        <v>265</v>
      </c>
      <c r="AM463" s="237"/>
      <c r="AN463" s="247"/>
      <c r="AO463" s="241"/>
      <c r="AP463" s="241"/>
      <c r="AQ463" s="239"/>
      <c r="AR463" s="247"/>
    </row>
    <row r="464" spans="1:44" s="605" customFormat="1" ht="69" hidden="1" customHeight="1" x14ac:dyDescent="0.25">
      <c r="A464" s="252"/>
      <c r="B464" s="246"/>
      <c r="C464" s="251"/>
      <c r="D464" s="264"/>
      <c r="E464" s="253"/>
      <c r="F464" s="254"/>
      <c r="G464" s="254"/>
      <c r="H464" s="255"/>
      <c r="I464" s="249"/>
      <c r="J464" s="249"/>
      <c r="K464" s="249"/>
      <c r="L464" s="249"/>
      <c r="M464" s="253"/>
      <c r="N464" s="251"/>
      <c r="O464" s="256"/>
      <c r="P464" s="610"/>
      <c r="Q464" s="611"/>
      <c r="R464" s="611"/>
      <c r="S464" s="611">
        <f ca="1">IF(NOT(ISERROR(MATCH(R464,_xlfn.ANCHORARRAY(H475),0))),Q477&amp;"Por favor no seleccionar los criterios de impacto",R464)</f>
        <v>0</v>
      </c>
      <c r="T464" s="610"/>
      <c r="U464" s="611"/>
      <c r="V464" s="252"/>
      <c r="W464" s="194">
        <v>4</v>
      </c>
      <c r="X464" s="192"/>
      <c r="Y464" s="194" t="str">
        <f t="shared" si="563"/>
        <v/>
      </c>
      <c r="Z464" s="188"/>
      <c r="AA464" s="188"/>
      <c r="AB464" s="185" t="str">
        <f t="shared" si="568"/>
        <v/>
      </c>
      <c r="AC464" s="188"/>
      <c r="AD464" s="188"/>
      <c r="AE464" s="188"/>
      <c r="AF464" s="602" t="str">
        <f t="shared" si="620"/>
        <v/>
      </c>
      <c r="AG464" s="186" t="str">
        <f t="shared" si="564"/>
        <v/>
      </c>
      <c r="AH464" s="185" t="str">
        <f t="shared" si="565"/>
        <v/>
      </c>
      <c r="AI464" s="186" t="str">
        <f t="shared" si="566"/>
        <v/>
      </c>
      <c r="AJ464" s="185" t="str">
        <f t="shared" si="622"/>
        <v/>
      </c>
      <c r="AK464" s="187" t="str">
        <f t="shared" si="567"/>
        <v/>
      </c>
      <c r="AL464" s="603"/>
      <c r="AM464" s="189"/>
      <c r="AN464" s="194"/>
      <c r="AO464" s="190"/>
      <c r="AP464" s="190"/>
      <c r="AQ464" s="191"/>
      <c r="AR464" s="194"/>
    </row>
    <row r="465" spans="1:44" s="605" customFormat="1" ht="69" hidden="1" customHeight="1" x14ac:dyDescent="0.25">
      <c r="A465" s="252"/>
      <c r="B465" s="246"/>
      <c r="C465" s="251"/>
      <c r="D465" s="264"/>
      <c r="E465" s="253"/>
      <c r="F465" s="254"/>
      <c r="G465" s="254"/>
      <c r="H465" s="255"/>
      <c r="I465" s="249"/>
      <c r="J465" s="249"/>
      <c r="K465" s="249"/>
      <c r="L465" s="249"/>
      <c r="M465" s="253"/>
      <c r="N465" s="251"/>
      <c r="O465" s="256"/>
      <c r="P465" s="610"/>
      <c r="Q465" s="611"/>
      <c r="R465" s="611"/>
      <c r="S465" s="611">
        <f ca="1">IF(NOT(ISERROR(MATCH(R465,_xlfn.ANCHORARRAY(H476),0))),Q478&amp;"Por favor no seleccionar los criterios de impacto",R465)</f>
        <v>0</v>
      </c>
      <c r="T465" s="610"/>
      <c r="U465" s="611"/>
      <c r="V465" s="252"/>
      <c r="W465" s="194">
        <v>5</v>
      </c>
      <c r="X465" s="192"/>
      <c r="Y465" s="194" t="str">
        <f t="shared" si="563"/>
        <v/>
      </c>
      <c r="Z465" s="188"/>
      <c r="AA465" s="188"/>
      <c r="AB465" s="185" t="str">
        <f t="shared" si="568"/>
        <v/>
      </c>
      <c r="AC465" s="188"/>
      <c r="AD465" s="188"/>
      <c r="AE465" s="188"/>
      <c r="AF465" s="602" t="str">
        <f t="shared" si="620"/>
        <v/>
      </c>
      <c r="AG465" s="186" t="str">
        <f t="shared" si="564"/>
        <v/>
      </c>
      <c r="AH465" s="185" t="str">
        <f t="shared" si="565"/>
        <v/>
      </c>
      <c r="AI465" s="186" t="str">
        <f t="shared" si="566"/>
        <v/>
      </c>
      <c r="AJ465" s="185" t="str">
        <f t="shared" si="622"/>
        <v/>
      </c>
      <c r="AK465" s="187" t="str">
        <f t="shared" si="567"/>
        <v/>
      </c>
      <c r="AL465" s="603"/>
      <c r="AM465" s="189"/>
      <c r="AN465" s="194"/>
      <c r="AO465" s="190"/>
      <c r="AP465" s="190"/>
      <c r="AQ465" s="191"/>
      <c r="AR465" s="194"/>
    </row>
    <row r="466" spans="1:44" s="605" customFormat="1" ht="69" hidden="1" customHeight="1" x14ac:dyDescent="0.25">
      <c r="A466" s="252"/>
      <c r="B466" s="247"/>
      <c r="C466" s="239"/>
      <c r="D466" s="265"/>
      <c r="E466" s="253"/>
      <c r="F466" s="254"/>
      <c r="G466" s="254"/>
      <c r="H466" s="255"/>
      <c r="I466" s="250"/>
      <c r="J466" s="250"/>
      <c r="K466" s="250"/>
      <c r="L466" s="250"/>
      <c r="M466" s="253"/>
      <c r="N466" s="239"/>
      <c r="O466" s="256"/>
      <c r="P466" s="610"/>
      <c r="Q466" s="611"/>
      <c r="R466" s="611"/>
      <c r="S466" s="611">
        <f ca="1">IF(NOT(ISERROR(MATCH(R466,_xlfn.ANCHORARRAY(H477),0))),Q479&amp;"Por favor no seleccionar los criterios de impacto",R466)</f>
        <v>0</v>
      </c>
      <c r="T466" s="610"/>
      <c r="U466" s="611"/>
      <c r="V466" s="252"/>
      <c r="W466" s="194">
        <v>6</v>
      </c>
      <c r="X466" s="192"/>
      <c r="Y466" s="194" t="str">
        <f t="shared" si="563"/>
        <v/>
      </c>
      <c r="Z466" s="188"/>
      <c r="AA466" s="188"/>
      <c r="AB466" s="185" t="str">
        <f t="shared" si="568"/>
        <v/>
      </c>
      <c r="AC466" s="188"/>
      <c r="AD466" s="188"/>
      <c r="AE466" s="188"/>
      <c r="AF466" s="602" t="str">
        <f t="shared" si="620"/>
        <v/>
      </c>
      <c r="AG466" s="186" t="str">
        <f t="shared" si="564"/>
        <v/>
      </c>
      <c r="AH466" s="185" t="str">
        <f t="shared" si="565"/>
        <v/>
      </c>
      <c r="AI466" s="186" t="str">
        <f t="shared" si="566"/>
        <v/>
      </c>
      <c r="AJ466" s="185" t="str">
        <f t="shared" si="622"/>
        <v/>
      </c>
      <c r="AK466" s="187" t="str">
        <f t="shared" si="567"/>
        <v/>
      </c>
      <c r="AL466" s="603"/>
      <c r="AM466" s="189"/>
      <c r="AN466" s="194"/>
      <c r="AO466" s="190"/>
      <c r="AP466" s="190"/>
      <c r="AQ466" s="191"/>
      <c r="AR466" s="194"/>
    </row>
    <row r="467" spans="1:44" s="605" customFormat="1" ht="111.75" customHeight="1" x14ac:dyDescent="0.25">
      <c r="A467" s="252">
        <v>76</v>
      </c>
      <c r="B467" s="245" t="s">
        <v>1059</v>
      </c>
      <c r="C467" s="238" t="s">
        <v>281</v>
      </c>
      <c r="D467" s="268" t="s">
        <v>1060</v>
      </c>
      <c r="E467" s="253" t="s">
        <v>243</v>
      </c>
      <c r="F467" s="254" t="s">
        <v>1061</v>
      </c>
      <c r="G467" s="254" t="s">
        <v>1062</v>
      </c>
      <c r="H467" s="255" t="s">
        <v>1063</v>
      </c>
      <c r="I467" s="248" t="s">
        <v>480</v>
      </c>
      <c r="J467" s="248" t="s">
        <v>480</v>
      </c>
      <c r="K467" s="248" t="s">
        <v>480</v>
      </c>
      <c r="L467" s="248" t="s">
        <v>480</v>
      </c>
      <c r="M467" s="253" t="s">
        <v>242</v>
      </c>
      <c r="N467" s="238"/>
      <c r="O467" s="256">
        <v>365</v>
      </c>
      <c r="P467" s="610" t="str">
        <f t="shared" si="614"/>
        <v>Media</v>
      </c>
      <c r="Q467" s="611">
        <f t="shared" si="615"/>
        <v>0.6</v>
      </c>
      <c r="R467" s="611" t="s">
        <v>192</v>
      </c>
      <c r="S467" s="611" t="str">
        <f ca="1">IF(NOT(ISERROR(MATCH(R467,'Tabla Impacto'!$B$221:$B$223,0))),'Tabla Impacto'!$F$223&amp;"Por favor no seleccionar los criterios de impacto(Afectación Económica o presupuestal y Pérdida Reputacional)",R467)</f>
        <v xml:space="preserve">Entre 50 y 100 SMLMV </v>
      </c>
      <c r="T467" s="610" t="str">
        <f ca="1">+IF(OR(S467='[1]Tabla Impacto'!$C$11,S467='[1]Tabla Impacto'!$D$11),"Leve",IF(OR(S467='[1]Tabla Impacto'!$C$12,S467='[1]Tabla Impacto'!$D$12),"Menor",IF(OR(S467='[1]Tabla Impacto'!$C$13,S467='[1]Tabla Impacto'!$D$13),"Moderado",IF(OR(S467='[1]Tabla Impacto'!$C$14,S467='[1]Tabla Impacto'!$D$14),"Mayor",IF(OR(S467='[1]Tabla Impacto'!$C$15,S467='[1]Tabla Impacto'!$D$15),"Catastrófico","")))))</f>
        <v>Moderado</v>
      </c>
      <c r="U467" s="611">
        <f t="shared" ref="U467" ca="1" si="623">IF(T467="","",IF(T467="Leve",0.2,IF(T467="Menor",0.4,IF(T467="Moderado",0.6,IF(T467="Mayor",0.8,IF(T467="Catastrófico",1,))))))</f>
        <v>0.6</v>
      </c>
      <c r="V467" s="252" t="str">
        <f t="shared" ref="V467" ca="1" si="624">IF(OR(AND(P467="Muy Baja",T467="Leve"),AND(P467="Muy Baja",T467="Menor"),AND(P467="Baja",T467="Leve")),"Bajo",IF(OR(AND(P467="Muy baja",T467="Moderado"),AND(P467="Baja",T467="Menor"),AND(P467="Baja",T467="Moderado"),AND(P467="Media",T467="Leve"),AND(P467="Media",T467="Menor"),AND(P467="Media",T467="Moderado"),AND(P467="Alta",T467="Leve"),AND(P467="Alta",T467="Menor")),"Moderado",IF(OR(AND(P467="Muy Baja",T467="Mayor"),AND(P467="Baja",T467="Mayor"),AND(P467="Media",T467="Mayor"),AND(P467="Alta",T467="Moderado"),AND(P467="Alta",T467="Mayor"),AND(P467="Muy Alta",T467="Leve"),AND(P467="Muy Alta",T467="Menor"),AND(P467="Muy Alta",T467="Moderado"),AND(P467="Muy Alta",T467="Mayor")),"Alto",IF(OR(AND(P467="Muy Baja",T467="Catastrófico"),AND(P467="Baja",T467="Catastrófico"),AND(P467="Media",T467="Catastrófico"),AND(P467="Alta",T467="Catastrófico"),AND(P467="Muy Alta",T467="Catastrófico")),"Extremo",""))))</f>
        <v>Moderado</v>
      </c>
      <c r="W467" s="194">
        <v>1</v>
      </c>
      <c r="X467" s="192" t="s">
        <v>1064</v>
      </c>
      <c r="Y467" s="194" t="str">
        <f t="shared" si="563"/>
        <v>Probabilidad</v>
      </c>
      <c r="Z467" s="188" t="s">
        <v>211</v>
      </c>
      <c r="AA467" s="188" t="s">
        <v>219</v>
      </c>
      <c r="AB467" s="185" t="str">
        <f>IF(AND(Z467="Preventivo",AA467="Automático"),"50%",IF(AND(Z467="Preventivo",AA467="Manual"),"40%",IF(AND(Z467="Detectivo",AA467="Automático"),"40%",IF(AND(Z467="Detectivo",AA467="Manual"),"30%",IF(AND(Z467="Correctivo",AA467="Automático"),"35%",IF(AND(Z467="Correctivo",AA467="Manual"),"25%",""))))))</f>
        <v>40%</v>
      </c>
      <c r="AC467" s="188" t="s">
        <v>222</v>
      </c>
      <c r="AD467" s="188" t="s">
        <v>227</v>
      </c>
      <c r="AE467" s="188" t="s">
        <v>231</v>
      </c>
      <c r="AF467" s="602">
        <f t="shared" ref="AF467" si="625">IFERROR(IF(Y467="Probabilidad",(Q467-(+Q467*AB467)),IF(Y467="Impacto",Q467,"")),"")</f>
        <v>0.36</v>
      </c>
      <c r="AG467" s="186" t="str">
        <f t="shared" si="564"/>
        <v>Baja</v>
      </c>
      <c r="AH467" s="185">
        <f t="shared" si="565"/>
        <v>0.36</v>
      </c>
      <c r="AI467" s="186" t="str">
        <f t="shared" ca="1" si="566"/>
        <v>Moderado</v>
      </c>
      <c r="AJ467" s="185">
        <f t="shared" ref="AJ467" ca="1" si="626">IFERROR(IF(Y467="Impacto",(U467-(+U467*AB467)),IF(Y467="Probabilidad",U467,"")),"")</f>
        <v>0.6</v>
      </c>
      <c r="AK467" s="187" t="str">
        <f t="shared" ca="1" si="567"/>
        <v>Moderado</v>
      </c>
      <c r="AL467" s="603" t="s">
        <v>258</v>
      </c>
      <c r="AM467" s="189"/>
      <c r="AN467" s="194"/>
      <c r="AO467" s="190"/>
      <c r="AP467" s="190"/>
      <c r="AQ467" s="191"/>
      <c r="AR467" s="194"/>
    </row>
    <row r="468" spans="1:44" s="605" customFormat="1" ht="104.25" customHeight="1" x14ac:dyDescent="0.25">
      <c r="A468" s="252"/>
      <c r="B468" s="246"/>
      <c r="C468" s="251"/>
      <c r="D468" s="264"/>
      <c r="E468" s="253"/>
      <c r="F468" s="254"/>
      <c r="G468" s="254"/>
      <c r="H468" s="255"/>
      <c r="I468" s="249"/>
      <c r="J468" s="249"/>
      <c r="K468" s="249"/>
      <c r="L468" s="249"/>
      <c r="M468" s="253"/>
      <c r="N468" s="251"/>
      <c r="O468" s="256"/>
      <c r="P468" s="610"/>
      <c r="Q468" s="611"/>
      <c r="R468" s="611"/>
      <c r="S468" s="611">
        <f ca="1">IF(NOT(ISERROR(MATCH(R468,_xlfn.ANCHORARRAY(H479),0))),Q481&amp;"Por favor no seleccionar los criterios de impacto",R468)</f>
        <v>0</v>
      </c>
      <c r="T468" s="610"/>
      <c r="U468" s="611"/>
      <c r="V468" s="252"/>
      <c r="W468" s="194">
        <v>2</v>
      </c>
      <c r="X468" s="192" t="s">
        <v>1065</v>
      </c>
      <c r="Y468" s="194" t="str">
        <f t="shared" si="563"/>
        <v>Probabilidad</v>
      </c>
      <c r="Z468" s="188" t="s">
        <v>211</v>
      </c>
      <c r="AA468" s="188" t="s">
        <v>219</v>
      </c>
      <c r="AB468" s="185" t="str">
        <f>IF(AND(Z468="Preventivo",AA468="Automático"),"50%",IF(AND(Z468="Preventivo",AA468="Manual"),"40%",IF(AND(Z468="Detectivo",AA468="Automático"),"40%",IF(AND(Z468="Detectivo",AA468="Manual"),"30%",IF(AND(Z468="Correctivo",AA468="Automático"),"35%",IF(AND(Z468="Correctivo",AA468="Manual"),"25%",""))))))</f>
        <v>40%</v>
      </c>
      <c r="AC468" s="188" t="s">
        <v>222</v>
      </c>
      <c r="AD468" s="188" t="s">
        <v>227</v>
      </c>
      <c r="AE468" s="188" t="s">
        <v>231</v>
      </c>
      <c r="AF468" s="602">
        <f t="shared" ref="AF468:AF472" si="627">IFERROR(IF(AND(Y467="Probabilidad",Y468="Probabilidad"),(AH467-(+AH467*AB468)),IF(Y468="Probabilidad",(Q467-(+Q467*AB468)),IF(Y468="Impacto",AH467,""))),"")</f>
        <v>0.216</v>
      </c>
      <c r="AG468" s="186" t="str">
        <f t="shared" si="564"/>
        <v>Baja</v>
      </c>
      <c r="AH468" s="185">
        <f t="shared" si="565"/>
        <v>0.216</v>
      </c>
      <c r="AI468" s="186" t="str">
        <f t="shared" ca="1" si="566"/>
        <v>Moderado</v>
      </c>
      <c r="AJ468" s="185">
        <f t="shared" ref="AJ468" ca="1" si="628">IFERROR(IF(AND(Y467="Impacto",Y468="Impacto"),(AJ467-(+AJ467*AB468)),IF(Y468="Impacto",(U467-(+U467*AB468)),IF(Y468="Probabilidad",AJ467,""))),"")</f>
        <v>0.6</v>
      </c>
      <c r="AK468" s="187" t="str">
        <f t="shared" ca="1" si="567"/>
        <v>Moderado</v>
      </c>
      <c r="AL468" s="603" t="s">
        <v>258</v>
      </c>
      <c r="AM468" s="189"/>
      <c r="AN468" s="194"/>
      <c r="AO468" s="190"/>
      <c r="AP468" s="190"/>
      <c r="AQ468" s="191"/>
      <c r="AR468" s="194"/>
    </row>
    <row r="469" spans="1:44" s="605" customFormat="1" ht="90" x14ac:dyDescent="0.25">
      <c r="A469" s="252"/>
      <c r="B469" s="246"/>
      <c r="C469" s="251"/>
      <c r="D469" s="264"/>
      <c r="E469" s="253"/>
      <c r="F469" s="254"/>
      <c r="G469" s="254"/>
      <c r="H469" s="255"/>
      <c r="I469" s="249"/>
      <c r="J469" s="249"/>
      <c r="K469" s="249"/>
      <c r="L469" s="249"/>
      <c r="M469" s="253"/>
      <c r="N469" s="251"/>
      <c r="O469" s="256"/>
      <c r="P469" s="610"/>
      <c r="Q469" s="611"/>
      <c r="R469" s="611"/>
      <c r="S469" s="611">
        <f ca="1">IF(NOT(ISERROR(MATCH(R469,_xlfn.ANCHORARRAY(H480),0))),Q482&amp;"Por favor no seleccionar los criterios de impacto",R469)</f>
        <v>0</v>
      </c>
      <c r="T469" s="610"/>
      <c r="U469" s="611"/>
      <c r="V469" s="252"/>
      <c r="W469" s="194">
        <v>3</v>
      </c>
      <c r="X469" s="192" t="s">
        <v>1066</v>
      </c>
      <c r="Y469" s="194" t="str">
        <f t="shared" si="563"/>
        <v>Probabilidad</v>
      </c>
      <c r="Z469" s="188" t="s">
        <v>211</v>
      </c>
      <c r="AA469" s="188" t="s">
        <v>219</v>
      </c>
      <c r="AB469" s="185" t="str">
        <f>IF(AND(Z469="Preventivo",AA469="Automático"),"50%",IF(AND(Z469="Preventivo",AA469="Manual"),"40%",IF(AND(Z469="Detectivo",AA469="Automático"),"40%",IF(AND(Z469="Detectivo",AA469="Manual"),"30%",IF(AND(Z469="Correctivo",AA469="Automático"),"35%",IF(AND(Z469="Correctivo",AA469="Manual"),"25%",""))))))</f>
        <v>40%</v>
      </c>
      <c r="AC469" s="188" t="s">
        <v>222</v>
      </c>
      <c r="AD469" s="188" t="s">
        <v>227</v>
      </c>
      <c r="AE469" s="188" t="s">
        <v>231</v>
      </c>
      <c r="AF469" s="602">
        <f t="shared" si="627"/>
        <v>0.12959999999999999</v>
      </c>
      <c r="AG469" s="186" t="str">
        <f t="shared" si="564"/>
        <v>Muy Baja</v>
      </c>
      <c r="AH469" s="185">
        <f t="shared" si="565"/>
        <v>0.12959999999999999</v>
      </c>
      <c r="AI469" s="186" t="str">
        <f t="shared" ca="1" si="566"/>
        <v>Moderado</v>
      </c>
      <c r="AJ469" s="185">
        <f t="shared" ref="AJ469:AJ472" ca="1" si="629">IFERROR(IF(AND(Y468="Impacto",Y469="Impacto"),(AJ468-(+AJ468*AB469)),IF(AND(Y468="Probabilidad",Y469="Impacto"),(AJ467-(+AJ467*AB469)),IF(Y469="Probabilidad",AJ468,""))),"")</f>
        <v>0.6</v>
      </c>
      <c r="AK469" s="187" t="str">
        <f t="shared" ca="1" si="567"/>
        <v>Moderado</v>
      </c>
      <c r="AL469" s="603" t="s">
        <v>258</v>
      </c>
      <c r="AM469" s="189"/>
      <c r="AN469" s="194"/>
      <c r="AO469" s="190"/>
      <c r="AP469" s="190"/>
      <c r="AQ469" s="191"/>
      <c r="AR469" s="194"/>
    </row>
    <row r="470" spans="1:44" s="605" customFormat="1" ht="90" x14ac:dyDescent="0.25">
      <c r="A470" s="252"/>
      <c r="B470" s="246"/>
      <c r="C470" s="251"/>
      <c r="D470" s="264"/>
      <c r="E470" s="253"/>
      <c r="F470" s="254"/>
      <c r="G470" s="254"/>
      <c r="H470" s="255"/>
      <c r="I470" s="249"/>
      <c r="J470" s="249"/>
      <c r="K470" s="249"/>
      <c r="L470" s="249"/>
      <c r="M470" s="253"/>
      <c r="N470" s="251"/>
      <c r="O470" s="256"/>
      <c r="P470" s="610"/>
      <c r="Q470" s="611"/>
      <c r="R470" s="611"/>
      <c r="S470" s="611">
        <f ca="1">IF(NOT(ISERROR(MATCH(R470,_xlfn.ANCHORARRAY(H481),0))),Q483&amp;"Por favor no seleccionar los criterios de impacto",R470)</f>
        <v>0</v>
      </c>
      <c r="T470" s="610"/>
      <c r="U470" s="611"/>
      <c r="V470" s="252"/>
      <c r="W470" s="194">
        <v>4</v>
      </c>
      <c r="X470" s="192" t="s">
        <v>1067</v>
      </c>
      <c r="Y470" s="194" t="str">
        <f t="shared" si="563"/>
        <v>Probabilidad</v>
      </c>
      <c r="Z470" s="188" t="s">
        <v>211</v>
      </c>
      <c r="AA470" s="188" t="s">
        <v>219</v>
      </c>
      <c r="AB470" s="185" t="str">
        <f t="shared" ref="AB470" si="630">IF(AND(Z470="Preventivo",AA470="Automático"),"50%",IF(AND(Z470="Preventivo",AA470="Manual"),"40%",IF(AND(Z470="Detectivo",AA470="Automático"),"40%",IF(AND(Z470="Detectivo",AA470="Manual"),"30%",IF(AND(Z470="Correctivo",AA470="Automático"),"35%",IF(AND(Z470="Correctivo",AA470="Manual"),"25%",""))))))</f>
        <v>40%</v>
      </c>
      <c r="AC470" s="188" t="s">
        <v>222</v>
      </c>
      <c r="AD470" s="188" t="s">
        <v>227</v>
      </c>
      <c r="AE470" s="188" t="s">
        <v>231</v>
      </c>
      <c r="AF470" s="602">
        <f t="shared" si="627"/>
        <v>7.7759999999999996E-2</v>
      </c>
      <c r="AG470" s="186" t="str">
        <f t="shared" si="564"/>
        <v>Muy Baja</v>
      </c>
      <c r="AH470" s="185">
        <f t="shared" si="565"/>
        <v>7.7759999999999996E-2</v>
      </c>
      <c r="AI470" s="186" t="str">
        <f t="shared" ca="1" si="566"/>
        <v>Moderado</v>
      </c>
      <c r="AJ470" s="185">
        <f t="shared" ca="1" si="629"/>
        <v>0.6</v>
      </c>
      <c r="AK470" s="187" t="str">
        <f t="shared" ca="1" si="567"/>
        <v>Moderado</v>
      </c>
      <c r="AL470" s="603" t="s">
        <v>258</v>
      </c>
      <c r="AM470" s="189"/>
      <c r="AN470" s="194"/>
      <c r="AO470" s="190"/>
      <c r="AP470" s="190"/>
      <c r="AQ470" s="191"/>
      <c r="AR470" s="194"/>
    </row>
    <row r="471" spans="1:44" s="605" customFormat="1" ht="69" hidden="1" customHeight="1" x14ac:dyDescent="0.25">
      <c r="A471" s="252"/>
      <c r="B471" s="246"/>
      <c r="C471" s="251"/>
      <c r="D471" s="264"/>
      <c r="E471" s="253"/>
      <c r="F471" s="254"/>
      <c r="G471" s="254"/>
      <c r="H471" s="255"/>
      <c r="I471" s="249"/>
      <c r="J471" s="249"/>
      <c r="K471" s="249"/>
      <c r="L471" s="249"/>
      <c r="M471" s="253"/>
      <c r="N471" s="251"/>
      <c r="O471" s="256"/>
      <c r="P471" s="610"/>
      <c r="Q471" s="611"/>
      <c r="R471" s="611"/>
      <c r="S471" s="611">
        <f ca="1">IF(NOT(ISERROR(MATCH(R471,_xlfn.ANCHORARRAY(H482),0))),Q484&amp;"Por favor no seleccionar los criterios de impacto",R471)</f>
        <v>0</v>
      </c>
      <c r="T471" s="610"/>
      <c r="U471" s="611"/>
      <c r="V471" s="252"/>
      <c r="W471" s="194">
        <v>5</v>
      </c>
      <c r="X471" s="192"/>
      <c r="Y471" s="194" t="str">
        <f t="shared" si="563"/>
        <v/>
      </c>
      <c r="Z471" s="188"/>
      <c r="AA471" s="188"/>
      <c r="AB471" s="185" t="str">
        <f t="shared" si="568"/>
        <v/>
      </c>
      <c r="AC471" s="188"/>
      <c r="AD471" s="188"/>
      <c r="AE471" s="188"/>
      <c r="AF471" s="602" t="str">
        <f t="shared" si="627"/>
        <v/>
      </c>
      <c r="AG471" s="186" t="str">
        <f t="shared" si="564"/>
        <v/>
      </c>
      <c r="AH471" s="185" t="str">
        <f t="shared" si="565"/>
        <v/>
      </c>
      <c r="AI471" s="186" t="str">
        <f t="shared" si="566"/>
        <v/>
      </c>
      <c r="AJ471" s="185" t="str">
        <f t="shared" si="629"/>
        <v/>
      </c>
      <c r="AK471" s="187" t="str">
        <f t="shared" si="567"/>
        <v/>
      </c>
      <c r="AL471" s="603"/>
      <c r="AM471" s="189"/>
      <c r="AN471" s="194"/>
      <c r="AO471" s="190"/>
      <c r="AP471" s="190"/>
      <c r="AQ471" s="191"/>
      <c r="AR471" s="194"/>
    </row>
    <row r="472" spans="1:44" s="605" customFormat="1" ht="69" hidden="1" customHeight="1" x14ac:dyDescent="0.25">
      <c r="A472" s="252"/>
      <c r="B472" s="247"/>
      <c r="C472" s="239"/>
      <c r="D472" s="265"/>
      <c r="E472" s="253"/>
      <c r="F472" s="254"/>
      <c r="G472" s="254"/>
      <c r="H472" s="255"/>
      <c r="I472" s="250"/>
      <c r="J472" s="250"/>
      <c r="K472" s="250"/>
      <c r="L472" s="250"/>
      <c r="M472" s="253"/>
      <c r="N472" s="239"/>
      <c r="O472" s="256"/>
      <c r="P472" s="610"/>
      <c r="Q472" s="611"/>
      <c r="R472" s="611"/>
      <c r="S472" s="611">
        <f ca="1">IF(NOT(ISERROR(MATCH(R472,_xlfn.ANCHORARRAY(H483),0))),Q485&amp;"Por favor no seleccionar los criterios de impacto",R472)</f>
        <v>0</v>
      </c>
      <c r="T472" s="610"/>
      <c r="U472" s="611"/>
      <c r="V472" s="252"/>
      <c r="W472" s="194">
        <v>6</v>
      </c>
      <c r="X472" s="192"/>
      <c r="Y472" s="194" t="str">
        <f t="shared" si="563"/>
        <v/>
      </c>
      <c r="Z472" s="188"/>
      <c r="AA472" s="188"/>
      <c r="AB472" s="185" t="str">
        <f t="shared" si="568"/>
        <v/>
      </c>
      <c r="AC472" s="188"/>
      <c r="AD472" s="188"/>
      <c r="AE472" s="188"/>
      <c r="AF472" s="602" t="str">
        <f t="shared" si="627"/>
        <v/>
      </c>
      <c r="AG472" s="186" t="str">
        <f t="shared" si="564"/>
        <v/>
      </c>
      <c r="AH472" s="185" t="str">
        <f t="shared" si="565"/>
        <v/>
      </c>
      <c r="AI472" s="186" t="str">
        <f t="shared" si="566"/>
        <v/>
      </c>
      <c r="AJ472" s="185" t="str">
        <f t="shared" si="629"/>
        <v/>
      </c>
      <c r="AK472" s="187" t="str">
        <f t="shared" si="567"/>
        <v/>
      </c>
      <c r="AL472" s="603"/>
      <c r="AM472" s="189"/>
      <c r="AN472" s="194"/>
      <c r="AO472" s="190"/>
      <c r="AP472" s="190"/>
      <c r="AQ472" s="191"/>
      <c r="AR472" s="194"/>
    </row>
    <row r="473" spans="1:44" s="605" customFormat="1" ht="106.5" x14ac:dyDescent="0.25">
      <c r="A473" s="252">
        <v>77</v>
      </c>
      <c r="B473" s="245" t="s">
        <v>1068</v>
      </c>
      <c r="C473" s="238" t="s">
        <v>281</v>
      </c>
      <c r="D473" s="263" t="s">
        <v>1069</v>
      </c>
      <c r="E473" s="253" t="s">
        <v>243</v>
      </c>
      <c r="F473" s="254" t="s">
        <v>1061</v>
      </c>
      <c r="G473" s="254" t="s">
        <v>1070</v>
      </c>
      <c r="H473" s="255" t="s">
        <v>1071</v>
      </c>
      <c r="I473" s="248" t="s">
        <v>480</v>
      </c>
      <c r="J473" s="248" t="s">
        <v>480</v>
      </c>
      <c r="K473" s="248" t="s">
        <v>480</v>
      </c>
      <c r="L473" s="248" t="s">
        <v>480</v>
      </c>
      <c r="M473" s="253" t="s">
        <v>242</v>
      </c>
      <c r="N473" s="238"/>
      <c r="O473" s="256">
        <v>365</v>
      </c>
      <c r="P473" s="610" t="str">
        <f t="shared" si="614"/>
        <v>Media</v>
      </c>
      <c r="Q473" s="611">
        <f t="shared" si="615"/>
        <v>0.6</v>
      </c>
      <c r="R473" s="611" t="s">
        <v>195</v>
      </c>
      <c r="S473" s="611" t="str">
        <f ca="1">IF(NOT(ISERROR(MATCH(R473,'Tabla Impacto'!$B$221:$B$223,0))),'Tabla Impacto'!$F$223&amp;"Por favor no seleccionar los criterios de impacto(Afectación Económica o presupuestal y Pérdida Reputacional)",R473)</f>
        <v xml:space="preserve">Entre 100 y 500 SMLMV </v>
      </c>
      <c r="T473" s="610" t="str">
        <f ca="1">+IF(OR(S473='[1]Tabla Impacto'!$C$11,S473='[1]Tabla Impacto'!$D$11),"Leve",IF(OR(S473='[1]Tabla Impacto'!$C$12,S473='[1]Tabla Impacto'!$D$12),"Menor",IF(OR(S473='[1]Tabla Impacto'!$C$13,S473='[1]Tabla Impacto'!$D$13),"Moderado",IF(OR(S473='[1]Tabla Impacto'!$C$14,S473='[1]Tabla Impacto'!$D$14),"Mayor",IF(OR(S473='[1]Tabla Impacto'!$C$15,S473='[1]Tabla Impacto'!$D$15),"Catastrófico","")))))</f>
        <v>Mayor</v>
      </c>
      <c r="U473" s="611">
        <f t="shared" ref="U473" ca="1" si="631">IF(T473="","",IF(T473="Leve",0.2,IF(T473="Menor",0.4,IF(T473="Moderado",0.6,IF(T473="Mayor",0.8,IF(T473="Catastrófico",1,))))))</f>
        <v>0.8</v>
      </c>
      <c r="V473" s="252" t="str">
        <f t="shared" ref="V473" ca="1" si="632">IF(OR(AND(P473="Muy Baja",T473="Leve"),AND(P473="Muy Baja",T473="Menor"),AND(P473="Baja",T473="Leve")),"Bajo",IF(OR(AND(P473="Muy baja",T473="Moderado"),AND(P473="Baja",T473="Menor"),AND(P473="Baja",T473="Moderado"),AND(P473="Media",T473="Leve"),AND(P473="Media",T473="Menor"),AND(P473="Media",T473="Moderado"),AND(P473="Alta",T473="Leve"),AND(P473="Alta",T473="Menor")),"Moderado",IF(OR(AND(P473="Muy Baja",T473="Mayor"),AND(P473="Baja",T473="Mayor"),AND(P473="Media",T473="Mayor"),AND(P473="Alta",T473="Moderado"),AND(P473="Alta",T473="Mayor"),AND(P473="Muy Alta",T473="Leve"),AND(P473="Muy Alta",T473="Menor"),AND(P473="Muy Alta",T473="Moderado"),AND(P473="Muy Alta",T473="Mayor")),"Alto",IF(OR(AND(P473="Muy Baja",T473="Catastrófico"),AND(P473="Baja",T473="Catastrófico"),AND(P473="Media",T473="Catastrófico"),AND(P473="Alta",T473="Catastrófico"),AND(P473="Muy Alta",T473="Catastrófico")),"Extremo",""))))</f>
        <v>Alto</v>
      </c>
      <c r="W473" s="194">
        <v>1</v>
      </c>
      <c r="X473" s="192" t="s">
        <v>1072</v>
      </c>
      <c r="Y473" s="194" t="str">
        <f t="shared" si="563"/>
        <v>Probabilidad</v>
      </c>
      <c r="Z473" s="188" t="s">
        <v>213</v>
      </c>
      <c r="AA473" s="188" t="s">
        <v>219</v>
      </c>
      <c r="AB473" s="185" t="s">
        <v>513</v>
      </c>
      <c r="AC473" s="188" t="s">
        <v>222</v>
      </c>
      <c r="AD473" s="188" t="s">
        <v>227</v>
      </c>
      <c r="AE473" s="188" t="s">
        <v>233</v>
      </c>
      <c r="AF473" s="602">
        <f t="shared" ref="AF473" si="633">IFERROR(IF(Y473="Probabilidad",(Q473-(+Q473*AB473)),IF(Y473="Impacto",Q473,"")),"")</f>
        <v>0.42</v>
      </c>
      <c r="AG473" s="186" t="str">
        <f t="shared" si="564"/>
        <v>Media</v>
      </c>
      <c r="AH473" s="185">
        <f t="shared" si="565"/>
        <v>0.42</v>
      </c>
      <c r="AI473" s="186" t="str">
        <f t="shared" ca="1" si="566"/>
        <v>Mayor</v>
      </c>
      <c r="AJ473" s="185">
        <f t="shared" ref="AJ473" ca="1" si="634">IFERROR(IF(Y473="Impacto",(U473-(+U473*AB473)),IF(Y473="Probabilidad",U473,"")),"")</f>
        <v>0.8</v>
      </c>
      <c r="AK473" s="187" t="str">
        <f t="shared" ca="1" si="567"/>
        <v>Alto</v>
      </c>
      <c r="AL473" s="603" t="s">
        <v>265</v>
      </c>
      <c r="AM473" s="189"/>
      <c r="AN473" s="194"/>
      <c r="AO473" s="190"/>
      <c r="AP473" s="190"/>
      <c r="AQ473" s="191"/>
      <c r="AR473" s="194"/>
    </row>
    <row r="474" spans="1:44" s="605" customFormat="1" ht="105.75" x14ac:dyDescent="0.25">
      <c r="A474" s="252"/>
      <c r="B474" s="246"/>
      <c r="C474" s="251"/>
      <c r="D474" s="264"/>
      <c r="E474" s="253"/>
      <c r="F474" s="254"/>
      <c r="G474" s="254"/>
      <c r="H474" s="255"/>
      <c r="I474" s="249"/>
      <c r="J474" s="249"/>
      <c r="K474" s="249"/>
      <c r="L474" s="249"/>
      <c r="M474" s="253"/>
      <c r="N474" s="251"/>
      <c r="O474" s="256"/>
      <c r="P474" s="610"/>
      <c r="Q474" s="611"/>
      <c r="R474" s="611"/>
      <c r="S474" s="611">
        <f ca="1">IF(NOT(ISERROR(MATCH(R474,_xlfn.ANCHORARRAY(H485),0))),Q487&amp;"Por favor no seleccionar los criterios de impacto",R474)</f>
        <v>0</v>
      </c>
      <c r="T474" s="610"/>
      <c r="U474" s="611"/>
      <c r="V474" s="252"/>
      <c r="W474" s="194">
        <v>2</v>
      </c>
      <c r="X474" s="192" t="s">
        <v>1073</v>
      </c>
      <c r="Y474" s="194" t="str">
        <f t="shared" si="563"/>
        <v>Probabilidad</v>
      </c>
      <c r="Z474" s="188" t="s">
        <v>213</v>
      </c>
      <c r="AA474" s="188" t="s">
        <v>219</v>
      </c>
      <c r="AB474" s="185" t="s">
        <v>513</v>
      </c>
      <c r="AC474" s="188" t="s">
        <v>222</v>
      </c>
      <c r="AD474" s="188" t="s">
        <v>227</v>
      </c>
      <c r="AE474" s="188" t="s">
        <v>231</v>
      </c>
      <c r="AF474" s="602">
        <f t="shared" ref="AF474:AF478" si="635">IFERROR(IF(AND(Y473="Probabilidad",Y474="Probabilidad"),(AH473-(+AH473*AB474)),IF(Y474="Probabilidad",(Q473-(+Q473*AB474)),IF(Y474="Impacto",AH473,""))),"")</f>
        <v>0.29399999999999998</v>
      </c>
      <c r="AG474" s="186" t="str">
        <f t="shared" si="564"/>
        <v>Baja</v>
      </c>
      <c r="AH474" s="185">
        <f t="shared" si="565"/>
        <v>0.29399999999999998</v>
      </c>
      <c r="AI474" s="186" t="str">
        <f t="shared" ca="1" si="566"/>
        <v>Mayor</v>
      </c>
      <c r="AJ474" s="185">
        <f t="shared" ref="AJ474" ca="1" si="636">IFERROR(IF(AND(Y473="Impacto",Y474="Impacto"),(AJ473-(+AJ473*AB474)),IF(Y474="Impacto",(U473-(+U473*AB474)),IF(Y474="Probabilidad",AJ473,""))),"")</f>
        <v>0.8</v>
      </c>
      <c r="AK474" s="187" t="str">
        <f t="shared" ca="1" si="567"/>
        <v>Alto</v>
      </c>
      <c r="AL474" s="603" t="s">
        <v>265</v>
      </c>
      <c r="AM474" s="189"/>
      <c r="AN474" s="194"/>
      <c r="AO474" s="190"/>
      <c r="AP474" s="190"/>
      <c r="AQ474" s="191"/>
      <c r="AR474" s="194"/>
    </row>
    <row r="475" spans="1:44" s="605" customFormat="1" ht="105.75" x14ac:dyDescent="0.25">
      <c r="A475" s="252"/>
      <c r="B475" s="246"/>
      <c r="C475" s="251"/>
      <c r="D475" s="264"/>
      <c r="E475" s="253"/>
      <c r="F475" s="254"/>
      <c r="G475" s="254"/>
      <c r="H475" s="255"/>
      <c r="I475" s="249"/>
      <c r="J475" s="249"/>
      <c r="K475" s="249"/>
      <c r="L475" s="249"/>
      <c r="M475" s="253"/>
      <c r="N475" s="251"/>
      <c r="O475" s="256"/>
      <c r="P475" s="610"/>
      <c r="Q475" s="611"/>
      <c r="R475" s="611"/>
      <c r="S475" s="611">
        <f ca="1">IF(NOT(ISERROR(MATCH(R475,_xlfn.ANCHORARRAY(H486),0))),Q488&amp;"Por favor no seleccionar los criterios de impacto",R475)</f>
        <v>0</v>
      </c>
      <c r="T475" s="610"/>
      <c r="U475" s="611"/>
      <c r="V475" s="252"/>
      <c r="W475" s="194">
        <v>3</v>
      </c>
      <c r="X475" s="192" t="s">
        <v>1074</v>
      </c>
      <c r="Y475" s="194" t="str">
        <f t="shared" si="563"/>
        <v>Probabilidad</v>
      </c>
      <c r="Z475" s="188" t="s">
        <v>211</v>
      </c>
      <c r="AA475" s="188" t="s">
        <v>219</v>
      </c>
      <c r="AB475" s="185" t="s">
        <v>490</v>
      </c>
      <c r="AC475" s="188" t="s">
        <v>222</v>
      </c>
      <c r="AD475" s="188" t="s">
        <v>227</v>
      </c>
      <c r="AE475" s="188" t="s">
        <v>231</v>
      </c>
      <c r="AF475" s="602">
        <f t="shared" si="635"/>
        <v>0.1764</v>
      </c>
      <c r="AG475" s="186" t="str">
        <f t="shared" si="564"/>
        <v>Muy Baja</v>
      </c>
      <c r="AH475" s="185">
        <f t="shared" si="565"/>
        <v>0.1764</v>
      </c>
      <c r="AI475" s="186" t="str">
        <f t="shared" ca="1" si="566"/>
        <v>Mayor</v>
      </c>
      <c r="AJ475" s="185">
        <f t="shared" ref="AJ475:AJ478" ca="1" si="637">IFERROR(IF(AND(Y474="Impacto",Y475="Impacto"),(AJ474-(+AJ474*AB475)),IF(AND(Y474="Probabilidad",Y475="Impacto"),(AJ473-(+AJ473*AB475)),IF(Y475="Probabilidad",AJ474,""))),"")</f>
        <v>0.8</v>
      </c>
      <c r="AK475" s="187" t="str">
        <f t="shared" ca="1" si="567"/>
        <v>Alto</v>
      </c>
      <c r="AL475" s="603" t="s">
        <v>265</v>
      </c>
      <c r="AM475" s="189"/>
      <c r="AN475" s="194"/>
      <c r="AO475" s="190"/>
      <c r="AP475" s="190"/>
      <c r="AQ475" s="191"/>
      <c r="AR475" s="194"/>
    </row>
    <row r="476" spans="1:44" s="605" customFormat="1" ht="117" customHeight="1" x14ac:dyDescent="0.25">
      <c r="A476" s="252"/>
      <c r="B476" s="246"/>
      <c r="C476" s="251"/>
      <c r="D476" s="264"/>
      <c r="E476" s="253"/>
      <c r="F476" s="254"/>
      <c r="G476" s="254"/>
      <c r="H476" s="255"/>
      <c r="I476" s="249"/>
      <c r="J476" s="249"/>
      <c r="K476" s="249"/>
      <c r="L476" s="249"/>
      <c r="M476" s="253"/>
      <c r="N476" s="251"/>
      <c r="O476" s="256"/>
      <c r="P476" s="610"/>
      <c r="Q476" s="611"/>
      <c r="R476" s="611"/>
      <c r="S476" s="611">
        <f ca="1">IF(NOT(ISERROR(MATCH(R476,_xlfn.ANCHORARRAY(H487),0))),Q489&amp;"Por favor no seleccionar los criterios de impacto",R476)</f>
        <v>0</v>
      </c>
      <c r="T476" s="610"/>
      <c r="U476" s="611"/>
      <c r="V476" s="252"/>
      <c r="W476" s="194">
        <v>4</v>
      </c>
      <c r="X476" s="192" t="s">
        <v>1075</v>
      </c>
      <c r="Y476" s="194" t="str">
        <f t="shared" si="563"/>
        <v>Impacto</v>
      </c>
      <c r="Z476" s="188" t="s">
        <v>215</v>
      </c>
      <c r="AA476" s="188" t="s">
        <v>219</v>
      </c>
      <c r="AB476" s="185" t="s">
        <v>549</v>
      </c>
      <c r="AC476" s="188" t="s">
        <v>222</v>
      </c>
      <c r="AD476" s="188" t="s">
        <v>227</v>
      </c>
      <c r="AE476" s="188" t="s">
        <v>231</v>
      </c>
      <c r="AF476" s="602">
        <f t="shared" si="635"/>
        <v>0.1764</v>
      </c>
      <c r="AG476" s="186" t="str">
        <f t="shared" si="564"/>
        <v>Muy Baja</v>
      </c>
      <c r="AH476" s="185">
        <f t="shared" si="565"/>
        <v>0.1764</v>
      </c>
      <c r="AI476" s="186" t="str">
        <f t="shared" ca="1" si="566"/>
        <v>Moderado</v>
      </c>
      <c r="AJ476" s="185">
        <f t="shared" ca="1" si="637"/>
        <v>0.60000000000000009</v>
      </c>
      <c r="AK476" s="187" t="str">
        <f t="shared" ca="1" si="567"/>
        <v>Moderado</v>
      </c>
      <c r="AL476" s="603" t="s">
        <v>258</v>
      </c>
      <c r="AM476" s="189"/>
      <c r="AN476" s="194"/>
      <c r="AO476" s="190"/>
      <c r="AP476" s="190"/>
      <c r="AQ476" s="191"/>
      <c r="AR476" s="194"/>
    </row>
    <row r="477" spans="1:44" s="605" customFormat="1" ht="69" hidden="1" customHeight="1" x14ac:dyDescent="0.25">
      <c r="A477" s="252"/>
      <c r="B477" s="246"/>
      <c r="C477" s="251"/>
      <c r="D477" s="264"/>
      <c r="E477" s="253"/>
      <c r="F477" s="254"/>
      <c r="G477" s="254"/>
      <c r="H477" s="255"/>
      <c r="I477" s="249"/>
      <c r="J477" s="249"/>
      <c r="K477" s="249"/>
      <c r="L477" s="249"/>
      <c r="M477" s="253"/>
      <c r="N477" s="251"/>
      <c r="O477" s="256"/>
      <c r="P477" s="610"/>
      <c r="Q477" s="611"/>
      <c r="R477" s="611"/>
      <c r="S477" s="611">
        <f ca="1">IF(NOT(ISERROR(MATCH(R477,_xlfn.ANCHORARRAY(H488),0))),Q490&amp;"Por favor no seleccionar los criterios de impacto",R477)</f>
        <v>0</v>
      </c>
      <c r="T477" s="610"/>
      <c r="U477" s="611"/>
      <c r="V477" s="252"/>
      <c r="W477" s="194">
        <v>5</v>
      </c>
      <c r="X477" s="192"/>
      <c r="Y477" s="194" t="str">
        <f t="shared" si="563"/>
        <v/>
      </c>
      <c r="Z477" s="188"/>
      <c r="AA477" s="188"/>
      <c r="AB477" s="185" t="str">
        <f t="shared" si="568"/>
        <v/>
      </c>
      <c r="AC477" s="188"/>
      <c r="AD477" s="188"/>
      <c r="AE477" s="188"/>
      <c r="AF477" s="602" t="str">
        <f t="shared" si="635"/>
        <v/>
      </c>
      <c r="AG477" s="186" t="str">
        <f t="shared" si="564"/>
        <v/>
      </c>
      <c r="AH477" s="185" t="str">
        <f t="shared" si="565"/>
        <v/>
      </c>
      <c r="AI477" s="186" t="str">
        <f t="shared" si="566"/>
        <v/>
      </c>
      <c r="AJ477" s="185" t="str">
        <f t="shared" si="637"/>
        <v/>
      </c>
      <c r="AK477" s="187" t="str">
        <f t="shared" si="567"/>
        <v/>
      </c>
      <c r="AL477" s="603"/>
      <c r="AM477" s="189"/>
      <c r="AN477" s="194"/>
      <c r="AO477" s="190"/>
      <c r="AP477" s="190"/>
      <c r="AQ477" s="191"/>
      <c r="AR477" s="194"/>
    </row>
    <row r="478" spans="1:44" s="605" customFormat="1" ht="69" hidden="1" customHeight="1" x14ac:dyDescent="0.25">
      <c r="A478" s="252"/>
      <c r="B478" s="247"/>
      <c r="C478" s="239"/>
      <c r="D478" s="265"/>
      <c r="E478" s="253"/>
      <c r="F478" s="254"/>
      <c r="G478" s="254"/>
      <c r="H478" s="255"/>
      <c r="I478" s="250"/>
      <c r="J478" s="250"/>
      <c r="K478" s="250"/>
      <c r="L478" s="250"/>
      <c r="M478" s="253"/>
      <c r="N478" s="239"/>
      <c r="O478" s="256"/>
      <c r="P478" s="610"/>
      <c r="Q478" s="611"/>
      <c r="R478" s="611"/>
      <c r="S478" s="611">
        <f ca="1">IF(NOT(ISERROR(MATCH(R478,_xlfn.ANCHORARRAY(H489),0))),Q491&amp;"Por favor no seleccionar los criterios de impacto",R478)</f>
        <v>0</v>
      </c>
      <c r="T478" s="610"/>
      <c r="U478" s="611"/>
      <c r="V478" s="252"/>
      <c r="W478" s="194">
        <v>6</v>
      </c>
      <c r="X478" s="192"/>
      <c r="Y478" s="194" t="str">
        <f t="shared" si="563"/>
        <v/>
      </c>
      <c r="Z478" s="188"/>
      <c r="AA478" s="188"/>
      <c r="AB478" s="185" t="str">
        <f t="shared" si="568"/>
        <v/>
      </c>
      <c r="AC478" s="188"/>
      <c r="AD478" s="188"/>
      <c r="AE478" s="188"/>
      <c r="AF478" s="602" t="str">
        <f t="shared" si="635"/>
        <v/>
      </c>
      <c r="AG478" s="186" t="str">
        <f t="shared" si="564"/>
        <v/>
      </c>
      <c r="AH478" s="185" t="str">
        <f t="shared" si="565"/>
        <v/>
      </c>
      <c r="AI478" s="186" t="str">
        <f t="shared" si="566"/>
        <v/>
      </c>
      <c r="AJ478" s="185" t="str">
        <f t="shared" si="637"/>
        <v/>
      </c>
      <c r="AK478" s="187" t="str">
        <f t="shared" si="567"/>
        <v/>
      </c>
      <c r="AL478" s="603"/>
      <c r="AM478" s="189"/>
      <c r="AN478" s="194"/>
      <c r="AO478" s="190"/>
      <c r="AP478" s="190"/>
      <c r="AQ478" s="191"/>
      <c r="AR478" s="194"/>
    </row>
    <row r="479" spans="1:44" s="605" customFormat="1" ht="95.25" customHeight="1" x14ac:dyDescent="0.25">
      <c r="A479" s="252">
        <v>78</v>
      </c>
      <c r="B479" s="245" t="s">
        <v>1076</v>
      </c>
      <c r="C479" s="238" t="s">
        <v>281</v>
      </c>
      <c r="D479" s="268" t="s">
        <v>1077</v>
      </c>
      <c r="E479" s="253" t="s">
        <v>239</v>
      </c>
      <c r="F479" s="254" t="s">
        <v>1078</v>
      </c>
      <c r="G479" s="254" t="s">
        <v>1079</v>
      </c>
      <c r="H479" s="255" t="s">
        <v>1080</v>
      </c>
      <c r="I479" s="248" t="s">
        <v>480</v>
      </c>
      <c r="J479" s="248" t="s">
        <v>480</v>
      </c>
      <c r="K479" s="248" t="s">
        <v>480</v>
      </c>
      <c r="L479" s="248" t="s">
        <v>480</v>
      </c>
      <c r="M479" s="253" t="s">
        <v>472</v>
      </c>
      <c r="N479" s="238"/>
      <c r="O479" s="256">
        <v>365</v>
      </c>
      <c r="P479" s="610" t="str">
        <f t="shared" si="614"/>
        <v>Media</v>
      </c>
      <c r="Q479" s="611">
        <f t="shared" si="615"/>
        <v>0.6</v>
      </c>
      <c r="R479" s="611" t="s">
        <v>192</v>
      </c>
      <c r="S479" s="611" t="str">
        <f ca="1">IF(NOT(ISERROR(MATCH(R479,'Tabla Impacto'!$B$221:$B$223,0))),'Tabla Impacto'!$F$223&amp;"Por favor no seleccionar los criterios de impacto(Afectación Económica o presupuestal y Pérdida Reputacional)",R479)</f>
        <v xml:space="preserve">Entre 50 y 100 SMLMV </v>
      </c>
      <c r="T479" s="610" t="str">
        <f ca="1">+IF(OR(S479='[1]Tabla Impacto'!$C$11,S479='[1]Tabla Impacto'!$D$11),"Leve",IF(OR(S479='[1]Tabla Impacto'!$C$12,S479='[1]Tabla Impacto'!$D$12),"Menor",IF(OR(S479='[1]Tabla Impacto'!$C$13,S479='[1]Tabla Impacto'!$D$13),"Moderado",IF(OR(S479='[1]Tabla Impacto'!$C$14,S479='[1]Tabla Impacto'!$D$14),"Mayor",IF(OR(S479='[1]Tabla Impacto'!$C$15,S479='[1]Tabla Impacto'!$D$15),"Catastrófico","")))))</f>
        <v>Moderado</v>
      </c>
      <c r="U479" s="611">
        <f t="shared" ref="U479" ca="1" si="638">IF(T479="","",IF(T479="Leve",0.2,IF(T479="Menor",0.4,IF(T479="Moderado",0.6,IF(T479="Mayor",0.8,IF(T479="Catastrófico",1,))))))</f>
        <v>0.6</v>
      </c>
      <c r="V479" s="252" t="str">
        <f t="shared" ref="V479" ca="1" si="639">IF(OR(AND(P479="Muy Baja",T479="Leve"),AND(P479="Muy Baja",T479="Menor"),AND(P479="Baja",T479="Leve")),"Bajo",IF(OR(AND(P479="Muy baja",T479="Moderado"),AND(P479="Baja",T479="Menor"),AND(P479="Baja",T479="Moderado"),AND(P479="Media",T479="Leve"),AND(P479="Media",T479="Menor"),AND(P479="Media",T479="Moderado"),AND(P479="Alta",T479="Leve"),AND(P479="Alta",T479="Menor")),"Moderado",IF(OR(AND(P479="Muy Baja",T479="Mayor"),AND(P479="Baja",T479="Mayor"),AND(P479="Media",T479="Mayor"),AND(P479="Alta",T479="Moderado"),AND(P479="Alta",T479="Mayor"),AND(P479="Muy Alta",T479="Leve"),AND(P479="Muy Alta",T479="Menor"),AND(P479="Muy Alta",T479="Moderado"),AND(P479="Muy Alta",T479="Mayor")),"Alto",IF(OR(AND(P479="Muy Baja",T479="Catastrófico"),AND(P479="Baja",T479="Catastrófico"),AND(P479="Media",T479="Catastrófico"),AND(P479="Alta",T479="Catastrófico"),AND(P479="Muy Alta",T479="Catastrófico")),"Extremo",""))))</f>
        <v>Moderado</v>
      </c>
      <c r="W479" s="194">
        <v>1</v>
      </c>
      <c r="X479" s="192" t="s">
        <v>1081</v>
      </c>
      <c r="Y479" s="194" t="str">
        <f t="shared" si="563"/>
        <v>Probabilidad</v>
      </c>
      <c r="Z479" s="188" t="s">
        <v>211</v>
      </c>
      <c r="AA479" s="188" t="s">
        <v>219</v>
      </c>
      <c r="AB479" s="185" t="s">
        <v>490</v>
      </c>
      <c r="AC479" s="188" t="s">
        <v>222</v>
      </c>
      <c r="AD479" s="188" t="s">
        <v>227</v>
      </c>
      <c r="AE479" s="188" t="s">
        <v>231</v>
      </c>
      <c r="AF479" s="602">
        <f t="shared" ref="AF479" si="640">IFERROR(IF(Y479="Probabilidad",(Q479-(+Q479*AB479)),IF(Y479="Impacto",Q479,"")),"")</f>
        <v>0.36</v>
      </c>
      <c r="AG479" s="186" t="str">
        <f t="shared" si="564"/>
        <v>Baja</v>
      </c>
      <c r="AH479" s="185">
        <f t="shared" si="565"/>
        <v>0.36</v>
      </c>
      <c r="AI479" s="186" t="str">
        <f t="shared" ca="1" si="566"/>
        <v>Moderado</v>
      </c>
      <c r="AJ479" s="185">
        <f t="shared" ref="AJ479" ca="1" si="641">IFERROR(IF(Y479="Impacto",(U479-(+U479*AB479)),IF(Y479="Probabilidad",U479,"")),"")</f>
        <v>0.6</v>
      </c>
      <c r="AK479" s="187" t="str">
        <f t="shared" ca="1" si="567"/>
        <v>Moderado</v>
      </c>
      <c r="AL479" s="603" t="s">
        <v>258</v>
      </c>
      <c r="AM479" s="189"/>
      <c r="AN479" s="194"/>
      <c r="AO479" s="190"/>
      <c r="AP479" s="190"/>
      <c r="AQ479" s="191"/>
      <c r="AR479" s="194"/>
    </row>
    <row r="480" spans="1:44" s="605" customFormat="1" ht="102" x14ac:dyDescent="0.25">
      <c r="A480" s="252"/>
      <c r="B480" s="246"/>
      <c r="C480" s="251"/>
      <c r="D480" s="264"/>
      <c r="E480" s="253"/>
      <c r="F480" s="254"/>
      <c r="G480" s="254"/>
      <c r="H480" s="255"/>
      <c r="I480" s="249"/>
      <c r="J480" s="249"/>
      <c r="K480" s="249"/>
      <c r="L480" s="249"/>
      <c r="M480" s="253"/>
      <c r="N480" s="251"/>
      <c r="O480" s="256"/>
      <c r="P480" s="610"/>
      <c r="Q480" s="611"/>
      <c r="R480" s="611"/>
      <c r="S480" s="611">
        <f ca="1">IF(NOT(ISERROR(MATCH(R480,_xlfn.ANCHORARRAY(H491),0))),Q493&amp;"Por favor no seleccionar los criterios de impacto",R480)</f>
        <v>0</v>
      </c>
      <c r="T480" s="610"/>
      <c r="U480" s="611"/>
      <c r="V480" s="252"/>
      <c r="W480" s="194">
        <v>2</v>
      </c>
      <c r="X480" s="192" t="s">
        <v>1082</v>
      </c>
      <c r="Y480" s="194" t="str">
        <f t="shared" si="563"/>
        <v>Probabilidad</v>
      </c>
      <c r="Z480" s="188" t="s">
        <v>213</v>
      </c>
      <c r="AA480" s="188" t="s">
        <v>219</v>
      </c>
      <c r="AB480" s="185" t="s">
        <v>513</v>
      </c>
      <c r="AC480" s="188" t="s">
        <v>225</v>
      </c>
      <c r="AD480" s="188" t="s">
        <v>227</v>
      </c>
      <c r="AE480" s="188" t="s">
        <v>231</v>
      </c>
      <c r="AF480" s="602">
        <f t="shared" ref="AF480:AF484" si="642">IFERROR(IF(AND(Y479="Probabilidad",Y480="Probabilidad"),(AH479-(+AH479*AB480)),IF(Y480="Probabilidad",(Q479-(+Q479*AB480)),IF(Y480="Impacto",AH479,""))),"")</f>
        <v>0.252</v>
      </c>
      <c r="AG480" s="186" t="str">
        <f t="shared" si="564"/>
        <v>Baja</v>
      </c>
      <c r="AH480" s="185">
        <f t="shared" si="565"/>
        <v>0.252</v>
      </c>
      <c r="AI480" s="186" t="str">
        <f t="shared" ca="1" si="566"/>
        <v>Moderado</v>
      </c>
      <c r="AJ480" s="185">
        <f t="shared" ref="AJ480" ca="1" si="643">IFERROR(IF(AND(Y479="Impacto",Y480="Impacto"),(AJ479-(+AJ479*AB480)),IF(Y480="Impacto",(U479-(+U479*AB480)),IF(Y480="Probabilidad",AJ479,""))),"")</f>
        <v>0.6</v>
      </c>
      <c r="AK480" s="187" t="str">
        <f t="shared" ca="1" si="567"/>
        <v>Moderado</v>
      </c>
      <c r="AL480" s="603" t="s">
        <v>258</v>
      </c>
      <c r="AM480" s="189"/>
      <c r="AN480" s="194"/>
      <c r="AO480" s="190"/>
      <c r="AP480" s="190"/>
      <c r="AQ480" s="191"/>
      <c r="AR480" s="194"/>
    </row>
    <row r="481" spans="1:44" s="605" customFormat="1" ht="101.25" x14ac:dyDescent="0.25">
      <c r="A481" s="252"/>
      <c r="B481" s="246"/>
      <c r="C481" s="251"/>
      <c r="D481" s="264"/>
      <c r="E481" s="253"/>
      <c r="F481" s="254"/>
      <c r="G481" s="254"/>
      <c r="H481" s="255"/>
      <c r="I481" s="249"/>
      <c r="J481" s="249"/>
      <c r="K481" s="249"/>
      <c r="L481" s="249"/>
      <c r="M481" s="253"/>
      <c r="N481" s="251"/>
      <c r="O481" s="256"/>
      <c r="P481" s="610"/>
      <c r="Q481" s="611"/>
      <c r="R481" s="611"/>
      <c r="S481" s="611">
        <f ca="1">IF(NOT(ISERROR(MATCH(R481,_xlfn.ANCHORARRAY(H492),0))),Q494&amp;"Por favor no seleccionar los criterios de impacto",R481)</f>
        <v>0</v>
      </c>
      <c r="T481" s="610"/>
      <c r="U481" s="611"/>
      <c r="V481" s="252"/>
      <c r="W481" s="194">
        <v>3</v>
      </c>
      <c r="X481" s="192" t="s">
        <v>1083</v>
      </c>
      <c r="Y481" s="194" t="str">
        <f t="shared" si="563"/>
        <v>Probabilidad</v>
      </c>
      <c r="Z481" s="188" t="s">
        <v>211</v>
      </c>
      <c r="AA481" s="188" t="s">
        <v>219</v>
      </c>
      <c r="AB481" s="185" t="s">
        <v>490</v>
      </c>
      <c r="AC481" s="188" t="s">
        <v>222</v>
      </c>
      <c r="AD481" s="188" t="s">
        <v>227</v>
      </c>
      <c r="AE481" s="188" t="s">
        <v>231</v>
      </c>
      <c r="AF481" s="602">
        <f t="shared" si="642"/>
        <v>0.1512</v>
      </c>
      <c r="AG481" s="186" t="str">
        <f t="shared" si="564"/>
        <v>Muy Baja</v>
      </c>
      <c r="AH481" s="185">
        <f t="shared" si="565"/>
        <v>0.1512</v>
      </c>
      <c r="AI481" s="186" t="str">
        <f t="shared" ca="1" si="566"/>
        <v>Moderado</v>
      </c>
      <c r="AJ481" s="185">
        <f t="shared" ref="AJ481:AJ484" ca="1" si="644">IFERROR(IF(AND(Y480="Impacto",Y481="Impacto"),(AJ480-(+AJ480*AB481)),IF(AND(Y480="Probabilidad",Y481="Impacto"),(AJ479-(+AJ479*AB481)),IF(Y481="Probabilidad",AJ480,""))),"")</f>
        <v>0.6</v>
      </c>
      <c r="AK481" s="187" t="str">
        <f t="shared" ca="1" si="567"/>
        <v>Moderado</v>
      </c>
      <c r="AL481" s="603" t="s">
        <v>258</v>
      </c>
      <c r="AM481" s="189"/>
      <c r="AN481" s="194"/>
      <c r="AO481" s="190"/>
      <c r="AP481" s="190"/>
      <c r="AQ481" s="191"/>
      <c r="AR481" s="194"/>
    </row>
    <row r="482" spans="1:44" s="605" customFormat="1" ht="90" x14ac:dyDescent="0.25">
      <c r="A482" s="252"/>
      <c r="B482" s="246"/>
      <c r="C482" s="251"/>
      <c r="D482" s="264"/>
      <c r="E482" s="253"/>
      <c r="F482" s="254"/>
      <c r="G482" s="254"/>
      <c r="H482" s="255"/>
      <c r="I482" s="249"/>
      <c r="J482" s="249"/>
      <c r="K482" s="249"/>
      <c r="L482" s="249"/>
      <c r="M482" s="253"/>
      <c r="N482" s="251"/>
      <c r="O482" s="256"/>
      <c r="P482" s="610"/>
      <c r="Q482" s="611"/>
      <c r="R482" s="611"/>
      <c r="S482" s="611">
        <f ca="1">IF(NOT(ISERROR(MATCH(R482,_xlfn.ANCHORARRAY(H493),0))),Q495&amp;"Por favor no seleccionar los criterios de impacto",R482)</f>
        <v>0</v>
      </c>
      <c r="T482" s="610"/>
      <c r="U482" s="611"/>
      <c r="V482" s="252"/>
      <c r="W482" s="194">
        <v>4</v>
      </c>
      <c r="X482" s="192" t="s">
        <v>1084</v>
      </c>
      <c r="Y482" s="194" t="str">
        <f t="shared" si="563"/>
        <v>Probabilidad</v>
      </c>
      <c r="Z482" s="188" t="s">
        <v>211</v>
      </c>
      <c r="AA482" s="188" t="s">
        <v>219</v>
      </c>
      <c r="AB482" s="185" t="str">
        <f t="shared" ref="AB482:AB483" si="645">IF(AND(Z482="Preventivo",AA482="Automático"),"50%",IF(AND(Z482="Preventivo",AA482="Manual"),"40%",IF(AND(Z482="Detectivo",AA482="Automático"),"40%",IF(AND(Z482="Detectivo",AA482="Manual"),"30%",IF(AND(Z482="Correctivo",AA482="Automático"),"35%",IF(AND(Z482="Correctivo",AA482="Manual"),"25%",""))))))</f>
        <v>40%</v>
      </c>
      <c r="AC482" s="188" t="s">
        <v>222</v>
      </c>
      <c r="AD482" s="188" t="s">
        <v>227</v>
      </c>
      <c r="AE482" s="188" t="s">
        <v>231</v>
      </c>
      <c r="AF482" s="602">
        <f t="shared" si="642"/>
        <v>9.0719999999999995E-2</v>
      </c>
      <c r="AG482" s="186" t="str">
        <f t="shared" si="564"/>
        <v>Muy Baja</v>
      </c>
      <c r="AH482" s="185">
        <f t="shared" si="565"/>
        <v>9.0719999999999995E-2</v>
      </c>
      <c r="AI482" s="186" t="str">
        <f t="shared" ca="1" si="566"/>
        <v>Moderado</v>
      </c>
      <c r="AJ482" s="185">
        <f t="shared" ca="1" si="644"/>
        <v>0.6</v>
      </c>
      <c r="AK482" s="187" t="str">
        <f t="shared" ca="1" si="567"/>
        <v>Moderado</v>
      </c>
      <c r="AL482" s="603" t="s">
        <v>258</v>
      </c>
      <c r="AM482" s="189"/>
      <c r="AN482" s="194"/>
      <c r="AO482" s="190"/>
      <c r="AP482" s="190"/>
      <c r="AQ482" s="191"/>
      <c r="AR482" s="194"/>
    </row>
    <row r="483" spans="1:44" s="605" customFormat="1" ht="101.25" x14ac:dyDescent="0.25">
      <c r="A483" s="252"/>
      <c r="B483" s="246"/>
      <c r="C483" s="251"/>
      <c r="D483" s="264"/>
      <c r="E483" s="253"/>
      <c r="F483" s="254"/>
      <c r="G483" s="254"/>
      <c r="H483" s="255"/>
      <c r="I483" s="249"/>
      <c r="J483" s="249"/>
      <c r="K483" s="249"/>
      <c r="L483" s="249"/>
      <c r="M483" s="253"/>
      <c r="N483" s="251"/>
      <c r="O483" s="256"/>
      <c r="P483" s="610"/>
      <c r="Q483" s="611"/>
      <c r="R483" s="611"/>
      <c r="S483" s="611">
        <f ca="1">IF(NOT(ISERROR(MATCH(R483,_xlfn.ANCHORARRAY(H494),0))),Q496&amp;"Por favor no seleccionar los criterios de impacto",R483)</f>
        <v>0</v>
      </c>
      <c r="T483" s="610"/>
      <c r="U483" s="611"/>
      <c r="V483" s="252"/>
      <c r="W483" s="194">
        <v>5</v>
      </c>
      <c r="X483" s="192" t="s">
        <v>1085</v>
      </c>
      <c r="Y483" s="194" t="str">
        <f t="shared" si="563"/>
        <v>Probabilidad</v>
      </c>
      <c r="Z483" s="188" t="s">
        <v>211</v>
      </c>
      <c r="AA483" s="188" t="s">
        <v>219</v>
      </c>
      <c r="AB483" s="185" t="str">
        <f t="shared" si="645"/>
        <v>40%</v>
      </c>
      <c r="AC483" s="188" t="s">
        <v>222</v>
      </c>
      <c r="AD483" s="188" t="s">
        <v>227</v>
      </c>
      <c r="AE483" s="188" t="s">
        <v>231</v>
      </c>
      <c r="AF483" s="602">
        <f t="shared" si="642"/>
        <v>5.4431999999999994E-2</v>
      </c>
      <c r="AG483" s="186" t="str">
        <f t="shared" si="564"/>
        <v>Muy Baja</v>
      </c>
      <c r="AH483" s="185">
        <f t="shared" si="565"/>
        <v>5.4431999999999994E-2</v>
      </c>
      <c r="AI483" s="186" t="str">
        <f t="shared" ca="1" si="566"/>
        <v>Moderado</v>
      </c>
      <c r="AJ483" s="185">
        <f t="shared" ca="1" si="644"/>
        <v>0.6</v>
      </c>
      <c r="AK483" s="187" t="str">
        <f t="shared" ca="1" si="567"/>
        <v>Moderado</v>
      </c>
      <c r="AL483" s="603" t="s">
        <v>258</v>
      </c>
      <c r="AM483" s="189"/>
      <c r="AN483" s="194"/>
      <c r="AO483" s="190"/>
      <c r="AP483" s="190"/>
      <c r="AQ483" s="191"/>
      <c r="AR483" s="194"/>
    </row>
    <row r="484" spans="1:44" s="605" customFormat="1" ht="69" hidden="1" customHeight="1" x14ac:dyDescent="0.25">
      <c r="A484" s="252"/>
      <c r="B484" s="247"/>
      <c r="C484" s="239"/>
      <c r="D484" s="265"/>
      <c r="E484" s="253"/>
      <c r="F484" s="254"/>
      <c r="G484" s="254"/>
      <c r="H484" s="255"/>
      <c r="I484" s="250"/>
      <c r="J484" s="250"/>
      <c r="K484" s="250"/>
      <c r="L484" s="250"/>
      <c r="M484" s="253"/>
      <c r="N484" s="239"/>
      <c r="O484" s="256"/>
      <c r="P484" s="610"/>
      <c r="Q484" s="611"/>
      <c r="R484" s="611"/>
      <c r="S484" s="611">
        <f ca="1">IF(NOT(ISERROR(MATCH(R484,_xlfn.ANCHORARRAY(H495),0))),Q497&amp;"Por favor no seleccionar los criterios de impacto",R484)</f>
        <v>0</v>
      </c>
      <c r="T484" s="610"/>
      <c r="U484" s="611"/>
      <c r="V484" s="252"/>
      <c r="W484" s="194">
        <v>6</v>
      </c>
      <c r="X484" s="192"/>
      <c r="Y484" s="194" t="str">
        <f t="shared" si="563"/>
        <v/>
      </c>
      <c r="Z484" s="188"/>
      <c r="AA484" s="188"/>
      <c r="AB484" s="185" t="str">
        <f t="shared" si="568"/>
        <v/>
      </c>
      <c r="AC484" s="188"/>
      <c r="AD484" s="188"/>
      <c r="AE484" s="188"/>
      <c r="AF484" s="602" t="str">
        <f t="shared" si="642"/>
        <v/>
      </c>
      <c r="AG484" s="186" t="str">
        <f t="shared" si="564"/>
        <v/>
      </c>
      <c r="AH484" s="185" t="str">
        <f t="shared" si="565"/>
        <v/>
      </c>
      <c r="AI484" s="186" t="str">
        <f t="shared" si="566"/>
        <v/>
      </c>
      <c r="AJ484" s="185" t="str">
        <f t="shared" si="644"/>
        <v/>
      </c>
      <c r="AK484" s="187" t="str">
        <f t="shared" si="567"/>
        <v/>
      </c>
      <c r="AL484" s="603"/>
      <c r="AM484" s="189"/>
      <c r="AN484" s="194"/>
      <c r="AO484" s="190"/>
      <c r="AP484" s="190"/>
      <c r="AQ484" s="191"/>
      <c r="AR484" s="194"/>
    </row>
    <row r="485" spans="1:44" s="605" customFormat="1" ht="88.5" customHeight="1" x14ac:dyDescent="0.25">
      <c r="A485" s="252">
        <v>79</v>
      </c>
      <c r="B485" s="245" t="s">
        <v>1086</v>
      </c>
      <c r="C485" s="238" t="s">
        <v>281</v>
      </c>
      <c r="D485" s="268" t="s">
        <v>1087</v>
      </c>
      <c r="E485" s="253" t="s">
        <v>239</v>
      </c>
      <c r="F485" s="254" t="s">
        <v>1088</v>
      </c>
      <c r="G485" s="254" t="s">
        <v>1070</v>
      </c>
      <c r="H485" s="255" t="s">
        <v>1089</v>
      </c>
      <c r="I485" s="248" t="s">
        <v>480</v>
      </c>
      <c r="J485" s="248" t="s">
        <v>480</v>
      </c>
      <c r="K485" s="248" t="s">
        <v>480</v>
      </c>
      <c r="L485" s="248" t="s">
        <v>480</v>
      </c>
      <c r="M485" s="253" t="s">
        <v>242</v>
      </c>
      <c r="N485" s="238"/>
      <c r="O485" s="256">
        <v>365</v>
      </c>
      <c r="P485" s="610" t="str">
        <f t="shared" si="614"/>
        <v>Media</v>
      </c>
      <c r="Q485" s="611">
        <f t="shared" si="615"/>
        <v>0.6</v>
      </c>
      <c r="R485" s="611" t="s">
        <v>192</v>
      </c>
      <c r="S485" s="611" t="str">
        <f ca="1">IF(NOT(ISERROR(MATCH(R485,'Tabla Impacto'!$B$221:$B$223,0))),'Tabla Impacto'!$F$223&amp;"Por favor no seleccionar los criterios de impacto(Afectación Económica o presupuestal y Pérdida Reputacional)",R485)</f>
        <v xml:space="preserve">Entre 50 y 100 SMLMV </v>
      </c>
      <c r="T485" s="610" t="str">
        <f ca="1">+IF(OR(S485='[1]Tabla Impacto'!$C$11,S485='[1]Tabla Impacto'!$D$11),"Leve",IF(OR(S485='[1]Tabla Impacto'!$C$12,S485='[1]Tabla Impacto'!$D$12),"Menor",IF(OR(S485='[1]Tabla Impacto'!$C$13,S485='[1]Tabla Impacto'!$D$13),"Moderado",IF(OR(S485='[1]Tabla Impacto'!$C$14,S485='[1]Tabla Impacto'!$D$14),"Mayor",IF(OR(S485='[1]Tabla Impacto'!$C$15,S485='[1]Tabla Impacto'!$D$15),"Catastrófico","")))))</f>
        <v>Moderado</v>
      </c>
      <c r="U485" s="611">
        <f t="shared" ref="U485" ca="1" si="646">IF(T485="","",IF(T485="Leve",0.2,IF(T485="Menor",0.4,IF(T485="Moderado",0.6,IF(T485="Mayor",0.8,IF(T485="Catastrófico",1,))))))</f>
        <v>0.6</v>
      </c>
      <c r="V485" s="252" t="str">
        <f t="shared" ref="V485" ca="1" si="647">IF(OR(AND(P485="Muy Baja",T485="Leve"),AND(P485="Muy Baja",T485="Menor"),AND(P485="Baja",T485="Leve")),"Bajo",IF(OR(AND(P485="Muy baja",T485="Moderado"),AND(P485="Baja",T485="Menor"),AND(P485="Baja",T485="Moderado"),AND(P485="Media",T485="Leve"),AND(P485="Media",T485="Menor"),AND(P485="Media",T485="Moderado"),AND(P485="Alta",T485="Leve"),AND(P485="Alta",T485="Menor")),"Moderado",IF(OR(AND(P485="Muy Baja",T485="Mayor"),AND(P485="Baja",T485="Mayor"),AND(P485="Media",T485="Mayor"),AND(P485="Alta",T485="Moderado"),AND(P485="Alta",T485="Mayor"),AND(P485="Muy Alta",T485="Leve"),AND(P485="Muy Alta",T485="Menor"),AND(P485="Muy Alta",T485="Moderado"),AND(P485="Muy Alta",T485="Mayor")),"Alto",IF(OR(AND(P485="Muy Baja",T485="Catastrófico"),AND(P485="Baja",T485="Catastrófico"),AND(P485="Media",T485="Catastrófico"),AND(P485="Alta",T485="Catastrófico"),AND(P485="Muy Alta",T485="Catastrófico")),"Extremo",""))))</f>
        <v>Moderado</v>
      </c>
      <c r="W485" s="194">
        <v>1</v>
      </c>
      <c r="X485" s="192" t="s">
        <v>1090</v>
      </c>
      <c r="Y485" s="194" t="str">
        <f t="shared" si="563"/>
        <v>Probabilidad</v>
      </c>
      <c r="Z485" s="188" t="s">
        <v>211</v>
      </c>
      <c r="AA485" s="188" t="s">
        <v>691</v>
      </c>
      <c r="AB485" s="185" t="s">
        <v>490</v>
      </c>
      <c r="AC485" s="188" t="s">
        <v>222</v>
      </c>
      <c r="AD485" s="188" t="s">
        <v>227</v>
      </c>
      <c r="AE485" s="188" t="s">
        <v>231</v>
      </c>
      <c r="AF485" s="602">
        <f t="shared" ref="AF485" si="648">IFERROR(IF(Y485="Probabilidad",(Q485-(+Q485*AB485)),IF(Y485="Impacto",Q485,"")),"")</f>
        <v>0.36</v>
      </c>
      <c r="AG485" s="186" t="str">
        <f t="shared" si="564"/>
        <v>Baja</v>
      </c>
      <c r="AH485" s="185">
        <f t="shared" si="565"/>
        <v>0.36</v>
      </c>
      <c r="AI485" s="186" t="str">
        <f t="shared" ca="1" si="566"/>
        <v>Moderado</v>
      </c>
      <c r="AJ485" s="185">
        <f t="shared" ref="AJ485" ca="1" si="649">IFERROR(IF(Y485="Impacto",(U485-(+U485*AB485)),IF(Y485="Probabilidad",U485,"")),"")</f>
        <v>0.6</v>
      </c>
      <c r="AK485" s="187" t="str">
        <f t="shared" ca="1" si="567"/>
        <v>Moderado</v>
      </c>
      <c r="AL485" s="603" t="s">
        <v>258</v>
      </c>
      <c r="AM485" s="189"/>
      <c r="AN485" s="194"/>
      <c r="AO485" s="190"/>
      <c r="AP485" s="190"/>
      <c r="AQ485" s="191"/>
      <c r="AR485" s="194"/>
    </row>
    <row r="486" spans="1:44" s="605" customFormat="1" ht="111.75" customHeight="1" x14ac:dyDescent="0.25">
      <c r="A486" s="252"/>
      <c r="B486" s="246"/>
      <c r="C486" s="251"/>
      <c r="D486" s="264"/>
      <c r="E486" s="253"/>
      <c r="F486" s="254"/>
      <c r="G486" s="254"/>
      <c r="H486" s="255"/>
      <c r="I486" s="249"/>
      <c r="J486" s="249"/>
      <c r="K486" s="249"/>
      <c r="L486" s="249"/>
      <c r="M486" s="253"/>
      <c r="N486" s="251"/>
      <c r="O486" s="256"/>
      <c r="P486" s="610"/>
      <c r="Q486" s="611"/>
      <c r="R486" s="611"/>
      <c r="S486" s="611">
        <f ca="1">IF(NOT(ISERROR(MATCH(R486,_xlfn.ANCHORARRAY(H497),0))),Q499&amp;"Por favor no seleccionar los criterios de impacto",R486)</f>
        <v>0</v>
      </c>
      <c r="T486" s="610"/>
      <c r="U486" s="611"/>
      <c r="V486" s="252"/>
      <c r="W486" s="194">
        <v>2</v>
      </c>
      <c r="X486" s="192" t="s">
        <v>1091</v>
      </c>
      <c r="Y486" s="194" t="str">
        <f t="shared" ref="Y486:Y549" si="650">IF(OR(Z486="Preventivo",Z486="Detectivo"),"Probabilidad",IF(Z486="Correctivo","Impacto",""))</f>
        <v>Probabilidad</v>
      </c>
      <c r="Z486" s="188" t="s">
        <v>211</v>
      </c>
      <c r="AA486" s="188" t="s">
        <v>219</v>
      </c>
      <c r="AB486" s="185" t="s">
        <v>490</v>
      </c>
      <c r="AC486" s="188" t="s">
        <v>222</v>
      </c>
      <c r="AD486" s="188" t="s">
        <v>227</v>
      </c>
      <c r="AE486" s="188" t="s">
        <v>231</v>
      </c>
      <c r="AF486" s="602">
        <f t="shared" ref="AF486:AF490" si="651">IFERROR(IF(AND(Y485="Probabilidad",Y486="Probabilidad"),(AH485-(+AH485*AB486)),IF(Y486="Probabilidad",(Q485-(+Q485*AB486)),IF(Y486="Impacto",AH485,""))),"")</f>
        <v>0.216</v>
      </c>
      <c r="AG486" s="186" t="str">
        <f t="shared" ref="AG486:AG549" si="652">IFERROR(IF(AF486="","",IF(AF486&lt;=0.2,"Muy Baja",IF(AF486&lt;=0.4,"Baja",IF(AF486&lt;=0.6,"Media",IF(AF486&lt;=0.8,"Alta","Muy Alta"))))),"")</f>
        <v>Baja</v>
      </c>
      <c r="AH486" s="185">
        <f t="shared" ref="AH486:AH549" si="653">+AF486</f>
        <v>0.216</v>
      </c>
      <c r="AI486" s="186" t="str">
        <f t="shared" ref="AI486:AI549" ca="1" si="654">IFERROR(IF(AJ486="","",IF(AJ486&lt;=0.2,"Leve",IF(AJ486&lt;=0.4,"Menor",IF(AJ486&lt;=0.6,"Moderado",IF(AJ486&lt;=0.8,"Mayor","Catastrófico"))))),"")</f>
        <v>Moderado</v>
      </c>
      <c r="AJ486" s="185">
        <f t="shared" ref="AJ486" ca="1" si="655">IFERROR(IF(AND(Y485="Impacto",Y486="Impacto"),(AJ485-(+AJ485*AB486)),IF(Y486="Impacto",(U485-(+U485*AB486)),IF(Y486="Probabilidad",AJ485,""))),"")</f>
        <v>0.6</v>
      </c>
      <c r="AK486" s="187" t="str">
        <f t="shared" ref="AK486:AK549" ca="1" si="656">IFERROR(IF(OR(AND(AG486="Muy Baja",AI486="Leve"),AND(AG486="Muy Baja",AI486="Menor"),AND(AG486="Baja",AI486="Leve")),"Bajo",IF(OR(AND(AG486="Muy baja",AI486="Moderado"),AND(AG486="Baja",AI486="Menor"),AND(AG486="Baja",AI486="Moderado"),AND(AG486="Media",AI486="Leve"),AND(AG486="Media",AI486="Menor"),AND(AG486="Media",AI486="Moderado"),AND(AG486="Alta",AI486="Leve"),AND(AG486="Alta",AI486="Menor")),"Moderado",IF(OR(AND(AG486="Muy Baja",AI486="Mayor"),AND(AG486="Baja",AI486="Mayor"),AND(AG486="Media",AI486="Mayor"),AND(AG486="Alta",AI486="Moderado"),AND(AG486="Alta",AI486="Mayor"),AND(AG486="Muy Alta",AI486="Leve"),AND(AG486="Muy Alta",AI486="Menor"),AND(AG486="Muy Alta",AI486="Moderado"),AND(AG486="Muy Alta",AI486="Mayor")),"Alto",IF(OR(AND(AG486="Muy Baja",AI486="Catastrófico"),AND(AG486="Baja",AI486="Catastrófico"),AND(AG486="Media",AI486="Catastrófico"),AND(AG486="Alta",AI486="Catastrófico"),AND(AG486="Muy Alta",AI486="Catastrófico")),"Extremo","")))),"")</f>
        <v>Moderado</v>
      </c>
      <c r="AL486" s="603" t="s">
        <v>258</v>
      </c>
      <c r="AM486" s="189"/>
      <c r="AN486" s="194"/>
      <c r="AO486" s="190"/>
      <c r="AP486" s="190"/>
      <c r="AQ486" s="191"/>
      <c r="AR486" s="194"/>
    </row>
    <row r="487" spans="1:44" s="605" customFormat="1" ht="69" hidden="1" customHeight="1" x14ac:dyDescent="0.25">
      <c r="A487" s="252"/>
      <c r="B487" s="246"/>
      <c r="C487" s="251"/>
      <c r="D487" s="264"/>
      <c r="E487" s="253"/>
      <c r="F487" s="254"/>
      <c r="G487" s="254"/>
      <c r="H487" s="255"/>
      <c r="I487" s="249"/>
      <c r="J487" s="249"/>
      <c r="K487" s="249"/>
      <c r="L487" s="249"/>
      <c r="M487" s="253"/>
      <c r="N487" s="251"/>
      <c r="O487" s="256"/>
      <c r="P487" s="610"/>
      <c r="Q487" s="611"/>
      <c r="R487" s="611"/>
      <c r="S487" s="611">
        <f ca="1">IF(NOT(ISERROR(MATCH(R487,_xlfn.ANCHORARRAY(H498),0))),Q500&amp;"Por favor no seleccionar los criterios de impacto",R487)</f>
        <v>0</v>
      </c>
      <c r="T487" s="610"/>
      <c r="U487" s="611"/>
      <c r="V487" s="252"/>
      <c r="W487" s="194">
        <v>3</v>
      </c>
      <c r="X487" s="192"/>
      <c r="Y487" s="194" t="str">
        <f t="shared" si="650"/>
        <v/>
      </c>
      <c r="Z487" s="188"/>
      <c r="AA487" s="188"/>
      <c r="AB487" s="185" t="str">
        <f t="shared" ref="AB487:AB550" si="657">IF(AND(Z487="Preventivo",AA487="Automático"),"50%",IF(AND(Z487="Preventivo",AA487="Manual"),"40%",IF(AND(Z487="Detectivo",AA487="Automático"),"40%",IF(AND(Z487="Detectivo",AA487="Manual"),"30%",IF(AND(Z487="Correctivo",AA487="Automático"),"35%",IF(AND(Z487="Correctivo",AA487="Manual"),"25%",""))))))</f>
        <v/>
      </c>
      <c r="AC487" s="188"/>
      <c r="AD487" s="188"/>
      <c r="AE487" s="188"/>
      <c r="AF487" s="602" t="str">
        <f t="shared" si="651"/>
        <v/>
      </c>
      <c r="AG487" s="186" t="str">
        <f t="shared" si="652"/>
        <v/>
      </c>
      <c r="AH487" s="185" t="str">
        <f t="shared" si="653"/>
        <v/>
      </c>
      <c r="AI487" s="186" t="str">
        <f t="shared" si="654"/>
        <v/>
      </c>
      <c r="AJ487" s="185" t="str">
        <f t="shared" ref="AJ487:AJ490" si="658">IFERROR(IF(AND(Y486="Impacto",Y487="Impacto"),(AJ486-(+AJ486*AB487)),IF(AND(Y486="Probabilidad",Y487="Impacto"),(AJ485-(+AJ485*AB487)),IF(Y487="Probabilidad",AJ486,""))),"")</f>
        <v/>
      </c>
      <c r="AK487" s="187" t="str">
        <f t="shared" si="656"/>
        <v/>
      </c>
      <c r="AL487" s="603"/>
      <c r="AM487" s="189"/>
      <c r="AN487" s="194"/>
      <c r="AO487" s="190"/>
      <c r="AP487" s="190"/>
      <c r="AQ487" s="191"/>
      <c r="AR487" s="194"/>
    </row>
    <row r="488" spans="1:44" s="605" customFormat="1" ht="69" hidden="1" customHeight="1" x14ac:dyDescent="0.25">
      <c r="A488" s="252"/>
      <c r="B488" s="246"/>
      <c r="C488" s="251"/>
      <c r="D488" s="264"/>
      <c r="E488" s="253"/>
      <c r="F488" s="254"/>
      <c r="G488" s="254"/>
      <c r="H488" s="255"/>
      <c r="I488" s="249"/>
      <c r="J488" s="249"/>
      <c r="K488" s="249"/>
      <c r="L488" s="249"/>
      <c r="M488" s="253"/>
      <c r="N488" s="251"/>
      <c r="O488" s="256"/>
      <c r="P488" s="610"/>
      <c r="Q488" s="611"/>
      <c r="R488" s="611"/>
      <c r="S488" s="611">
        <f ca="1">IF(NOT(ISERROR(MATCH(R488,_xlfn.ANCHORARRAY(H499),0))),Q501&amp;"Por favor no seleccionar los criterios de impacto",R488)</f>
        <v>0</v>
      </c>
      <c r="T488" s="610"/>
      <c r="U488" s="611"/>
      <c r="V488" s="252"/>
      <c r="W488" s="194">
        <v>4</v>
      </c>
      <c r="X488" s="192"/>
      <c r="Y488" s="194" t="str">
        <f t="shared" si="650"/>
        <v/>
      </c>
      <c r="Z488" s="188"/>
      <c r="AA488" s="188"/>
      <c r="AB488" s="185" t="str">
        <f t="shared" si="657"/>
        <v/>
      </c>
      <c r="AC488" s="188"/>
      <c r="AD488" s="188"/>
      <c r="AE488" s="188"/>
      <c r="AF488" s="602" t="str">
        <f t="shared" si="651"/>
        <v/>
      </c>
      <c r="AG488" s="186" t="str">
        <f t="shared" si="652"/>
        <v/>
      </c>
      <c r="AH488" s="185" t="str">
        <f t="shared" si="653"/>
        <v/>
      </c>
      <c r="AI488" s="186" t="str">
        <f t="shared" si="654"/>
        <v/>
      </c>
      <c r="AJ488" s="185" t="str">
        <f t="shared" si="658"/>
        <v/>
      </c>
      <c r="AK488" s="187" t="str">
        <f t="shared" si="656"/>
        <v/>
      </c>
      <c r="AL488" s="603"/>
      <c r="AM488" s="189"/>
      <c r="AN488" s="194"/>
      <c r="AO488" s="190"/>
      <c r="AP488" s="190"/>
      <c r="AQ488" s="191"/>
      <c r="AR488" s="194"/>
    </row>
    <row r="489" spans="1:44" s="605" customFormat="1" ht="69" hidden="1" customHeight="1" x14ac:dyDescent="0.25">
      <c r="A489" s="252"/>
      <c r="B489" s="246"/>
      <c r="C489" s="251"/>
      <c r="D489" s="264"/>
      <c r="E489" s="253"/>
      <c r="F489" s="254"/>
      <c r="G489" s="254"/>
      <c r="H489" s="255"/>
      <c r="I489" s="249"/>
      <c r="J489" s="249"/>
      <c r="K489" s="249"/>
      <c r="L489" s="249"/>
      <c r="M489" s="253"/>
      <c r="N489" s="251"/>
      <c r="O489" s="256"/>
      <c r="P489" s="610"/>
      <c r="Q489" s="611"/>
      <c r="R489" s="611"/>
      <c r="S489" s="611">
        <f ca="1">IF(NOT(ISERROR(MATCH(R489,_xlfn.ANCHORARRAY(H500),0))),Q502&amp;"Por favor no seleccionar los criterios de impacto",R489)</f>
        <v>0</v>
      </c>
      <c r="T489" s="610"/>
      <c r="U489" s="611"/>
      <c r="V489" s="252"/>
      <c r="W489" s="194">
        <v>5</v>
      </c>
      <c r="X489" s="192"/>
      <c r="Y489" s="194" t="str">
        <f t="shared" si="650"/>
        <v/>
      </c>
      <c r="Z489" s="188"/>
      <c r="AA489" s="188"/>
      <c r="AB489" s="185" t="str">
        <f t="shared" si="657"/>
        <v/>
      </c>
      <c r="AC489" s="188"/>
      <c r="AD489" s="188"/>
      <c r="AE489" s="188"/>
      <c r="AF489" s="602" t="str">
        <f t="shared" si="651"/>
        <v/>
      </c>
      <c r="AG489" s="186" t="str">
        <f t="shared" si="652"/>
        <v/>
      </c>
      <c r="AH489" s="185" t="str">
        <f t="shared" si="653"/>
        <v/>
      </c>
      <c r="AI489" s="186" t="str">
        <f t="shared" si="654"/>
        <v/>
      </c>
      <c r="AJ489" s="185" t="str">
        <f t="shared" si="658"/>
        <v/>
      </c>
      <c r="AK489" s="187" t="str">
        <f t="shared" si="656"/>
        <v/>
      </c>
      <c r="AL489" s="603"/>
      <c r="AM489" s="189"/>
      <c r="AN489" s="194"/>
      <c r="AO489" s="190"/>
      <c r="AP489" s="190"/>
      <c r="AQ489" s="191"/>
      <c r="AR489" s="194"/>
    </row>
    <row r="490" spans="1:44" s="605" customFormat="1" ht="69" hidden="1" customHeight="1" x14ac:dyDescent="0.25">
      <c r="A490" s="252"/>
      <c r="B490" s="247"/>
      <c r="C490" s="239"/>
      <c r="D490" s="265"/>
      <c r="E490" s="253"/>
      <c r="F490" s="254"/>
      <c r="G490" s="254"/>
      <c r="H490" s="255"/>
      <c r="I490" s="250"/>
      <c r="J490" s="250"/>
      <c r="K490" s="250"/>
      <c r="L490" s="250"/>
      <c r="M490" s="253"/>
      <c r="N490" s="239"/>
      <c r="O490" s="256"/>
      <c r="P490" s="610"/>
      <c r="Q490" s="611"/>
      <c r="R490" s="611"/>
      <c r="S490" s="611">
        <f ca="1">IF(NOT(ISERROR(MATCH(R490,_xlfn.ANCHORARRAY(H501),0))),Q503&amp;"Por favor no seleccionar los criterios de impacto",R490)</f>
        <v>0</v>
      </c>
      <c r="T490" s="610"/>
      <c r="U490" s="611"/>
      <c r="V490" s="252"/>
      <c r="W490" s="194">
        <v>6</v>
      </c>
      <c r="X490" s="192"/>
      <c r="Y490" s="194" t="str">
        <f t="shared" si="650"/>
        <v/>
      </c>
      <c r="Z490" s="188"/>
      <c r="AA490" s="188"/>
      <c r="AB490" s="185" t="str">
        <f t="shared" si="657"/>
        <v/>
      </c>
      <c r="AC490" s="188"/>
      <c r="AD490" s="188"/>
      <c r="AE490" s="188"/>
      <c r="AF490" s="602" t="str">
        <f t="shared" si="651"/>
        <v/>
      </c>
      <c r="AG490" s="186" t="str">
        <f t="shared" si="652"/>
        <v/>
      </c>
      <c r="AH490" s="185" t="str">
        <f t="shared" si="653"/>
        <v/>
      </c>
      <c r="AI490" s="186" t="str">
        <f t="shared" si="654"/>
        <v/>
      </c>
      <c r="AJ490" s="185" t="str">
        <f t="shared" si="658"/>
        <v/>
      </c>
      <c r="AK490" s="187" t="str">
        <f t="shared" si="656"/>
        <v/>
      </c>
      <c r="AL490" s="603"/>
      <c r="AM490" s="189"/>
      <c r="AN490" s="194"/>
      <c r="AO490" s="190"/>
      <c r="AP490" s="190"/>
      <c r="AQ490" s="191"/>
      <c r="AR490" s="194"/>
    </row>
    <row r="491" spans="1:44" s="605" customFormat="1" ht="100.5" customHeight="1" x14ac:dyDescent="0.25">
      <c r="A491" s="252">
        <v>80</v>
      </c>
      <c r="B491" s="245" t="s">
        <v>1092</v>
      </c>
      <c r="C491" s="238" t="s">
        <v>281</v>
      </c>
      <c r="D491" s="268" t="s">
        <v>1093</v>
      </c>
      <c r="E491" s="253" t="s">
        <v>239</v>
      </c>
      <c r="F491" s="254" t="s">
        <v>1094</v>
      </c>
      <c r="G491" s="254" t="s">
        <v>1095</v>
      </c>
      <c r="H491" s="255" t="s">
        <v>1096</v>
      </c>
      <c r="I491" s="248" t="s">
        <v>480</v>
      </c>
      <c r="J491" s="248" t="s">
        <v>480</v>
      </c>
      <c r="K491" s="248" t="s">
        <v>480</v>
      </c>
      <c r="L491" s="248" t="s">
        <v>480</v>
      </c>
      <c r="M491" s="253" t="s">
        <v>471</v>
      </c>
      <c r="N491" s="238"/>
      <c r="O491" s="256">
        <v>500</v>
      </c>
      <c r="P491" s="610" t="str">
        <f t="shared" si="614"/>
        <v>Media</v>
      </c>
      <c r="Q491" s="611">
        <f t="shared" si="615"/>
        <v>0.6</v>
      </c>
      <c r="R491" s="611" t="s">
        <v>192</v>
      </c>
      <c r="S491" s="611" t="str">
        <f ca="1">IF(NOT(ISERROR(MATCH(R491,'Tabla Impacto'!$B$221:$B$223,0))),'Tabla Impacto'!$F$223&amp;"Por favor no seleccionar los criterios de impacto(Afectación Económica o presupuestal y Pérdida Reputacional)",R491)</f>
        <v xml:space="preserve">Entre 50 y 100 SMLMV </v>
      </c>
      <c r="T491" s="610" t="str">
        <f ca="1">+IF(OR(S491='[1]Tabla Impacto'!$C$11,S491='[1]Tabla Impacto'!$D$11),"Leve",IF(OR(S491='[1]Tabla Impacto'!$C$12,S491='[1]Tabla Impacto'!$D$12),"Menor",IF(OR(S491='[1]Tabla Impacto'!$C$13,S491='[1]Tabla Impacto'!$D$13),"Moderado",IF(OR(S491='[1]Tabla Impacto'!$C$14,S491='[1]Tabla Impacto'!$D$14),"Mayor",IF(OR(S491='[1]Tabla Impacto'!$C$15,S491='[1]Tabla Impacto'!$D$15),"Catastrófico","")))))</f>
        <v>Moderado</v>
      </c>
      <c r="U491" s="611">
        <f t="shared" ref="U491" ca="1" si="659">IF(T491="","",IF(T491="Leve",0.2,IF(T491="Menor",0.4,IF(T491="Moderado",0.6,IF(T491="Mayor",0.8,IF(T491="Catastrófico",1,))))))</f>
        <v>0.6</v>
      </c>
      <c r="V491" s="252" t="str">
        <f t="shared" ref="V491" ca="1" si="660">IF(OR(AND(P491="Muy Baja",T491="Leve"),AND(P491="Muy Baja",T491="Menor"),AND(P491="Baja",T491="Leve")),"Bajo",IF(OR(AND(P491="Muy baja",T491="Moderado"),AND(P491="Baja",T491="Menor"),AND(P491="Baja",T491="Moderado"),AND(P491="Media",T491="Leve"),AND(P491="Media",T491="Menor"),AND(P491="Media",T491="Moderado"),AND(P491="Alta",T491="Leve"),AND(P491="Alta",T491="Menor")),"Moderado",IF(OR(AND(P491="Muy Baja",T491="Mayor"),AND(P491="Baja",T491="Mayor"),AND(P491="Media",T491="Mayor"),AND(P491="Alta",T491="Moderado"),AND(P491="Alta",T491="Mayor"),AND(P491="Muy Alta",T491="Leve"),AND(P491="Muy Alta",T491="Menor"),AND(P491="Muy Alta",T491="Moderado"),AND(P491="Muy Alta",T491="Mayor")),"Alto",IF(OR(AND(P491="Muy Baja",T491="Catastrófico"),AND(P491="Baja",T491="Catastrófico"),AND(P491="Media",T491="Catastrófico"),AND(P491="Alta",T491="Catastrófico"),AND(P491="Muy Alta",T491="Catastrófico")),"Extremo",""))))</f>
        <v>Moderado</v>
      </c>
      <c r="W491" s="194">
        <v>1</v>
      </c>
      <c r="X491" s="192" t="s">
        <v>1097</v>
      </c>
      <c r="Y491" s="194" t="str">
        <f t="shared" si="650"/>
        <v>Probabilidad</v>
      </c>
      <c r="Z491" s="188" t="s">
        <v>211</v>
      </c>
      <c r="AA491" s="188" t="s">
        <v>219</v>
      </c>
      <c r="AB491" s="185" t="s">
        <v>490</v>
      </c>
      <c r="AC491" s="188" t="s">
        <v>222</v>
      </c>
      <c r="AD491" s="188" t="s">
        <v>227</v>
      </c>
      <c r="AE491" s="188" t="s">
        <v>231</v>
      </c>
      <c r="AF491" s="602">
        <f t="shared" ref="AF491" si="661">IFERROR(IF(Y491="Probabilidad",(Q491-(+Q491*AB491)),IF(Y491="Impacto",Q491,"")),"")</f>
        <v>0.36</v>
      </c>
      <c r="AG491" s="186" t="str">
        <f t="shared" si="652"/>
        <v>Baja</v>
      </c>
      <c r="AH491" s="185">
        <f t="shared" si="653"/>
        <v>0.36</v>
      </c>
      <c r="AI491" s="186" t="str">
        <f t="shared" ca="1" si="654"/>
        <v>Moderado</v>
      </c>
      <c r="AJ491" s="185">
        <f t="shared" ref="AJ491" ca="1" si="662">IFERROR(IF(Y491="Impacto",(U491-(+U491*AB491)),IF(Y491="Probabilidad",U491,"")),"")</f>
        <v>0.6</v>
      </c>
      <c r="AK491" s="187" t="str">
        <f t="shared" ca="1" si="656"/>
        <v>Moderado</v>
      </c>
      <c r="AL491" s="603" t="s">
        <v>258</v>
      </c>
      <c r="AM491" s="189"/>
      <c r="AN491" s="194"/>
      <c r="AO491" s="190"/>
      <c r="AP491" s="190"/>
      <c r="AQ491" s="191"/>
      <c r="AR491" s="194"/>
    </row>
    <row r="492" spans="1:44" s="605" customFormat="1" ht="98.25" customHeight="1" x14ac:dyDescent="0.25">
      <c r="A492" s="252"/>
      <c r="B492" s="246"/>
      <c r="C492" s="251"/>
      <c r="D492" s="264"/>
      <c r="E492" s="253"/>
      <c r="F492" s="254"/>
      <c r="G492" s="254"/>
      <c r="H492" s="255"/>
      <c r="I492" s="249"/>
      <c r="J492" s="249"/>
      <c r="K492" s="249"/>
      <c r="L492" s="249"/>
      <c r="M492" s="253"/>
      <c r="N492" s="251"/>
      <c r="O492" s="256"/>
      <c r="P492" s="610"/>
      <c r="Q492" s="611"/>
      <c r="R492" s="611"/>
      <c r="S492" s="611">
        <f ca="1">IF(NOT(ISERROR(MATCH(R492,_xlfn.ANCHORARRAY(H503),0))),Q505&amp;"Por favor no seleccionar los criterios de impacto",R492)</f>
        <v>0</v>
      </c>
      <c r="T492" s="610"/>
      <c r="U492" s="611"/>
      <c r="V492" s="252"/>
      <c r="W492" s="194">
        <v>2</v>
      </c>
      <c r="X492" s="192" t="s">
        <v>1098</v>
      </c>
      <c r="Y492" s="194" t="str">
        <f t="shared" si="650"/>
        <v>Probabilidad</v>
      </c>
      <c r="Z492" s="188" t="s">
        <v>211</v>
      </c>
      <c r="AA492" s="188" t="s">
        <v>219</v>
      </c>
      <c r="AB492" s="185" t="s">
        <v>490</v>
      </c>
      <c r="AC492" s="188" t="s">
        <v>222</v>
      </c>
      <c r="AD492" s="188" t="s">
        <v>227</v>
      </c>
      <c r="AE492" s="188" t="s">
        <v>231</v>
      </c>
      <c r="AF492" s="602">
        <f t="shared" ref="AF492:AF496" si="663">IFERROR(IF(AND(Y491="Probabilidad",Y492="Probabilidad"),(AH491-(+AH491*AB492)),IF(Y492="Probabilidad",(Q491-(+Q491*AB492)),IF(Y492="Impacto",AH491,""))),"")</f>
        <v>0.216</v>
      </c>
      <c r="AG492" s="186" t="str">
        <f t="shared" si="652"/>
        <v>Baja</v>
      </c>
      <c r="AH492" s="185">
        <f t="shared" si="653"/>
        <v>0.216</v>
      </c>
      <c r="AI492" s="186" t="str">
        <f t="shared" ca="1" si="654"/>
        <v>Moderado</v>
      </c>
      <c r="AJ492" s="185">
        <f t="shared" ref="AJ492" ca="1" si="664">IFERROR(IF(AND(Y491="Impacto",Y492="Impacto"),(AJ491-(+AJ491*AB492)),IF(Y492="Impacto",(U491-(+U491*AB492)),IF(Y492="Probabilidad",AJ491,""))),"")</f>
        <v>0.6</v>
      </c>
      <c r="AK492" s="187" t="str">
        <f t="shared" ca="1" si="656"/>
        <v>Moderado</v>
      </c>
      <c r="AL492" s="603" t="s">
        <v>258</v>
      </c>
      <c r="AM492" s="189"/>
      <c r="AN492" s="194"/>
      <c r="AO492" s="190"/>
      <c r="AP492" s="190"/>
      <c r="AQ492" s="191"/>
      <c r="AR492" s="194"/>
    </row>
    <row r="493" spans="1:44" s="605" customFormat="1" ht="101.25" x14ac:dyDescent="0.25">
      <c r="A493" s="252"/>
      <c r="B493" s="246"/>
      <c r="C493" s="251"/>
      <c r="D493" s="264"/>
      <c r="E493" s="253"/>
      <c r="F493" s="254"/>
      <c r="G493" s="254"/>
      <c r="H493" s="255"/>
      <c r="I493" s="249"/>
      <c r="J493" s="249"/>
      <c r="K493" s="249"/>
      <c r="L493" s="249"/>
      <c r="M493" s="253"/>
      <c r="N493" s="251"/>
      <c r="O493" s="256"/>
      <c r="P493" s="610"/>
      <c r="Q493" s="611"/>
      <c r="R493" s="611"/>
      <c r="S493" s="611">
        <f ca="1">IF(NOT(ISERROR(MATCH(R493,_xlfn.ANCHORARRAY(H504),0))),Q506&amp;"Por favor no seleccionar los criterios de impacto",R493)</f>
        <v>0</v>
      </c>
      <c r="T493" s="610"/>
      <c r="U493" s="611"/>
      <c r="V493" s="252"/>
      <c r="W493" s="194">
        <v>3</v>
      </c>
      <c r="X493" s="192" t="s">
        <v>1099</v>
      </c>
      <c r="Y493" s="194" t="str">
        <f t="shared" si="650"/>
        <v>Probabilidad</v>
      </c>
      <c r="Z493" s="188" t="s">
        <v>211</v>
      </c>
      <c r="AA493" s="188" t="s">
        <v>219</v>
      </c>
      <c r="AB493" s="185" t="s">
        <v>490</v>
      </c>
      <c r="AC493" s="188" t="s">
        <v>222</v>
      </c>
      <c r="AD493" s="188" t="s">
        <v>227</v>
      </c>
      <c r="AE493" s="188" t="s">
        <v>231</v>
      </c>
      <c r="AF493" s="602">
        <f t="shared" si="663"/>
        <v>0.12959999999999999</v>
      </c>
      <c r="AG493" s="186" t="str">
        <f t="shared" si="652"/>
        <v>Muy Baja</v>
      </c>
      <c r="AH493" s="185">
        <f t="shared" si="653"/>
        <v>0.12959999999999999</v>
      </c>
      <c r="AI493" s="186" t="str">
        <f t="shared" ca="1" si="654"/>
        <v>Moderado</v>
      </c>
      <c r="AJ493" s="185">
        <f t="shared" ref="AJ493:AJ496" ca="1" si="665">IFERROR(IF(AND(Y492="Impacto",Y493="Impacto"),(AJ492-(+AJ492*AB493)),IF(AND(Y492="Probabilidad",Y493="Impacto"),(AJ491-(+AJ491*AB493)),IF(Y493="Probabilidad",AJ492,""))),"")</f>
        <v>0.6</v>
      </c>
      <c r="AK493" s="187" t="str">
        <f t="shared" ca="1" si="656"/>
        <v>Moderado</v>
      </c>
      <c r="AL493" s="603" t="s">
        <v>258</v>
      </c>
      <c r="AM493" s="189"/>
      <c r="AN493" s="194"/>
      <c r="AO493" s="190"/>
      <c r="AP493" s="190"/>
      <c r="AQ493" s="191"/>
      <c r="AR493" s="194"/>
    </row>
    <row r="494" spans="1:44" s="605" customFormat="1" ht="69" hidden="1" customHeight="1" x14ac:dyDescent="0.25">
      <c r="A494" s="252"/>
      <c r="B494" s="246"/>
      <c r="C494" s="251"/>
      <c r="D494" s="264"/>
      <c r="E494" s="253"/>
      <c r="F494" s="254"/>
      <c r="G494" s="254"/>
      <c r="H494" s="255"/>
      <c r="I494" s="249"/>
      <c r="J494" s="249"/>
      <c r="K494" s="249"/>
      <c r="L494" s="249"/>
      <c r="M494" s="253"/>
      <c r="N494" s="251"/>
      <c r="O494" s="256"/>
      <c r="P494" s="610"/>
      <c r="Q494" s="611"/>
      <c r="R494" s="611"/>
      <c r="S494" s="611">
        <f ca="1">IF(NOT(ISERROR(MATCH(R494,_xlfn.ANCHORARRAY(H505),0))),Q507&amp;"Por favor no seleccionar los criterios de impacto",R494)</f>
        <v>0</v>
      </c>
      <c r="T494" s="610"/>
      <c r="U494" s="611"/>
      <c r="V494" s="252"/>
      <c r="W494" s="194">
        <v>4</v>
      </c>
      <c r="X494" s="192"/>
      <c r="Y494" s="194" t="str">
        <f t="shared" si="650"/>
        <v/>
      </c>
      <c r="Z494" s="188"/>
      <c r="AA494" s="188"/>
      <c r="AB494" s="185" t="str">
        <f t="shared" si="657"/>
        <v/>
      </c>
      <c r="AC494" s="188"/>
      <c r="AD494" s="188"/>
      <c r="AE494" s="188"/>
      <c r="AF494" s="602" t="str">
        <f t="shared" si="663"/>
        <v/>
      </c>
      <c r="AG494" s="186" t="str">
        <f t="shared" si="652"/>
        <v/>
      </c>
      <c r="AH494" s="185" t="str">
        <f t="shared" si="653"/>
        <v/>
      </c>
      <c r="AI494" s="186" t="str">
        <f t="shared" si="654"/>
        <v/>
      </c>
      <c r="AJ494" s="185" t="str">
        <f t="shared" si="665"/>
        <v/>
      </c>
      <c r="AK494" s="187" t="str">
        <f t="shared" si="656"/>
        <v/>
      </c>
      <c r="AL494" s="603"/>
      <c r="AM494" s="189"/>
      <c r="AN494" s="194"/>
      <c r="AO494" s="190"/>
      <c r="AP494" s="190"/>
      <c r="AQ494" s="191"/>
      <c r="AR494" s="194"/>
    </row>
    <row r="495" spans="1:44" s="605" customFormat="1" ht="69" hidden="1" customHeight="1" x14ac:dyDescent="0.25">
      <c r="A495" s="252"/>
      <c r="B495" s="246"/>
      <c r="C495" s="251"/>
      <c r="D495" s="264"/>
      <c r="E495" s="253"/>
      <c r="F495" s="254"/>
      <c r="G495" s="254"/>
      <c r="H495" s="255"/>
      <c r="I495" s="249"/>
      <c r="J495" s="249"/>
      <c r="K495" s="249"/>
      <c r="L495" s="249"/>
      <c r="M495" s="253"/>
      <c r="N495" s="251"/>
      <c r="O495" s="256"/>
      <c r="P495" s="610"/>
      <c r="Q495" s="611"/>
      <c r="R495" s="611"/>
      <c r="S495" s="611">
        <f ca="1">IF(NOT(ISERROR(MATCH(R495,_xlfn.ANCHORARRAY(H506),0))),Q508&amp;"Por favor no seleccionar los criterios de impacto",R495)</f>
        <v>0</v>
      </c>
      <c r="T495" s="610"/>
      <c r="U495" s="611"/>
      <c r="V495" s="252"/>
      <c r="W495" s="194">
        <v>5</v>
      </c>
      <c r="X495" s="192"/>
      <c r="Y495" s="194" t="str">
        <f t="shared" si="650"/>
        <v/>
      </c>
      <c r="Z495" s="188"/>
      <c r="AA495" s="188"/>
      <c r="AB495" s="185" t="str">
        <f t="shared" si="657"/>
        <v/>
      </c>
      <c r="AC495" s="188"/>
      <c r="AD495" s="188"/>
      <c r="AE495" s="188"/>
      <c r="AF495" s="602" t="str">
        <f t="shared" si="663"/>
        <v/>
      </c>
      <c r="AG495" s="186" t="str">
        <f t="shared" si="652"/>
        <v/>
      </c>
      <c r="AH495" s="185" t="str">
        <f t="shared" si="653"/>
        <v/>
      </c>
      <c r="AI495" s="186" t="str">
        <f t="shared" si="654"/>
        <v/>
      </c>
      <c r="AJ495" s="185" t="str">
        <f t="shared" si="665"/>
        <v/>
      </c>
      <c r="AK495" s="187" t="str">
        <f t="shared" si="656"/>
        <v/>
      </c>
      <c r="AL495" s="603"/>
      <c r="AM495" s="189"/>
      <c r="AN495" s="194"/>
      <c r="AO495" s="190"/>
      <c r="AP495" s="190"/>
      <c r="AQ495" s="191"/>
      <c r="AR495" s="194"/>
    </row>
    <row r="496" spans="1:44" s="605" customFormat="1" ht="69" hidden="1" customHeight="1" x14ac:dyDescent="0.25">
      <c r="A496" s="252"/>
      <c r="B496" s="247"/>
      <c r="C496" s="239"/>
      <c r="D496" s="265"/>
      <c r="E496" s="253"/>
      <c r="F496" s="254"/>
      <c r="G496" s="254"/>
      <c r="H496" s="255"/>
      <c r="I496" s="250"/>
      <c r="J496" s="250"/>
      <c r="K496" s="250"/>
      <c r="L496" s="250"/>
      <c r="M496" s="253"/>
      <c r="N496" s="239"/>
      <c r="O496" s="256"/>
      <c r="P496" s="610"/>
      <c r="Q496" s="611"/>
      <c r="R496" s="611"/>
      <c r="S496" s="611">
        <f ca="1">IF(NOT(ISERROR(MATCH(R496,_xlfn.ANCHORARRAY(H507),0))),Q509&amp;"Por favor no seleccionar los criterios de impacto",R496)</f>
        <v>0</v>
      </c>
      <c r="T496" s="610"/>
      <c r="U496" s="611"/>
      <c r="V496" s="252"/>
      <c r="W496" s="194">
        <v>6</v>
      </c>
      <c r="X496" s="192"/>
      <c r="Y496" s="194" t="str">
        <f t="shared" si="650"/>
        <v/>
      </c>
      <c r="Z496" s="188"/>
      <c r="AA496" s="188"/>
      <c r="AB496" s="185" t="str">
        <f t="shared" si="657"/>
        <v/>
      </c>
      <c r="AC496" s="188"/>
      <c r="AD496" s="188"/>
      <c r="AE496" s="188"/>
      <c r="AF496" s="602" t="str">
        <f t="shared" si="663"/>
        <v/>
      </c>
      <c r="AG496" s="186" t="str">
        <f t="shared" si="652"/>
        <v/>
      </c>
      <c r="AH496" s="185" t="str">
        <f t="shared" si="653"/>
        <v/>
      </c>
      <c r="AI496" s="186" t="str">
        <f t="shared" si="654"/>
        <v/>
      </c>
      <c r="AJ496" s="185" t="str">
        <f t="shared" si="665"/>
        <v/>
      </c>
      <c r="AK496" s="187" t="str">
        <f t="shared" si="656"/>
        <v/>
      </c>
      <c r="AL496" s="603"/>
      <c r="AM496" s="189"/>
      <c r="AN496" s="194"/>
      <c r="AO496" s="190"/>
      <c r="AP496" s="190"/>
      <c r="AQ496" s="191"/>
      <c r="AR496" s="194"/>
    </row>
    <row r="497" spans="1:44" s="605" customFormat="1" ht="121.5" x14ac:dyDescent="0.25">
      <c r="A497" s="252">
        <v>81</v>
      </c>
      <c r="B497" s="245" t="s">
        <v>1100</v>
      </c>
      <c r="C497" s="238" t="s">
        <v>281</v>
      </c>
      <c r="D497" s="268" t="s">
        <v>1101</v>
      </c>
      <c r="E497" s="253" t="s">
        <v>239</v>
      </c>
      <c r="F497" s="254" t="s">
        <v>1102</v>
      </c>
      <c r="G497" s="254" t="s">
        <v>1103</v>
      </c>
      <c r="H497" s="255" t="s">
        <v>1104</v>
      </c>
      <c r="I497" s="248" t="s">
        <v>480</v>
      </c>
      <c r="J497" s="248" t="s">
        <v>480</v>
      </c>
      <c r="K497" s="248" t="s">
        <v>480</v>
      </c>
      <c r="L497" s="248" t="s">
        <v>480</v>
      </c>
      <c r="M497" s="253" t="s">
        <v>471</v>
      </c>
      <c r="N497" s="238"/>
      <c r="O497" s="256">
        <v>12</v>
      </c>
      <c r="P497" s="610" t="str">
        <f t="shared" si="614"/>
        <v>Baja</v>
      </c>
      <c r="Q497" s="611">
        <f t="shared" si="615"/>
        <v>0.4</v>
      </c>
      <c r="R497" s="611" t="s">
        <v>192</v>
      </c>
      <c r="S497" s="611" t="str">
        <f ca="1">IF(NOT(ISERROR(MATCH(R497,'Tabla Impacto'!$B$221:$B$223,0))),'Tabla Impacto'!$F$223&amp;"Por favor no seleccionar los criterios de impacto(Afectación Económica o presupuestal y Pérdida Reputacional)",R497)</f>
        <v xml:space="preserve">Entre 50 y 100 SMLMV </v>
      </c>
      <c r="T497" s="610" t="str">
        <f ca="1">+IF(OR(S497='[1]Tabla Impacto'!$C$11,S497='[1]Tabla Impacto'!$D$11),"Leve",IF(OR(S497='[1]Tabla Impacto'!$C$12,S497='[1]Tabla Impacto'!$D$12),"Menor",IF(OR(S497='[1]Tabla Impacto'!$C$13,S497='[1]Tabla Impacto'!$D$13),"Moderado",IF(OR(S497='[1]Tabla Impacto'!$C$14,S497='[1]Tabla Impacto'!$D$14),"Mayor",IF(OR(S497='[1]Tabla Impacto'!$C$15,S497='[1]Tabla Impacto'!$D$15),"Catastrófico","")))))</f>
        <v>Moderado</v>
      </c>
      <c r="U497" s="611">
        <f t="shared" ref="U497" ca="1" si="666">IF(T497="","",IF(T497="Leve",0.2,IF(T497="Menor",0.4,IF(T497="Moderado",0.6,IF(T497="Mayor",0.8,IF(T497="Catastrófico",1,))))))</f>
        <v>0.6</v>
      </c>
      <c r="V497" s="252" t="str">
        <f t="shared" ref="V497" ca="1" si="667">IF(OR(AND(P497="Muy Baja",T497="Leve"),AND(P497="Muy Baja",T497="Menor"),AND(P497="Baja",T497="Leve")),"Bajo",IF(OR(AND(P497="Muy baja",T497="Moderado"),AND(P497="Baja",T497="Menor"),AND(P497="Baja",T497="Moderado"),AND(P497="Media",T497="Leve"),AND(P497="Media",T497="Menor"),AND(P497="Media",T497="Moderado"),AND(P497="Alta",T497="Leve"),AND(P497="Alta",T497="Menor")),"Moderado",IF(OR(AND(P497="Muy Baja",T497="Mayor"),AND(P497="Baja",T497="Mayor"),AND(P497="Media",T497="Mayor"),AND(P497="Alta",T497="Moderado"),AND(P497="Alta",T497="Mayor"),AND(P497="Muy Alta",T497="Leve"),AND(P497="Muy Alta",T497="Menor"),AND(P497="Muy Alta",T497="Moderado"),AND(P497="Muy Alta",T497="Mayor")),"Alto",IF(OR(AND(P497="Muy Baja",T497="Catastrófico"),AND(P497="Baja",T497="Catastrófico"),AND(P497="Media",T497="Catastrófico"),AND(P497="Alta",T497="Catastrófico"),AND(P497="Muy Alta",T497="Catastrófico")),"Extremo",""))))</f>
        <v>Moderado</v>
      </c>
      <c r="W497" s="194">
        <v>1</v>
      </c>
      <c r="X497" s="192" t="s">
        <v>1105</v>
      </c>
      <c r="Y497" s="194" t="str">
        <f t="shared" si="650"/>
        <v>Probabilidad</v>
      </c>
      <c r="Z497" s="188" t="s">
        <v>211</v>
      </c>
      <c r="AA497" s="188" t="s">
        <v>219</v>
      </c>
      <c r="AB497" s="185" t="s">
        <v>490</v>
      </c>
      <c r="AC497" s="188" t="s">
        <v>222</v>
      </c>
      <c r="AD497" s="188" t="s">
        <v>227</v>
      </c>
      <c r="AE497" s="188" t="s">
        <v>231</v>
      </c>
      <c r="AF497" s="602">
        <f t="shared" ref="AF497" si="668">IFERROR(IF(Y497="Probabilidad",(Q497-(+Q497*AB497)),IF(Y497="Impacto",Q497,"")),"")</f>
        <v>0.24</v>
      </c>
      <c r="AG497" s="186" t="str">
        <f t="shared" si="652"/>
        <v>Baja</v>
      </c>
      <c r="AH497" s="185">
        <f t="shared" si="653"/>
        <v>0.24</v>
      </c>
      <c r="AI497" s="186" t="str">
        <f t="shared" ca="1" si="654"/>
        <v>Moderado</v>
      </c>
      <c r="AJ497" s="185">
        <f t="shared" ref="AJ497" ca="1" si="669">IFERROR(IF(Y497="Impacto",(U497-(+U497*AB497)),IF(Y497="Probabilidad",U497,"")),"")</f>
        <v>0.6</v>
      </c>
      <c r="AK497" s="187" t="str">
        <f t="shared" ca="1" si="656"/>
        <v>Moderado</v>
      </c>
      <c r="AL497" s="603" t="s">
        <v>258</v>
      </c>
      <c r="AM497" s="189"/>
      <c r="AN497" s="194"/>
      <c r="AO497" s="190"/>
      <c r="AP497" s="190"/>
      <c r="AQ497" s="191"/>
      <c r="AR497" s="194"/>
    </row>
    <row r="498" spans="1:44" s="605" customFormat="1" ht="136.5" customHeight="1" x14ac:dyDescent="0.25">
      <c r="A498" s="252"/>
      <c r="B498" s="246"/>
      <c r="C498" s="251"/>
      <c r="D498" s="264"/>
      <c r="E498" s="253"/>
      <c r="F498" s="254"/>
      <c r="G498" s="254"/>
      <c r="H498" s="255"/>
      <c r="I498" s="249"/>
      <c r="J498" s="249"/>
      <c r="K498" s="249"/>
      <c r="L498" s="249"/>
      <c r="M498" s="253"/>
      <c r="N498" s="251"/>
      <c r="O498" s="256"/>
      <c r="P498" s="610"/>
      <c r="Q498" s="611"/>
      <c r="R498" s="611"/>
      <c r="S498" s="611">
        <f ca="1">IF(NOT(ISERROR(MATCH(R498,_xlfn.ANCHORARRAY(H509),0))),Q511&amp;"Por favor no seleccionar los criterios de impacto",R498)</f>
        <v>0</v>
      </c>
      <c r="T498" s="610"/>
      <c r="U498" s="611"/>
      <c r="V498" s="252"/>
      <c r="W498" s="194">
        <v>2</v>
      </c>
      <c r="X498" s="192" t="s">
        <v>1106</v>
      </c>
      <c r="Y498" s="194" t="str">
        <f t="shared" si="650"/>
        <v>Probabilidad</v>
      </c>
      <c r="Z498" s="188" t="s">
        <v>211</v>
      </c>
      <c r="AA498" s="188" t="s">
        <v>219</v>
      </c>
      <c r="AB498" s="185" t="s">
        <v>490</v>
      </c>
      <c r="AC498" s="188" t="s">
        <v>222</v>
      </c>
      <c r="AD498" s="188" t="s">
        <v>227</v>
      </c>
      <c r="AE498" s="188" t="s">
        <v>231</v>
      </c>
      <c r="AF498" s="602">
        <f t="shared" ref="AF498:AF502" si="670">IFERROR(IF(AND(Y497="Probabilidad",Y498="Probabilidad"),(AH497-(+AH497*AB498)),IF(Y498="Probabilidad",(Q497-(+Q497*AB498)),IF(Y498="Impacto",AH497,""))),"")</f>
        <v>0.14399999999999999</v>
      </c>
      <c r="AG498" s="186" t="str">
        <f t="shared" si="652"/>
        <v>Muy Baja</v>
      </c>
      <c r="AH498" s="185">
        <f t="shared" si="653"/>
        <v>0.14399999999999999</v>
      </c>
      <c r="AI498" s="186" t="str">
        <f t="shared" ca="1" si="654"/>
        <v>Moderado</v>
      </c>
      <c r="AJ498" s="185">
        <f t="shared" ref="AJ498" ca="1" si="671">IFERROR(IF(AND(Y497="Impacto",Y498="Impacto"),(AJ497-(+AJ497*AB498)),IF(Y498="Impacto",(U497-(+U497*AB498)),IF(Y498="Probabilidad",AJ497,""))),"")</f>
        <v>0.6</v>
      </c>
      <c r="AK498" s="187" t="str">
        <f t="shared" ca="1" si="656"/>
        <v>Moderado</v>
      </c>
      <c r="AL498" s="603" t="s">
        <v>258</v>
      </c>
      <c r="AM498" s="189"/>
      <c r="AN498" s="194"/>
      <c r="AO498" s="190"/>
      <c r="AP498" s="190"/>
      <c r="AQ498" s="191"/>
      <c r="AR498" s="194"/>
    </row>
    <row r="499" spans="1:44" s="605" customFormat="1" ht="123.75" customHeight="1" x14ac:dyDescent="0.25">
      <c r="A499" s="252"/>
      <c r="B499" s="246"/>
      <c r="C499" s="251"/>
      <c r="D499" s="264"/>
      <c r="E499" s="253"/>
      <c r="F499" s="254"/>
      <c r="G499" s="254"/>
      <c r="H499" s="255"/>
      <c r="I499" s="249"/>
      <c r="J499" s="249"/>
      <c r="K499" s="249"/>
      <c r="L499" s="249"/>
      <c r="M499" s="253"/>
      <c r="N499" s="251"/>
      <c r="O499" s="256"/>
      <c r="P499" s="610"/>
      <c r="Q499" s="611"/>
      <c r="R499" s="611"/>
      <c r="S499" s="611">
        <f ca="1">IF(NOT(ISERROR(MATCH(R499,_xlfn.ANCHORARRAY(H510),0))),Q512&amp;"Por favor no seleccionar los criterios de impacto",R499)</f>
        <v>0</v>
      </c>
      <c r="T499" s="610"/>
      <c r="U499" s="611"/>
      <c r="V499" s="252"/>
      <c r="W499" s="194">
        <v>3</v>
      </c>
      <c r="X499" s="192" t="s">
        <v>1107</v>
      </c>
      <c r="Y499" s="194" t="str">
        <f t="shared" si="650"/>
        <v>Probabilidad</v>
      </c>
      <c r="Z499" s="188" t="s">
        <v>211</v>
      </c>
      <c r="AA499" s="188" t="s">
        <v>219</v>
      </c>
      <c r="AB499" s="185" t="s">
        <v>490</v>
      </c>
      <c r="AC499" s="188" t="s">
        <v>222</v>
      </c>
      <c r="AD499" s="188" t="s">
        <v>227</v>
      </c>
      <c r="AE499" s="188" t="s">
        <v>231</v>
      </c>
      <c r="AF499" s="602">
        <f t="shared" si="670"/>
        <v>8.6399999999999991E-2</v>
      </c>
      <c r="AG499" s="186" t="str">
        <f t="shared" si="652"/>
        <v>Muy Baja</v>
      </c>
      <c r="AH499" s="185">
        <f t="shared" si="653"/>
        <v>8.6399999999999991E-2</v>
      </c>
      <c r="AI499" s="186" t="str">
        <f t="shared" ca="1" si="654"/>
        <v>Moderado</v>
      </c>
      <c r="AJ499" s="185">
        <f t="shared" ref="AJ499:AJ502" ca="1" si="672">IFERROR(IF(AND(Y498="Impacto",Y499="Impacto"),(AJ498-(+AJ498*AB499)),IF(AND(Y498="Probabilidad",Y499="Impacto"),(AJ497-(+AJ497*AB499)),IF(Y499="Probabilidad",AJ498,""))),"")</f>
        <v>0.6</v>
      </c>
      <c r="AK499" s="187" t="str">
        <f t="shared" ca="1" si="656"/>
        <v>Moderado</v>
      </c>
      <c r="AL499" s="603" t="s">
        <v>258</v>
      </c>
      <c r="AM499" s="189"/>
      <c r="AN499" s="194"/>
      <c r="AO499" s="190"/>
      <c r="AP499" s="190"/>
      <c r="AQ499" s="191"/>
      <c r="AR499" s="194"/>
    </row>
    <row r="500" spans="1:44" s="605" customFormat="1" ht="90" x14ac:dyDescent="0.25">
      <c r="A500" s="252"/>
      <c r="B500" s="246"/>
      <c r="C500" s="251"/>
      <c r="D500" s="264"/>
      <c r="E500" s="253"/>
      <c r="F500" s="254"/>
      <c r="G500" s="254"/>
      <c r="H500" s="255"/>
      <c r="I500" s="249"/>
      <c r="J500" s="249"/>
      <c r="K500" s="249"/>
      <c r="L500" s="249"/>
      <c r="M500" s="253"/>
      <c r="N500" s="251"/>
      <c r="O500" s="256"/>
      <c r="P500" s="610"/>
      <c r="Q500" s="611"/>
      <c r="R500" s="611"/>
      <c r="S500" s="611">
        <f ca="1">IF(NOT(ISERROR(MATCH(R500,_xlfn.ANCHORARRAY(H511),0))),Q513&amp;"Por favor no seleccionar los criterios de impacto",R500)</f>
        <v>0</v>
      </c>
      <c r="T500" s="610"/>
      <c r="U500" s="611"/>
      <c r="V500" s="252"/>
      <c r="W500" s="194">
        <v>4</v>
      </c>
      <c r="X500" s="192" t="s">
        <v>1108</v>
      </c>
      <c r="Y500" s="194" t="str">
        <f t="shared" si="650"/>
        <v>Probabilidad</v>
      </c>
      <c r="Z500" s="188" t="s">
        <v>211</v>
      </c>
      <c r="AA500" s="188" t="s">
        <v>219</v>
      </c>
      <c r="AB500" s="185" t="s">
        <v>490</v>
      </c>
      <c r="AC500" s="188" t="s">
        <v>222</v>
      </c>
      <c r="AD500" s="188" t="s">
        <v>227</v>
      </c>
      <c r="AE500" s="188" t="s">
        <v>231</v>
      </c>
      <c r="AF500" s="602">
        <f t="shared" si="670"/>
        <v>5.183999999999999E-2</v>
      </c>
      <c r="AG500" s="186" t="str">
        <f t="shared" si="652"/>
        <v>Muy Baja</v>
      </c>
      <c r="AH500" s="185">
        <f t="shared" si="653"/>
        <v>5.183999999999999E-2</v>
      </c>
      <c r="AI500" s="186" t="str">
        <f t="shared" ca="1" si="654"/>
        <v>Moderado</v>
      </c>
      <c r="AJ500" s="185">
        <f t="shared" ca="1" si="672"/>
        <v>0.6</v>
      </c>
      <c r="AK500" s="187" t="str">
        <f t="shared" ca="1" si="656"/>
        <v>Moderado</v>
      </c>
      <c r="AL500" s="603" t="s">
        <v>258</v>
      </c>
      <c r="AM500" s="189"/>
      <c r="AN500" s="194"/>
      <c r="AO500" s="190"/>
      <c r="AP500" s="190"/>
      <c r="AQ500" s="191"/>
      <c r="AR500" s="194"/>
    </row>
    <row r="501" spans="1:44" s="605" customFormat="1" ht="81.75" customHeight="1" x14ac:dyDescent="0.25">
      <c r="A501" s="252"/>
      <c r="B501" s="246"/>
      <c r="C501" s="251"/>
      <c r="D501" s="264"/>
      <c r="E501" s="253"/>
      <c r="F501" s="254"/>
      <c r="G501" s="254"/>
      <c r="H501" s="255"/>
      <c r="I501" s="249"/>
      <c r="J501" s="249"/>
      <c r="K501" s="249"/>
      <c r="L501" s="249"/>
      <c r="M501" s="253"/>
      <c r="N501" s="251"/>
      <c r="O501" s="256"/>
      <c r="P501" s="610"/>
      <c r="Q501" s="611"/>
      <c r="R501" s="611"/>
      <c r="S501" s="611">
        <f ca="1">IF(NOT(ISERROR(MATCH(R501,_xlfn.ANCHORARRAY(H512),0))),Q514&amp;"Por favor no seleccionar los criterios de impacto",R501)</f>
        <v>0</v>
      </c>
      <c r="T501" s="610"/>
      <c r="U501" s="611"/>
      <c r="V501" s="252"/>
      <c r="W501" s="194">
        <v>5</v>
      </c>
      <c r="X501" s="192" t="s">
        <v>1109</v>
      </c>
      <c r="Y501" s="194" t="str">
        <f t="shared" si="650"/>
        <v>Impacto</v>
      </c>
      <c r="Z501" s="188" t="s">
        <v>215</v>
      </c>
      <c r="AA501" s="188" t="s">
        <v>219</v>
      </c>
      <c r="AB501" s="185" t="s">
        <v>549</v>
      </c>
      <c r="AC501" s="188" t="s">
        <v>222</v>
      </c>
      <c r="AD501" s="188" t="s">
        <v>227</v>
      </c>
      <c r="AE501" s="188" t="s">
        <v>231</v>
      </c>
      <c r="AF501" s="602">
        <f t="shared" si="670"/>
        <v>5.183999999999999E-2</v>
      </c>
      <c r="AG501" s="186" t="str">
        <f t="shared" si="652"/>
        <v>Muy Baja</v>
      </c>
      <c r="AH501" s="185">
        <f t="shared" si="653"/>
        <v>5.183999999999999E-2</v>
      </c>
      <c r="AI501" s="186" t="str">
        <f t="shared" ca="1" si="654"/>
        <v>Moderado</v>
      </c>
      <c r="AJ501" s="185">
        <f t="shared" ca="1" si="672"/>
        <v>0.44999999999999996</v>
      </c>
      <c r="AK501" s="187" t="str">
        <f t="shared" ca="1" si="656"/>
        <v>Moderado</v>
      </c>
      <c r="AL501" s="603" t="s">
        <v>258</v>
      </c>
      <c r="AM501" s="189"/>
      <c r="AN501" s="194"/>
      <c r="AO501" s="190"/>
      <c r="AP501" s="190"/>
      <c r="AQ501" s="191"/>
      <c r="AR501" s="194"/>
    </row>
    <row r="502" spans="1:44" s="605" customFormat="1" ht="69" hidden="1" customHeight="1" x14ac:dyDescent="0.25">
      <c r="A502" s="252"/>
      <c r="B502" s="247"/>
      <c r="C502" s="239"/>
      <c r="D502" s="265"/>
      <c r="E502" s="253"/>
      <c r="F502" s="254"/>
      <c r="G502" s="254"/>
      <c r="H502" s="255"/>
      <c r="I502" s="250"/>
      <c r="J502" s="250"/>
      <c r="K502" s="250"/>
      <c r="L502" s="250"/>
      <c r="M502" s="253"/>
      <c r="N502" s="239"/>
      <c r="O502" s="256"/>
      <c r="P502" s="610"/>
      <c r="Q502" s="611"/>
      <c r="R502" s="611"/>
      <c r="S502" s="611">
        <f ca="1">IF(NOT(ISERROR(MATCH(R502,_xlfn.ANCHORARRAY(H513),0))),Q515&amp;"Por favor no seleccionar los criterios de impacto",R502)</f>
        <v>0</v>
      </c>
      <c r="T502" s="610"/>
      <c r="U502" s="611"/>
      <c r="V502" s="252"/>
      <c r="W502" s="194">
        <v>6</v>
      </c>
      <c r="X502" s="192"/>
      <c r="Y502" s="194" t="str">
        <f t="shared" si="650"/>
        <v/>
      </c>
      <c r="Z502" s="188"/>
      <c r="AA502" s="188"/>
      <c r="AB502" s="185" t="str">
        <f t="shared" si="657"/>
        <v/>
      </c>
      <c r="AC502" s="188"/>
      <c r="AD502" s="188"/>
      <c r="AE502" s="188"/>
      <c r="AF502" s="602" t="str">
        <f t="shared" si="670"/>
        <v/>
      </c>
      <c r="AG502" s="186" t="str">
        <f t="shared" si="652"/>
        <v/>
      </c>
      <c r="AH502" s="185" t="str">
        <f t="shared" si="653"/>
        <v/>
      </c>
      <c r="AI502" s="186" t="str">
        <f t="shared" si="654"/>
        <v/>
      </c>
      <c r="AJ502" s="185" t="str">
        <f t="shared" si="672"/>
        <v/>
      </c>
      <c r="AK502" s="187" t="str">
        <f t="shared" si="656"/>
        <v/>
      </c>
      <c r="AL502" s="603"/>
      <c r="AM502" s="189"/>
      <c r="AN502" s="194"/>
      <c r="AO502" s="190"/>
      <c r="AP502" s="190"/>
      <c r="AQ502" s="191"/>
      <c r="AR502" s="194"/>
    </row>
    <row r="503" spans="1:44" s="605" customFormat="1" ht="121.5" x14ac:dyDescent="0.25">
      <c r="A503" s="252">
        <v>82</v>
      </c>
      <c r="B503" s="245" t="s">
        <v>1110</v>
      </c>
      <c r="C503" s="238" t="s">
        <v>281</v>
      </c>
      <c r="D503" s="263" t="s">
        <v>1111</v>
      </c>
      <c r="E503" s="253" t="s">
        <v>239</v>
      </c>
      <c r="F503" s="254" t="s">
        <v>1112</v>
      </c>
      <c r="G503" s="254" t="s">
        <v>1113</v>
      </c>
      <c r="H503" s="255" t="s">
        <v>1114</v>
      </c>
      <c r="I503" s="248" t="s">
        <v>688</v>
      </c>
      <c r="J503" s="248" t="s">
        <v>688</v>
      </c>
      <c r="K503" s="248" t="s">
        <v>688</v>
      </c>
      <c r="L503" s="248" t="s">
        <v>688</v>
      </c>
      <c r="M503" s="616" t="s">
        <v>247</v>
      </c>
      <c r="N503" s="238"/>
      <c r="O503" s="256">
        <v>365</v>
      </c>
      <c r="P503" s="610" t="str">
        <f t="shared" si="614"/>
        <v>Media</v>
      </c>
      <c r="Q503" s="611">
        <f t="shared" si="615"/>
        <v>0.6</v>
      </c>
      <c r="R503" s="611" t="s">
        <v>195</v>
      </c>
      <c r="S503" s="611" t="str">
        <f ca="1">IF(NOT(ISERROR(MATCH(R503,'Tabla Impacto'!$B$221:$B$223,0))),'Tabla Impacto'!$F$223&amp;"Por favor no seleccionar los criterios de impacto(Afectación Económica o presupuestal y Pérdida Reputacional)",R503)</f>
        <v xml:space="preserve">Entre 100 y 500 SMLMV </v>
      </c>
      <c r="T503" s="610" t="str">
        <f ca="1">+IF(OR(S503='[1]Tabla Impacto'!$C$11,S503='[1]Tabla Impacto'!$D$11),"Leve",IF(OR(S503='[1]Tabla Impacto'!$C$12,S503='[1]Tabla Impacto'!$D$12),"Menor",IF(OR(S503='[1]Tabla Impacto'!$C$13,S503='[1]Tabla Impacto'!$D$13),"Moderado",IF(OR(S503='[1]Tabla Impacto'!$C$14,S503='[1]Tabla Impacto'!$D$14),"Mayor",IF(OR(S503='[1]Tabla Impacto'!$C$15,S503='[1]Tabla Impacto'!$D$15),"Catastrófico","")))))</f>
        <v>Mayor</v>
      </c>
      <c r="U503" s="611">
        <f t="shared" ref="U503" ca="1" si="673">IF(T503="","",IF(T503="Leve",0.2,IF(T503="Menor",0.4,IF(T503="Moderado",0.6,IF(T503="Mayor",0.8,IF(T503="Catastrófico",1,))))))</f>
        <v>0.8</v>
      </c>
      <c r="V503" s="252" t="str">
        <f t="shared" ref="V503" ca="1" si="674">IF(OR(AND(P503="Muy Baja",T503="Leve"),AND(P503="Muy Baja",T503="Menor"),AND(P503="Baja",T503="Leve")),"Bajo",IF(OR(AND(P503="Muy baja",T503="Moderado"),AND(P503="Baja",T503="Menor"),AND(P503="Baja",T503="Moderado"),AND(P503="Media",T503="Leve"),AND(P503="Media",T503="Menor"),AND(P503="Media",T503="Moderado"),AND(P503="Alta",T503="Leve"),AND(P503="Alta",T503="Menor")),"Moderado",IF(OR(AND(P503="Muy Baja",T503="Mayor"),AND(P503="Baja",T503="Mayor"),AND(P503="Media",T503="Mayor"),AND(P503="Alta",T503="Moderado"),AND(P503="Alta",T503="Mayor"),AND(P503="Muy Alta",T503="Leve"),AND(P503="Muy Alta",T503="Menor"),AND(P503="Muy Alta",T503="Moderado"),AND(P503="Muy Alta",T503="Mayor")),"Alto",IF(OR(AND(P503="Muy Baja",T503="Catastrófico"),AND(P503="Baja",T503="Catastrófico"),AND(P503="Media",T503="Catastrófico"),AND(P503="Alta",T503="Catastrófico"),AND(P503="Muy Alta",T503="Catastrófico")),"Extremo",""))))</f>
        <v>Alto</v>
      </c>
      <c r="W503" s="194">
        <v>1</v>
      </c>
      <c r="X503" s="192" t="s">
        <v>1115</v>
      </c>
      <c r="Y503" s="194" t="str">
        <f t="shared" si="650"/>
        <v>Probabilidad</v>
      </c>
      <c r="Z503" s="188" t="s">
        <v>211</v>
      </c>
      <c r="AA503" s="188" t="s">
        <v>219</v>
      </c>
      <c r="AB503" s="185" t="s">
        <v>490</v>
      </c>
      <c r="AC503" s="188" t="s">
        <v>222</v>
      </c>
      <c r="AD503" s="188" t="s">
        <v>227</v>
      </c>
      <c r="AE503" s="188" t="s">
        <v>231</v>
      </c>
      <c r="AF503" s="602">
        <f t="shared" ref="AF503" si="675">IFERROR(IF(Y503="Probabilidad",(Q503-(+Q503*AB503)),IF(Y503="Impacto",Q503,"")),"")</f>
        <v>0.36</v>
      </c>
      <c r="AG503" s="186" t="str">
        <f t="shared" si="652"/>
        <v>Baja</v>
      </c>
      <c r="AH503" s="185">
        <f t="shared" si="653"/>
        <v>0.36</v>
      </c>
      <c r="AI503" s="186" t="str">
        <f t="shared" ca="1" si="654"/>
        <v>Mayor</v>
      </c>
      <c r="AJ503" s="185">
        <f t="shared" ref="AJ503" ca="1" si="676">IFERROR(IF(Y503="Impacto",(U503-(+U503*AB503)),IF(Y503="Probabilidad",U503,"")),"")</f>
        <v>0.8</v>
      </c>
      <c r="AK503" s="187" t="str">
        <f t="shared" ca="1" si="656"/>
        <v>Alto</v>
      </c>
      <c r="AL503" s="603" t="s">
        <v>265</v>
      </c>
      <c r="AM503" s="189"/>
      <c r="AN503" s="194"/>
      <c r="AO503" s="190"/>
      <c r="AP503" s="190"/>
      <c r="AQ503" s="191"/>
      <c r="AR503" s="194"/>
    </row>
    <row r="504" spans="1:44" s="605" customFormat="1" ht="121.5" x14ac:dyDescent="0.25">
      <c r="A504" s="252"/>
      <c r="B504" s="246"/>
      <c r="C504" s="251"/>
      <c r="D504" s="264"/>
      <c r="E504" s="253"/>
      <c r="F504" s="254"/>
      <c r="G504" s="254"/>
      <c r="H504" s="255"/>
      <c r="I504" s="249"/>
      <c r="J504" s="249"/>
      <c r="K504" s="249"/>
      <c r="L504" s="249"/>
      <c r="M504" s="616"/>
      <c r="N504" s="251"/>
      <c r="O504" s="256"/>
      <c r="P504" s="610"/>
      <c r="Q504" s="611"/>
      <c r="R504" s="611"/>
      <c r="S504" s="611">
        <f ca="1">IF(NOT(ISERROR(MATCH(R504,_xlfn.ANCHORARRAY(H515),0))),Q517&amp;"Por favor no seleccionar los criterios de impacto",R504)</f>
        <v>0</v>
      </c>
      <c r="T504" s="610"/>
      <c r="U504" s="611"/>
      <c r="V504" s="252"/>
      <c r="W504" s="194">
        <v>2</v>
      </c>
      <c r="X504" s="192" t="s">
        <v>1116</v>
      </c>
      <c r="Y504" s="194" t="str">
        <f t="shared" si="650"/>
        <v>Probabilidad</v>
      </c>
      <c r="Z504" s="188" t="s">
        <v>211</v>
      </c>
      <c r="AA504" s="188" t="s">
        <v>219</v>
      </c>
      <c r="AB504" s="185" t="s">
        <v>490</v>
      </c>
      <c r="AC504" s="188" t="s">
        <v>222</v>
      </c>
      <c r="AD504" s="188" t="s">
        <v>227</v>
      </c>
      <c r="AE504" s="188" t="s">
        <v>231</v>
      </c>
      <c r="AF504" s="602">
        <f t="shared" ref="AF504:AF508" si="677">IFERROR(IF(AND(Y503="Probabilidad",Y504="Probabilidad"),(AH503-(+AH503*AB504)),IF(Y504="Probabilidad",(Q503-(+Q503*AB504)),IF(Y504="Impacto",AH503,""))),"")</f>
        <v>0.216</v>
      </c>
      <c r="AG504" s="186" t="str">
        <f t="shared" si="652"/>
        <v>Baja</v>
      </c>
      <c r="AH504" s="185">
        <f t="shared" si="653"/>
        <v>0.216</v>
      </c>
      <c r="AI504" s="186" t="str">
        <f t="shared" ca="1" si="654"/>
        <v>Mayor</v>
      </c>
      <c r="AJ504" s="185">
        <f t="shared" ref="AJ504" ca="1" si="678">IFERROR(IF(AND(Y503="Impacto",Y504="Impacto"),(AJ503-(+AJ503*AB504)),IF(Y504="Impacto",(U503-(+U503*AB504)),IF(Y504="Probabilidad",AJ503,""))),"")</f>
        <v>0.8</v>
      </c>
      <c r="AK504" s="187" t="str">
        <f t="shared" ca="1" si="656"/>
        <v>Alto</v>
      </c>
      <c r="AL504" s="603" t="s">
        <v>265</v>
      </c>
      <c r="AM504" s="189"/>
      <c r="AN504" s="194"/>
      <c r="AO504" s="190"/>
      <c r="AP504" s="190"/>
      <c r="AQ504" s="191"/>
      <c r="AR504" s="194"/>
    </row>
    <row r="505" spans="1:44" s="605" customFormat="1" ht="105.75" x14ac:dyDescent="0.25">
      <c r="A505" s="252"/>
      <c r="B505" s="246"/>
      <c r="C505" s="251"/>
      <c r="D505" s="264"/>
      <c r="E505" s="253"/>
      <c r="F505" s="254"/>
      <c r="G505" s="254"/>
      <c r="H505" s="255"/>
      <c r="I505" s="249"/>
      <c r="J505" s="249"/>
      <c r="K505" s="249"/>
      <c r="L505" s="249"/>
      <c r="M505" s="616"/>
      <c r="N505" s="251"/>
      <c r="O505" s="256"/>
      <c r="P505" s="610"/>
      <c r="Q505" s="611"/>
      <c r="R505" s="611"/>
      <c r="S505" s="611">
        <f ca="1">IF(NOT(ISERROR(MATCH(R505,_xlfn.ANCHORARRAY(H516),0))),Q518&amp;"Por favor no seleccionar los criterios de impacto",R505)</f>
        <v>0</v>
      </c>
      <c r="T505" s="610"/>
      <c r="U505" s="611"/>
      <c r="V505" s="252"/>
      <c r="W505" s="194">
        <v>3</v>
      </c>
      <c r="X505" s="192" t="s">
        <v>1117</v>
      </c>
      <c r="Y505" s="194" t="str">
        <f t="shared" si="650"/>
        <v>Probabilidad</v>
      </c>
      <c r="Z505" s="188" t="s">
        <v>211</v>
      </c>
      <c r="AA505" s="188" t="s">
        <v>219</v>
      </c>
      <c r="AB505" s="185" t="s">
        <v>490</v>
      </c>
      <c r="AC505" s="188" t="s">
        <v>222</v>
      </c>
      <c r="AD505" s="188" t="s">
        <v>227</v>
      </c>
      <c r="AE505" s="188" t="s">
        <v>231</v>
      </c>
      <c r="AF505" s="602">
        <f t="shared" si="677"/>
        <v>0.12959999999999999</v>
      </c>
      <c r="AG505" s="186" t="str">
        <f t="shared" si="652"/>
        <v>Muy Baja</v>
      </c>
      <c r="AH505" s="185">
        <f t="shared" si="653"/>
        <v>0.12959999999999999</v>
      </c>
      <c r="AI505" s="186" t="str">
        <f t="shared" ca="1" si="654"/>
        <v>Mayor</v>
      </c>
      <c r="AJ505" s="185">
        <f t="shared" ref="AJ505:AJ508" ca="1" si="679">IFERROR(IF(AND(Y504="Impacto",Y505="Impacto"),(AJ504-(+AJ504*AB505)),IF(AND(Y504="Probabilidad",Y505="Impacto"),(AJ503-(+AJ503*AB505)),IF(Y505="Probabilidad",AJ504,""))),"")</f>
        <v>0.8</v>
      </c>
      <c r="AK505" s="187" t="str">
        <f t="shared" ca="1" si="656"/>
        <v>Alto</v>
      </c>
      <c r="AL505" s="603" t="s">
        <v>265</v>
      </c>
      <c r="AM505" s="189"/>
      <c r="AN505" s="194"/>
      <c r="AO505" s="190"/>
      <c r="AP505" s="190"/>
      <c r="AQ505" s="191"/>
      <c r="AR505" s="194"/>
    </row>
    <row r="506" spans="1:44" s="605" customFormat="1" ht="106.5" x14ac:dyDescent="0.25">
      <c r="A506" s="252"/>
      <c r="B506" s="246"/>
      <c r="C506" s="251"/>
      <c r="D506" s="264"/>
      <c r="E506" s="253"/>
      <c r="F506" s="254"/>
      <c r="G506" s="254"/>
      <c r="H506" s="255"/>
      <c r="I506" s="249"/>
      <c r="J506" s="249"/>
      <c r="K506" s="249"/>
      <c r="L506" s="249"/>
      <c r="M506" s="616"/>
      <c r="N506" s="251"/>
      <c r="O506" s="256"/>
      <c r="P506" s="610"/>
      <c r="Q506" s="611"/>
      <c r="R506" s="611"/>
      <c r="S506" s="611">
        <f ca="1">IF(NOT(ISERROR(MATCH(R506,_xlfn.ANCHORARRAY(H517),0))),Q519&amp;"Por favor no seleccionar los criterios de impacto",R506)</f>
        <v>0</v>
      </c>
      <c r="T506" s="610"/>
      <c r="U506" s="611"/>
      <c r="V506" s="252"/>
      <c r="W506" s="194">
        <v>4</v>
      </c>
      <c r="X506" s="192" t="s">
        <v>1118</v>
      </c>
      <c r="Y506" s="194" t="str">
        <f t="shared" si="650"/>
        <v>Probabilidad</v>
      </c>
      <c r="Z506" s="188" t="s">
        <v>211</v>
      </c>
      <c r="AA506" s="188" t="s">
        <v>219</v>
      </c>
      <c r="AB506" s="185" t="s">
        <v>490</v>
      </c>
      <c r="AC506" s="188" t="s">
        <v>222</v>
      </c>
      <c r="AD506" s="188" t="s">
        <v>227</v>
      </c>
      <c r="AE506" s="188" t="s">
        <v>231</v>
      </c>
      <c r="AF506" s="602">
        <f t="shared" si="677"/>
        <v>7.7759999999999996E-2</v>
      </c>
      <c r="AG506" s="186" t="str">
        <f t="shared" si="652"/>
        <v>Muy Baja</v>
      </c>
      <c r="AH506" s="185">
        <f t="shared" si="653"/>
        <v>7.7759999999999996E-2</v>
      </c>
      <c r="AI506" s="186" t="str">
        <f t="shared" ca="1" si="654"/>
        <v>Mayor</v>
      </c>
      <c r="AJ506" s="185">
        <f t="shared" ca="1" si="679"/>
        <v>0.8</v>
      </c>
      <c r="AK506" s="187" t="str">
        <f t="shared" ca="1" si="656"/>
        <v>Alto</v>
      </c>
      <c r="AL506" s="603" t="s">
        <v>265</v>
      </c>
      <c r="AM506" s="189"/>
      <c r="AN506" s="194"/>
      <c r="AO506" s="190"/>
      <c r="AP506" s="190"/>
      <c r="AQ506" s="191"/>
      <c r="AR506" s="194"/>
    </row>
    <row r="507" spans="1:44" s="605" customFormat="1" ht="69" hidden="1" customHeight="1" x14ac:dyDescent="0.25">
      <c r="A507" s="252"/>
      <c r="B507" s="246"/>
      <c r="C507" s="251"/>
      <c r="D507" s="264"/>
      <c r="E507" s="253"/>
      <c r="F507" s="254"/>
      <c r="G507" s="254"/>
      <c r="H507" s="255"/>
      <c r="I507" s="249"/>
      <c r="J507" s="249"/>
      <c r="K507" s="249"/>
      <c r="L507" s="249"/>
      <c r="M507" s="616"/>
      <c r="N507" s="251"/>
      <c r="O507" s="256"/>
      <c r="P507" s="610"/>
      <c r="Q507" s="611"/>
      <c r="R507" s="611"/>
      <c r="S507" s="611">
        <f ca="1">IF(NOT(ISERROR(MATCH(R507,_xlfn.ANCHORARRAY(H518),0))),Q520&amp;"Por favor no seleccionar los criterios de impacto",R507)</f>
        <v>0</v>
      </c>
      <c r="T507" s="610"/>
      <c r="U507" s="611"/>
      <c r="V507" s="252"/>
      <c r="W507" s="194">
        <v>5</v>
      </c>
      <c r="X507" s="192"/>
      <c r="Y507" s="194" t="str">
        <f t="shared" si="650"/>
        <v/>
      </c>
      <c r="Z507" s="188"/>
      <c r="AA507" s="188"/>
      <c r="AB507" s="185" t="str">
        <f t="shared" si="657"/>
        <v/>
      </c>
      <c r="AC507" s="188"/>
      <c r="AD507" s="188"/>
      <c r="AE507" s="188"/>
      <c r="AF507" s="602" t="str">
        <f t="shared" si="677"/>
        <v/>
      </c>
      <c r="AG507" s="186" t="str">
        <f t="shared" si="652"/>
        <v/>
      </c>
      <c r="AH507" s="185" t="str">
        <f t="shared" si="653"/>
        <v/>
      </c>
      <c r="AI507" s="186" t="str">
        <f t="shared" si="654"/>
        <v/>
      </c>
      <c r="AJ507" s="185" t="str">
        <f t="shared" si="679"/>
        <v/>
      </c>
      <c r="AK507" s="187" t="str">
        <f t="shared" si="656"/>
        <v/>
      </c>
      <c r="AL507" s="603"/>
      <c r="AM507" s="189"/>
      <c r="AN507" s="194"/>
      <c r="AO507" s="190"/>
      <c r="AP507" s="190"/>
      <c r="AQ507" s="191"/>
      <c r="AR507" s="194"/>
    </row>
    <row r="508" spans="1:44" s="605" customFormat="1" ht="69" hidden="1" customHeight="1" x14ac:dyDescent="0.25">
      <c r="A508" s="252"/>
      <c r="B508" s="247"/>
      <c r="C508" s="239"/>
      <c r="D508" s="265"/>
      <c r="E508" s="253"/>
      <c r="F508" s="254"/>
      <c r="G508" s="254"/>
      <c r="H508" s="255"/>
      <c r="I508" s="250"/>
      <c r="J508" s="250"/>
      <c r="K508" s="250"/>
      <c r="L508" s="250"/>
      <c r="M508" s="616"/>
      <c r="N508" s="239"/>
      <c r="O508" s="256"/>
      <c r="P508" s="610"/>
      <c r="Q508" s="611"/>
      <c r="R508" s="611"/>
      <c r="S508" s="611">
        <f ca="1">IF(NOT(ISERROR(MATCH(R508,_xlfn.ANCHORARRAY(H519),0))),Q521&amp;"Por favor no seleccionar los criterios de impacto",R508)</f>
        <v>0</v>
      </c>
      <c r="T508" s="610"/>
      <c r="U508" s="611"/>
      <c r="V508" s="252"/>
      <c r="W508" s="194">
        <v>6</v>
      </c>
      <c r="X508" s="192"/>
      <c r="Y508" s="194" t="str">
        <f t="shared" si="650"/>
        <v/>
      </c>
      <c r="Z508" s="188"/>
      <c r="AA508" s="188"/>
      <c r="AB508" s="185" t="str">
        <f t="shared" si="657"/>
        <v/>
      </c>
      <c r="AC508" s="188"/>
      <c r="AD508" s="188"/>
      <c r="AE508" s="188"/>
      <c r="AF508" s="602" t="str">
        <f t="shared" si="677"/>
        <v/>
      </c>
      <c r="AG508" s="186" t="str">
        <f t="shared" si="652"/>
        <v/>
      </c>
      <c r="AH508" s="185" t="str">
        <f t="shared" si="653"/>
        <v/>
      </c>
      <c r="AI508" s="186" t="str">
        <f t="shared" si="654"/>
        <v/>
      </c>
      <c r="AJ508" s="185" t="str">
        <f t="shared" si="679"/>
        <v/>
      </c>
      <c r="AK508" s="187" t="str">
        <f t="shared" si="656"/>
        <v/>
      </c>
      <c r="AL508" s="603"/>
      <c r="AM508" s="189"/>
      <c r="AN508" s="194"/>
      <c r="AO508" s="190"/>
      <c r="AP508" s="190"/>
      <c r="AQ508" s="191"/>
      <c r="AR508" s="194"/>
    </row>
    <row r="509" spans="1:44" s="605" customFormat="1" ht="296.25" customHeight="1" x14ac:dyDescent="0.25">
      <c r="A509" s="252">
        <v>83</v>
      </c>
      <c r="B509" s="245" t="s">
        <v>1119</v>
      </c>
      <c r="C509" s="238" t="s">
        <v>281</v>
      </c>
      <c r="D509" s="268" t="s">
        <v>1093</v>
      </c>
      <c r="E509" s="253" t="s">
        <v>239</v>
      </c>
      <c r="F509" s="254" t="s">
        <v>1120</v>
      </c>
      <c r="G509" s="254" t="s">
        <v>1121</v>
      </c>
      <c r="H509" s="255" t="s">
        <v>1122</v>
      </c>
      <c r="I509" s="248" t="s">
        <v>688</v>
      </c>
      <c r="J509" s="248" t="s">
        <v>688</v>
      </c>
      <c r="K509" s="248" t="s">
        <v>688</v>
      </c>
      <c r="L509" s="248" t="s">
        <v>688</v>
      </c>
      <c r="M509" s="616" t="s">
        <v>247</v>
      </c>
      <c r="N509" s="238"/>
      <c r="O509" s="256">
        <v>365</v>
      </c>
      <c r="P509" s="610" t="str">
        <f t="shared" si="614"/>
        <v>Media</v>
      </c>
      <c r="Q509" s="611">
        <f t="shared" si="615"/>
        <v>0.6</v>
      </c>
      <c r="R509" s="611" t="s">
        <v>198</v>
      </c>
      <c r="S509" s="611" t="str">
        <f ca="1">IF(NOT(ISERROR(MATCH(R509,'Tabla Impacto'!$B$221:$B$223,0))),'Tabla Impacto'!$F$223&amp;"Por favor no seleccionar los criterios de impacto(Afectación Económica o presupuestal y Pérdida Reputacional)",R509)</f>
        <v xml:space="preserve">Mayor a 500 SMLMV </v>
      </c>
      <c r="T509" s="610" t="str">
        <f ca="1">+IF(OR(S509='[1]Tabla Impacto'!$C$11,S509='[1]Tabla Impacto'!$D$11),"Leve",IF(OR(S509='[1]Tabla Impacto'!$C$12,S509='[1]Tabla Impacto'!$D$12),"Menor",IF(OR(S509='[1]Tabla Impacto'!$C$13,S509='[1]Tabla Impacto'!$D$13),"Moderado",IF(OR(S509='[1]Tabla Impacto'!$C$14,S509='[1]Tabla Impacto'!$D$14),"Mayor",IF(OR(S509='[1]Tabla Impacto'!$C$15,S509='[1]Tabla Impacto'!$D$15),"Catastrófico","")))))</f>
        <v>Catastrófico</v>
      </c>
      <c r="U509" s="611">
        <f t="shared" ref="U509" ca="1" si="680">IF(T509="","",IF(T509="Leve",0.2,IF(T509="Menor",0.4,IF(T509="Moderado",0.6,IF(T509="Mayor",0.8,IF(T509="Catastrófico",1,))))))</f>
        <v>1</v>
      </c>
      <c r="V509" s="252" t="str">
        <f t="shared" ref="V509" ca="1" si="681">IF(OR(AND(P509="Muy Baja",T509="Leve"),AND(P509="Muy Baja",T509="Menor"),AND(P509="Baja",T509="Leve")),"Bajo",IF(OR(AND(P509="Muy baja",T509="Moderado"),AND(P509="Baja",T509="Menor"),AND(P509="Baja",T509="Moderado"),AND(P509="Media",T509="Leve"),AND(P509="Media",T509="Menor"),AND(P509="Media",T509="Moderado"),AND(P509="Alta",T509="Leve"),AND(P509="Alta",T509="Menor")),"Moderado",IF(OR(AND(P509="Muy Baja",T509="Mayor"),AND(P509="Baja",T509="Mayor"),AND(P509="Media",T509="Mayor"),AND(P509="Alta",T509="Moderado"),AND(P509="Alta",T509="Mayor"),AND(P509="Muy Alta",T509="Leve"),AND(P509="Muy Alta",T509="Menor"),AND(P509="Muy Alta",T509="Moderado"),AND(P509="Muy Alta",T509="Mayor")),"Alto",IF(OR(AND(P509="Muy Baja",T509="Catastrófico"),AND(P509="Baja",T509="Catastrófico"),AND(P509="Media",T509="Catastrófico"),AND(P509="Alta",T509="Catastrófico"),AND(P509="Muy Alta",T509="Catastrófico")),"Extremo",""))))</f>
        <v>Extremo</v>
      </c>
      <c r="W509" s="194">
        <v>1</v>
      </c>
      <c r="X509" s="192" t="s">
        <v>1123</v>
      </c>
      <c r="Y509" s="194" t="str">
        <f t="shared" si="650"/>
        <v>Probabilidad</v>
      </c>
      <c r="Z509" s="188" t="s">
        <v>211</v>
      </c>
      <c r="AA509" s="188" t="s">
        <v>219</v>
      </c>
      <c r="AB509" s="185" t="s">
        <v>490</v>
      </c>
      <c r="AC509" s="188" t="s">
        <v>222</v>
      </c>
      <c r="AD509" s="188" t="s">
        <v>227</v>
      </c>
      <c r="AE509" s="188" t="s">
        <v>231</v>
      </c>
      <c r="AF509" s="602">
        <f t="shared" ref="AF509" si="682">IFERROR(IF(Y509="Probabilidad",(Q509-(+Q509*AB509)),IF(Y509="Impacto",Q509,"")),"")</f>
        <v>0.36</v>
      </c>
      <c r="AG509" s="186" t="str">
        <f t="shared" si="652"/>
        <v>Baja</v>
      </c>
      <c r="AH509" s="185">
        <f t="shared" si="653"/>
        <v>0.36</v>
      </c>
      <c r="AI509" s="186" t="str">
        <f t="shared" ca="1" si="654"/>
        <v>Catastrófico</v>
      </c>
      <c r="AJ509" s="185">
        <f t="shared" ref="AJ509" ca="1" si="683">IFERROR(IF(Y509="Impacto",(U509-(+U509*AB509)),IF(Y509="Probabilidad",U509,"")),"")</f>
        <v>1</v>
      </c>
      <c r="AK509" s="187" t="str">
        <f t="shared" ca="1" si="656"/>
        <v>Extremo</v>
      </c>
      <c r="AL509" s="603" t="s">
        <v>265</v>
      </c>
      <c r="AM509" s="189"/>
      <c r="AN509" s="194"/>
      <c r="AO509" s="190"/>
      <c r="AP509" s="190"/>
      <c r="AQ509" s="191"/>
      <c r="AR509" s="194"/>
    </row>
    <row r="510" spans="1:44" s="605" customFormat="1" ht="69" hidden="1" customHeight="1" x14ac:dyDescent="0.25">
      <c r="A510" s="252"/>
      <c r="B510" s="246"/>
      <c r="C510" s="251"/>
      <c r="D510" s="264"/>
      <c r="E510" s="253"/>
      <c r="F510" s="254"/>
      <c r="G510" s="254"/>
      <c r="H510" s="255"/>
      <c r="I510" s="249"/>
      <c r="J510" s="249"/>
      <c r="K510" s="249"/>
      <c r="L510" s="249"/>
      <c r="M510" s="616"/>
      <c r="N510" s="251"/>
      <c r="O510" s="256"/>
      <c r="P510" s="610"/>
      <c r="Q510" s="611"/>
      <c r="R510" s="611"/>
      <c r="S510" s="611">
        <f ca="1">IF(NOT(ISERROR(MATCH(R510,_xlfn.ANCHORARRAY(H521),0))),Q523&amp;"Por favor no seleccionar los criterios de impacto",R510)</f>
        <v>0</v>
      </c>
      <c r="T510" s="610"/>
      <c r="U510" s="611"/>
      <c r="V510" s="252"/>
      <c r="W510" s="194">
        <v>2</v>
      </c>
      <c r="X510" s="192"/>
      <c r="Y510" s="194" t="str">
        <f t="shared" si="650"/>
        <v/>
      </c>
      <c r="Z510" s="188"/>
      <c r="AA510" s="188"/>
      <c r="AB510" s="185" t="str">
        <f t="shared" si="657"/>
        <v/>
      </c>
      <c r="AC510" s="188"/>
      <c r="AD510" s="188"/>
      <c r="AE510" s="188"/>
      <c r="AF510" s="602" t="str">
        <f t="shared" ref="AF510:AF514" si="684">IFERROR(IF(AND(Y509="Probabilidad",Y510="Probabilidad"),(AH509-(+AH509*AB510)),IF(Y510="Probabilidad",(Q509-(+Q509*AB510)),IF(Y510="Impacto",AH509,""))),"")</f>
        <v/>
      </c>
      <c r="AG510" s="186" t="str">
        <f t="shared" si="652"/>
        <v/>
      </c>
      <c r="AH510" s="185" t="str">
        <f t="shared" si="653"/>
        <v/>
      </c>
      <c r="AI510" s="186" t="str">
        <f t="shared" si="654"/>
        <v/>
      </c>
      <c r="AJ510" s="185" t="str">
        <f t="shared" ref="AJ510" si="685">IFERROR(IF(AND(Y509="Impacto",Y510="Impacto"),(AJ509-(+AJ509*AB510)),IF(Y510="Impacto",(U509-(+U509*AB510)),IF(Y510="Probabilidad",AJ509,""))),"")</f>
        <v/>
      </c>
      <c r="AK510" s="187" t="str">
        <f t="shared" si="656"/>
        <v/>
      </c>
      <c r="AL510" s="603"/>
      <c r="AM510" s="189"/>
      <c r="AN510" s="194"/>
      <c r="AO510" s="190"/>
      <c r="AP510" s="190"/>
      <c r="AQ510" s="191"/>
      <c r="AR510" s="194"/>
    </row>
    <row r="511" spans="1:44" s="605" customFormat="1" ht="69" hidden="1" customHeight="1" x14ac:dyDescent="0.25">
      <c r="A511" s="252"/>
      <c r="B511" s="246"/>
      <c r="C511" s="251"/>
      <c r="D511" s="264"/>
      <c r="E511" s="253"/>
      <c r="F511" s="254"/>
      <c r="G511" s="254"/>
      <c r="H511" s="255"/>
      <c r="I511" s="249"/>
      <c r="J511" s="249"/>
      <c r="K511" s="249"/>
      <c r="L511" s="249"/>
      <c r="M511" s="616"/>
      <c r="N511" s="251"/>
      <c r="O511" s="256"/>
      <c r="P511" s="610"/>
      <c r="Q511" s="611"/>
      <c r="R511" s="611"/>
      <c r="S511" s="611">
        <f ca="1">IF(NOT(ISERROR(MATCH(R511,_xlfn.ANCHORARRAY(H522),0))),Q524&amp;"Por favor no seleccionar los criterios de impacto",R511)</f>
        <v>0</v>
      </c>
      <c r="T511" s="610"/>
      <c r="U511" s="611"/>
      <c r="V511" s="252"/>
      <c r="W511" s="194">
        <v>3</v>
      </c>
      <c r="X511" s="192"/>
      <c r="Y511" s="194" t="str">
        <f t="shared" si="650"/>
        <v/>
      </c>
      <c r="Z511" s="188"/>
      <c r="AA511" s="188"/>
      <c r="AB511" s="185" t="str">
        <f t="shared" si="657"/>
        <v/>
      </c>
      <c r="AC511" s="188"/>
      <c r="AD511" s="188"/>
      <c r="AE511" s="188"/>
      <c r="AF511" s="602" t="str">
        <f t="shared" si="684"/>
        <v/>
      </c>
      <c r="AG511" s="186" t="str">
        <f t="shared" si="652"/>
        <v/>
      </c>
      <c r="AH511" s="185" t="str">
        <f t="shared" si="653"/>
        <v/>
      </c>
      <c r="AI511" s="186" t="str">
        <f t="shared" si="654"/>
        <v/>
      </c>
      <c r="AJ511" s="185" t="str">
        <f t="shared" ref="AJ511:AJ514" si="686">IFERROR(IF(AND(Y510="Impacto",Y511="Impacto"),(AJ510-(+AJ510*AB511)),IF(AND(Y510="Probabilidad",Y511="Impacto"),(AJ509-(+AJ509*AB511)),IF(Y511="Probabilidad",AJ510,""))),"")</f>
        <v/>
      </c>
      <c r="AK511" s="187" t="str">
        <f t="shared" si="656"/>
        <v/>
      </c>
      <c r="AL511" s="603"/>
      <c r="AM511" s="189"/>
      <c r="AN511" s="194"/>
      <c r="AO511" s="190"/>
      <c r="AP511" s="190"/>
      <c r="AQ511" s="191"/>
      <c r="AR511" s="194"/>
    </row>
    <row r="512" spans="1:44" s="605" customFormat="1" ht="69" hidden="1" customHeight="1" x14ac:dyDescent="0.25">
      <c r="A512" s="252"/>
      <c r="B512" s="246"/>
      <c r="C512" s="251"/>
      <c r="D512" s="264"/>
      <c r="E512" s="253"/>
      <c r="F512" s="254"/>
      <c r="G512" s="254"/>
      <c r="H512" s="255"/>
      <c r="I512" s="249"/>
      <c r="J512" s="249"/>
      <c r="K512" s="249"/>
      <c r="L512" s="249"/>
      <c r="M512" s="616"/>
      <c r="N512" s="251"/>
      <c r="O512" s="256"/>
      <c r="P512" s="610"/>
      <c r="Q512" s="611"/>
      <c r="R512" s="611"/>
      <c r="S512" s="611">
        <f ca="1">IF(NOT(ISERROR(MATCH(R512,_xlfn.ANCHORARRAY(H523),0))),Q525&amp;"Por favor no seleccionar los criterios de impacto",R512)</f>
        <v>0</v>
      </c>
      <c r="T512" s="610"/>
      <c r="U512" s="611"/>
      <c r="V512" s="252"/>
      <c r="W512" s="194">
        <v>4</v>
      </c>
      <c r="X512" s="192"/>
      <c r="Y512" s="194" t="str">
        <f t="shared" si="650"/>
        <v/>
      </c>
      <c r="Z512" s="188"/>
      <c r="AA512" s="188"/>
      <c r="AB512" s="185" t="str">
        <f t="shared" si="657"/>
        <v/>
      </c>
      <c r="AC512" s="188"/>
      <c r="AD512" s="188"/>
      <c r="AE512" s="188"/>
      <c r="AF512" s="602" t="str">
        <f t="shared" si="684"/>
        <v/>
      </c>
      <c r="AG512" s="186" t="str">
        <f t="shared" si="652"/>
        <v/>
      </c>
      <c r="AH512" s="185" t="str">
        <f t="shared" si="653"/>
        <v/>
      </c>
      <c r="AI512" s="186" t="str">
        <f t="shared" si="654"/>
        <v/>
      </c>
      <c r="AJ512" s="185" t="str">
        <f t="shared" si="686"/>
        <v/>
      </c>
      <c r="AK512" s="187" t="str">
        <f t="shared" si="656"/>
        <v/>
      </c>
      <c r="AL512" s="603"/>
      <c r="AM512" s="189"/>
      <c r="AN512" s="194"/>
      <c r="AO512" s="190"/>
      <c r="AP512" s="190"/>
      <c r="AQ512" s="191"/>
      <c r="AR512" s="194"/>
    </row>
    <row r="513" spans="1:44" s="605" customFormat="1" ht="69" hidden="1" customHeight="1" x14ac:dyDescent="0.25">
      <c r="A513" s="252"/>
      <c r="B513" s="246"/>
      <c r="C513" s="251"/>
      <c r="D513" s="264"/>
      <c r="E513" s="253"/>
      <c r="F513" s="254"/>
      <c r="G513" s="254"/>
      <c r="H513" s="255"/>
      <c r="I513" s="249"/>
      <c r="J513" s="249"/>
      <c r="K513" s="249"/>
      <c r="L513" s="249"/>
      <c r="M513" s="616"/>
      <c r="N513" s="251"/>
      <c r="O513" s="256"/>
      <c r="P513" s="610"/>
      <c r="Q513" s="611"/>
      <c r="R513" s="611"/>
      <c r="S513" s="611">
        <f ca="1">IF(NOT(ISERROR(MATCH(R513,_xlfn.ANCHORARRAY(H524),0))),Q526&amp;"Por favor no seleccionar los criterios de impacto",R513)</f>
        <v>0</v>
      </c>
      <c r="T513" s="610"/>
      <c r="U513" s="611"/>
      <c r="V513" s="252"/>
      <c r="W513" s="194">
        <v>5</v>
      </c>
      <c r="X513" s="192"/>
      <c r="Y513" s="194" t="str">
        <f t="shared" si="650"/>
        <v/>
      </c>
      <c r="Z513" s="188"/>
      <c r="AA513" s="188"/>
      <c r="AB513" s="185" t="str">
        <f t="shared" si="657"/>
        <v/>
      </c>
      <c r="AC513" s="188"/>
      <c r="AD513" s="188"/>
      <c r="AE513" s="188"/>
      <c r="AF513" s="602" t="str">
        <f t="shared" si="684"/>
        <v/>
      </c>
      <c r="AG513" s="186" t="str">
        <f t="shared" si="652"/>
        <v/>
      </c>
      <c r="AH513" s="185" t="str">
        <f t="shared" si="653"/>
        <v/>
      </c>
      <c r="AI513" s="186" t="str">
        <f t="shared" si="654"/>
        <v/>
      </c>
      <c r="AJ513" s="185" t="str">
        <f t="shared" si="686"/>
        <v/>
      </c>
      <c r="AK513" s="187" t="str">
        <f t="shared" si="656"/>
        <v/>
      </c>
      <c r="AL513" s="603"/>
      <c r="AM513" s="189"/>
      <c r="AN513" s="194"/>
      <c r="AO513" s="190"/>
      <c r="AP513" s="190"/>
      <c r="AQ513" s="191"/>
      <c r="AR513" s="194"/>
    </row>
    <row r="514" spans="1:44" s="605" customFormat="1" ht="69" hidden="1" customHeight="1" x14ac:dyDescent="0.25">
      <c r="A514" s="252"/>
      <c r="B514" s="247"/>
      <c r="C514" s="239"/>
      <c r="D514" s="265"/>
      <c r="E514" s="253"/>
      <c r="F514" s="254"/>
      <c r="G514" s="254"/>
      <c r="H514" s="255"/>
      <c r="I514" s="250"/>
      <c r="J514" s="250"/>
      <c r="K514" s="250"/>
      <c r="L514" s="250"/>
      <c r="M514" s="616"/>
      <c r="N514" s="239"/>
      <c r="O514" s="256"/>
      <c r="P514" s="610"/>
      <c r="Q514" s="611"/>
      <c r="R514" s="611"/>
      <c r="S514" s="611">
        <f ca="1">IF(NOT(ISERROR(MATCH(R514,_xlfn.ANCHORARRAY(H525),0))),Q527&amp;"Por favor no seleccionar los criterios de impacto",R514)</f>
        <v>0</v>
      </c>
      <c r="T514" s="610"/>
      <c r="U514" s="611"/>
      <c r="V514" s="252"/>
      <c r="W514" s="194">
        <v>6</v>
      </c>
      <c r="X514" s="192"/>
      <c r="Y514" s="194" t="str">
        <f t="shared" si="650"/>
        <v/>
      </c>
      <c r="Z514" s="188"/>
      <c r="AA514" s="188"/>
      <c r="AB514" s="185" t="str">
        <f t="shared" si="657"/>
        <v/>
      </c>
      <c r="AC514" s="188"/>
      <c r="AD514" s="188"/>
      <c r="AE514" s="188"/>
      <c r="AF514" s="602" t="str">
        <f t="shared" si="684"/>
        <v/>
      </c>
      <c r="AG514" s="186" t="str">
        <f t="shared" si="652"/>
        <v/>
      </c>
      <c r="AH514" s="185" t="str">
        <f t="shared" si="653"/>
        <v/>
      </c>
      <c r="AI514" s="186" t="str">
        <f t="shared" si="654"/>
        <v/>
      </c>
      <c r="AJ514" s="185" t="str">
        <f t="shared" si="686"/>
        <v/>
      </c>
      <c r="AK514" s="187" t="str">
        <f t="shared" si="656"/>
        <v/>
      </c>
      <c r="AL514" s="603"/>
      <c r="AM514" s="189"/>
      <c r="AN514" s="194"/>
      <c r="AO514" s="190"/>
      <c r="AP514" s="190"/>
      <c r="AQ514" s="191"/>
      <c r="AR514" s="194"/>
    </row>
    <row r="515" spans="1:44" s="605" customFormat="1" ht="145.5" customHeight="1" x14ac:dyDescent="0.25">
      <c r="A515" s="252">
        <v>84</v>
      </c>
      <c r="B515" s="245" t="s">
        <v>1124</v>
      </c>
      <c r="C515" s="238" t="s">
        <v>281</v>
      </c>
      <c r="D515" s="268" t="s">
        <v>1087</v>
      </c>
      <c r="E515" s="253" t="s">
        <v>239</v>
      </c>
      <c r="F515" s="254" t="s">
        <v>1125</v>
      </c>
      <c r="G515" s="254" t="s">
        <v>1126</v>
      </c>
      <c r="H515" s="255" t="s">
        <v>1127</v>
      </c>
      <c r="I515" s="248" t="s">
        <v>480</v>
      </c>
      <c r="J515" s="248" t="s">
        <v>480</v>
      </c>
      <c r="K515" s="248" t="s">
        <v>480</v>
      </c>
      <c r="L515" s="248" t="s">
        <v>480</v>
      </c>
      <c r="M515" s="253" t="s">
        <v>470</v>
      </c>
      <c r="N515" s="238"/>
      <c r="O515" s="256">
        <v>365</v>
      </c>
      <c r="P515" s="610" t="str">
        <f t="shared" si="614"/>
        <v>Media</v>
      </c>
      <c r="Q515" s="611">
        <f t="shared" si="615"/>
        <v>0.6</v>
      </c>
      <c r="R515" s="611" t="s">
        <v>198</v>
      </c>
      <c r="S515" s="611" t="str">
        <f ca="1">IF(NOT(ISERROR(MATCH(R515,'Tabla Impacto'!$B$221:$B$223,0))),'Tabla Impacto'!$F$223&amp;"Por favor no seleccionar los criterios de impacto(Afectación Económica o presupuestal y Pérdida Reputacional)",R515)</f>
        <v xml:space="preserve">Mayor a 500 SMLMV </v>
      </c>
      <c r="T515" s="610" t="str">
        <f ca="1">+IF(OR(S515='[1]Tabla Impacto'!$C$11,S515='[1]Tabla Impacto'!$D$11),"Leve",IF(OR(S515='[1]Tabla Impacto'!$C$12,S515='[1]Tabla Impacto'!$D$12),"Menor",IF(OR(S515='[1]Tabla Impacto'!$C$13,S515='[1]Tabla Impacto'!$D$13),"Moderado",IF(OR(S515='[1]Tabla Impacto'!$C$14,S515='[1]Tabla Impacto'!$D$14),"Mayor",IF(OR(S515='[1]Tabla Impacto'!$C$15,S515='[1]Tabla Impacto'!$D$15),"Catastrófico","")))))</f>
        <v>Catastrófico</v>
      </c>
      <c r="U515" s="611">
        <f t="shared" ref="U515" ca="1" si="687">IF(T515="","",IF(T515="Leve",0.2,IF(T515="Menor",0.4,IF(T515="Moderado",0.6,IF(T515="Mayor",0.8,IF(T515="Catastrófico",1,))))))</f>
        <v>1</v>
      </c>
      <c r="V515" s="252" t="str">
        <f t="shared" ref="V515" ca="1" si="688">IF(OR(AND(P515="Muy Baja",T515="Leve"),AND(P515="Muy Baja",T515="Menor"),AND(P515="Baja",T515="Leve")),"Bajo",IF(OR(AND(P515="Muy baja",T515="Moderado"),AND(P515="Baja",T515="Menor"),AND(P515="Baja",T515="Moderado"),AND(P515="Media",T515="Leve"),AND(P515="Media",T515="Menor"),AND(P515="Media",T515="Moderado"),AND(P515="Alta",T515="Leve"),AND(P515="Alta",T515="Menor")),"Moderado",IF(OR(AND(P515="Muy Baja",T515="Mayor"),AND(P515="Baja",T515="Mayor"),AND(P515="Media",T515="Mayor"),AND(P515="Alta",T515="Moderado"),AND(P515="Alta",T515="Mayor"),AND(P515="Muy Alta",T515="Leve"),AND(P515="Muy Alta",T515="Menor"),AND(P515="Muy Alta",T515="Moderado"),AND(P515="Muy Alta",T515="Mayor")),"Alto",IF(OR(AND(P515="Muy Baja",T515="Catastrófico"),AND(P515="Baja",T515="Catastrófico"),AND(P515="Media",T515="Catastrófico"),AND(P515="Alta",T515="Catastrófico"),AND(P515="Muy Alta",T515="Catastrófico")),"Extremo",""))))</f>
        <v>Extremo</v>
      </c>
      <c r="W515" s="194">
        <v>1</v>
      </c>
      <c r="X515" s="192" t="s">
        <v>1128</v>
      </c>
      <c r="Y515" s="194" t="str">
        <f t="shared" si="650"/>
        <v>Probabilidad</v>
      </c>
      <c r="Z515" s="188" t="s">
        <v>211</v>
      </c>
      <c r="AA515" s="188" t="s">
        <v>219</v>
      </c>
      <c r="AB515" s="185" t="str">
        <f>IF(AND(Z515="Preventivo",AA515="Automático"),"50%",IF(AND(Z515="Preventivo",AA515="Manual"),"40%",IF(AND(Z515="Detectivo",AA515="Automático"),"40%",IF(AND(Z515="Detectivo",AA515="Manual"),"30%",IF(AND(Z515="Correctivo",AA515="Automático"),"35%",IF(AND(Z515="Correctivo",AA515="Manual"),"25%",""))))))</f>
        <v>40%</v>
      </c>
      <c r="AC515" s="188" t="s">
        <v>222</v>
      </c>
      <c r="AD515" s="188" t="s">
        <v>227</v>
      </c>
      <c r="AE515" s="188" t="s">
        <v>231</v>
      </c>
      <c r="AF515" s="602">
        <f t="shared" ref="AF515" si="689">IFERROR(IF(Y515="Probabilidad",(Q515-(+Q515*AB515)),IF(Y515="Impacto",Q515,"")),"")</f>
        <v>0.36</v>
      </c>
      <c r="AG515" s="186" t="str">
        <f t="shared" si="652"/>
        <v>Baja</v>
      </c>
      <c r="AH515" s="185">
        <f t="shared" si="653"/>
        <v>0.36</v>
      </c>
      <c r="AI515" s="186" t="str">
        <f t="shared" ca="1" si="654"/>
        <v>Catastrófico</v>
      </c>
      <c r="AJ515" s="185">
        <f t="shared" ref="AJ515" ca="1" si="690">IFERROR(IF(Y515="Impacto",(U515-(+U515*AB515)),IF(Y515="Probabilidad",U515,"")),"")</f>
        <v>1</v>
      </c>
      <c r="AK515" s="187" t="str">
        <f t="shared" ca="1" si="656"/>
        <v>Extremo</v>
      </c>
      <c r="AL515" s="603" t="s">
        <v>265</v>
      </c>
      <c r="AM515" s="236" t="s">
        <v>1130</v>
      </c>
      <c r="AN515" s="245" t="s">
        <v>1131</v>
      </c>
      <c r="AO515" s="638">
        <v>45352</v>
      </c>
      <c r="AP515" s="240" t="s">
        <v>576</v>
      </c>
      <c r="AQ515" s="238" t="s">
        <v>1132</v>
      </c>
      <c r="AR515" s="245" t="s">
        <v>262</v>
      </c>
    </row>
    <row r="516" spans="1:44" s="605" customFormat="1" ht="139.5" customHeight="1" x14ac:dyDescent="0.25">
      <c r="A516" s="252"/>
      <c r="B516" s="246"/>
      <c r="C516" s="251"/>
      <c r="D516" s="264"/>
      <c r="E516" s="253"/>
      <c r="F516" s="254"/>
      <c r="G516" s="254"/>
      <c r="H516" s="255"/>
      <c r="I516" s="249"/>
      <c r="J516" s="249"/>
      <c r="K516" s="249"/>
      <c r="L516" s="249"/>
      <c r="M516" s="253"/>
      <c r="N516" s="251"/>
      <c r="O516" s="256"/>
      <c r="P516" s="610"/>
      <c r="Q516" s="611"/>
      <c r="R516" s="611"/>
      <c r="S516" s="611">
        <f ca="1">IF(NOT(ISERROR(MATCH(R516,_xlfn.ANCHORARRAY(H527),0))),Q529&amp;"Por favor no seleccionar los criterios de impacto",R516)</f>
        <v>0</v>
      </c>
      <c r="T516" s="610"/>
      <c r="U516" s="611"/>
      <c r="V516" s="252"/>
      <c r="W516" s="194">
        <v>2</v>
      </c>
      <c r="X516" s="192" t="s">
        <v>1129</v>
      </c>
      <c r="Y516" s="194" t="str">
        <f t="shared" si="650"/>
        <v>Probabilidad</v>
      </c>
      <c r="Z516" s="188" t="s">
        <v>211</v>
      </c>
      <c r="AA516" s="188" t="s">
        <v>219</v>
      </c>
      <c r="AB516" s="185" t="str">
        <f>IF(AND(Z516="Preventivo",AA516="Automático"),"50%",IF(AND(Z516="Preventivo",AA516="Manual"),"40%",IF(AND(Z516="Detectivo",AA516="Automático"),"40%",IF(AND(Z516="Detectivo",AA516="Manual"),"30%",IF(AND(Z516="Correctivo",AA516="Automático"),"35%",IF(AND(Z516="Correctivo",AA516="Manual"),"25%",""))))))</f>
        <v>40%</v>
      </c>
      <c r="AC516" s="188" t="s">
        <v>222</v>
      </c>
      <c r="AD516" s="188" t="s">
        <v>227</v>
      </c>
      <c r="AE516" s="188" t="s">
        <v>231</v>
      </c>
      <c r="AF516" s="602">
        <f t="shared" ref="AF516:AF520" si="691">IFERROR(IF(AND(Y515="Probabilidad",Y516="Probabilidad"),(AH515-(+AH515*AB516)),IF(Y516="Probabilidad",(Q515-(+Q515*AB516)),IF(Y516="Impacto",AH515,""))),"")</f>
        <v>0.216</v>
      </c>
      <c r="AG516" s="186" t="str">
        <f t="shared" si="652"/>
        <v>Baja</v>
      </c>
      <c r="AH516" s="185">
        <f t="shared" si="653"/>
        <v>0.216</v>
      </c>
      <c r="AI516" s="186" t="str">
        <f t="shared" ca="1" si="654"/>
        <v>Catastrófico</v>
      </c>
      <c r="AJ516" s="185">
        <f t="shared" ref="AJ516" ca="1" si="692">IFERROR(IF(AND(Y515="Impacto",Y516="Impacto"),(AJ515-(+AJ515*AB516)),IF(Y516="Impacto",(U515-(+U515*AB516)),IF(Y516="Probabilidad",AJ515,""))),"")</f>
        <v>1</v>
      </c>
      <c r="AK516" s="187" t="str">
        <f t="shared" ca="1" si="656"/>
        <v>Extremo</v>
      </c>
      <c r="AL516" s="603" t="s">
        <v>265</v>
      </c>
      <c r="AM516" s="237"/>
      <c r="AN516" s="247"/>
      <c r="AO516" s="639"/>
      <c r="AP516" s="241"/>
      <c r="AQ516" s="239"/>
      <c r="AR516" s="247"/>
    </row>
    <row r="517" spans="1:44" s="605" customFormat="1" ht="69" hidden="1" customHeight="1" x14ac:dyDescent="0.25">
      <c r="A517" s="252"/>
      <c r="B517" s="246"/>
      <c r="C517" s="251"/>
      <c r="D517" s="264"/>
      <c r="E517" s="253"/>
      <c r="F517" s="254"/>
      <c r="G517" s="254"/>
      <c r="H517" s="255"/>
      <c r="I517" s="249"/>
      <c r="J517" s="249"/>
      <c r="K517" s="249"/>
      <c r="L517" s="249"/>
      <c r="M517" s="253"/>
      <c r="N517" s="251"/>
      <c r="O517" s="256"/>
      <c r="P517" s="610"/>
      <c r="Q517" s="611"/>
      <c r="R517" s="611"/>
      <c r="S517" s="611">
        <f ca="1">IF(NOT(ISERROR(MATCH(R517,_xlfn.ANCHORARRAY(H528),0))),Q530&amp;"Por favor no seleccionar los criterios de impacto",R517)</f>
        <v>0</v>
      </c>
      <c r="T517" s="610"/>
      <c r="U517" s="611"/>
      <c r="V517" s="252"/>
      <c r="W517" s="194">
        <v>3</v>
      </c>
      <c r="X517" s="192"/>
      <c r="Y517" s="194" t="str">
        <f t="shared" si="650"/>
        <v/>
      </c>
      <c r="Z517" s="188"/>
      <c r="AA517" s="188"/>
      <c r="AB517" s="185" t="str">
        <f t="shared" si="657"/>
        <v/>
      </c>
      <c r="AC517" s="188"/>
      <c r="AD517" s="188"/>
      <c r="AE517" s="188"/>
      <c r="AF517" s="602" t="str">
        <f t="shared" si="691"/>
        <v/>
      </c>
      <c r="AG517" s="186" t="str">
        <f t="shared" si="652"/>
        <v/>
      </c>
      <c r="AH517" s="185" t="str">
        <f t="shared" si="653"/>
        <v/>
      </c>
      <c r="AI517" s="186" t="str">
        <f t="shared" si="654"/>
        <v/>
      </c>
      <c r="AJ517" s="185" t="str">
        <f t="shared" ref="AJ517:AJ520" si="693">IFERROR(IF(AND(Y516="Impacto",Y517="Impacto"),(AJ516-(+AJ516*AB517)),IF(AND(Y516="Probabilidad",Y517="Impacto"),(AJ515-(+AJ515*AB517)),IF(Y517="Probabilidad",AJ516,""))),"")</f>
        <v/>
      </c>
      <c r="AK517" s="187" t="str">
        <f t="shared" si="656"/>
        <v/>
      </c>
      <c r="AL517" s="603"/>
      <c r="AM517" s="189"/>
      <c r="AN517" s="194"/>
      <c r="AO517" s="190"/>
      <c r="AP517" s="190"/>
      <c r="AQ517" s="191"/>
      <c r="AR517" s="194"/>
    </row>
    <row r="518" spans="1:44" s="605" customFormat="1" ht="69" hidden="1" customHeight="1" x14ac:dyDescent="0.25">
      <c r="A518" s="252"/>
      <c r="B518" s="246"/>
      <c r="C518" s="251"/>
      <c r="D518" s="264"/>
      <c r="E518" s="253"/>
      <c r="F518" s="254"/>
      <c r="G518" s="254"/>
      <c r="H518" s="255"/>
      <c r="I518" s="249"/>
      <c r="J518" s="249"/>
      <c r="K518" s="249"/>
      <c r="L518" s="249"/>
      <c r="M518" s="253"/>
      <c r="N518" s="251"/>
      <c r="O518" s="256"/>
      <c r="P518" s="610"/>
      <c r="Q518" s="611"/>
      <c r="R518" s="611"/>
      <c r="S518" s="611">
        <f ca="1">IF(NOT(ISERROR(MATCH(R518,_xlfn.ANCHORARRAY(H529),0))),Q531&amp;"Por favor no seleccionar los criterios de impacto",R518)</f>
        <v>0</v>
      </c>
      <c r="T518" s="610"/>
      <c r="U518" s="611"/>
      <c r="V518" s="252"/>
      <c r="W518" s="194">
        <v>4</v>
      </c>
      <c r="X518" s="192"/>
      <c r="Y518" s="194" t="str">
        <f t="shared" si="650"/>
        <v/>
      </c>
      <c r="Z518" s="188"/>
      <c r="AA518" s="188"/>
      <c r="AB518" s="185" t="str">
        <f t="shared" si="657"/>
        <v/>
      </c>
      <c r="AC518" s="188"/>
      <c r="AD518" s="188"/>
      <c r="AE518" s="188"/>
      <c r="AF518" s="602" t="str">
        <f t="shared" si="691"/>
        <v/>
      </c>
      <c r="AG518" s="186" t="str">
        <f t="shared" si="652"/>
        <v/>
      </c>
      <c r="AH518" s="185" t="str">
        <f t="shared" si="653"/>
        <v/>
      </c>
      <c r="AI518" s="186" t="str">
        <f t="shared" si="654"/>
        <v/>
      </c>
      <c r="AJ518" s="185" t="str">
        <f t="shared" si="693"/>
        <v/>
      </c>
      <c r="AK518" s="187" t="str">
        <f t="shared" si="656"/>
        <v/>
      </c>
      <c r="AL518" s="603"/>
      <c r="AM518" s="189"/>
      <c r="AN518" s="194"/>
      <c r="AO518" s="190"/>
      <c r="AP518" s="190"/>
      <c r="AQ518" s="191"/>
      <c r="AR518" s="194"/>
    </row>
    <row r="519" spans="1:44" s="605" customFormat="1" ht="69" hidden="1" customHeight="1" x14ac:dyDescent="0.25">
      <c r="A519" s="252"/>
      <c r="B519" s="246"/>
      <c r="C519" s="251"/>
      <c r="D519" s="264"/>
      <c r="E519" s="253"/>
      <c r="F519" s="254"/>
      <c r="G519" s="254"/>
      <c r="H519" s="255"/>
      <c r="I519" s="249"/>
      <c r="J519" s="249"/>
      <c r="K519" s="249"/>
      <c r="L519" s="249"/>
      <c r="M519" s="253"/>
      <c r="N519" s="251"/>
      <c r="O519" s="256"/>
      <c r="P519" s="610"/>
      <c r="Q519" s="611"/>
      <c r="R519" s="611"/>
      <c r="S519" s="611">
        <f ca="1">IF(NOT(ISERROR(MATCH(R519,_xlfn.ANCHORARRAY(H530),0))),Q532&amp;"Por favor no seleccionar los criterios de impacto",R519)</f>
        <v>0</v>
      </c>
      <c r="T519" s="610"/>
      <c r="U519" s="611"/>
      <c r="V519" s="252"/>
      <c r="W519" s="194">
        <v>5</v>
      </c>
      <c r="X519" s="192"/>
      <c r="Y519" s="194" t="str">
        <f t="shared" si="650"/>
        <v/>
      </c>
      <c r="Z519" s="188"/>
      <c r="AA519" s="188"/>
      <c r="AB519" s="185" t="str">
        <f t="shared" si="657"/>
        <v/>
      </c>
      <c r="AC519" s="188"/>
      <c r="AD519" s="188"/>
      <c r="AE519" s="188"/>
      <c r="AF519" s="602" t="str">
        <f t="shared" si="691"/>
        <v/>
      </c>
      <c r="AG519" s="186" t="str">
        <f t="shared" si="652"/>
        <v/>
      </c>
      <c r="AH519" s="185" t="str">
        <f t="shared" si="653"/>
        <v/>
      </c>
      <c r="AI519" s="186" t="str">
        <f t="shared" si="654"/>
        <v/>
      </c>
      <c r="AJ519" s="185" t="str">
        <f t="shared" si="693"/>
        <v/>
      </c>
      <c r="AK519" s="187" t="str">
        <f t="shared" si="656"/>
        <v/>
      </c>
      <c r="AL519" s="603"/>
      <c r="AM519" s="189"/>
      <c r="AN519" s="194"/>
      <c r="AO519" s="190"/>
      <c r="AP519" s="190"/>
      <c r="AQ519" s="191"/>
      <c r="AR519" s="194"/>
    </row>
    <row r="520" spans="1:44" s="605" customFormat="1" ht="69" hidden="1" customHeight="1" x14ac:dyDescent="0.25">
      <c r="A520" s="252"/>
      <c r="B520" s="247"/>
      <c r="C520" s="239"/>
      <c r="D520" s="265"/>
      <c r="E520" s="253"/>
      <c r="F520" s="254"/>
      <c r="G520" s="254"/>
      <c r="H520" s="255"/>
      <c r="I520" s="250"/>
      <c r="J520" s="250"/>
      <c r="K520" s="250"/>
      <c r="L520" s="250"/>
      <c r="M520" s="253"/>
      <c r="N520" s="239"/>
      <c r="O520" s="256"/>
      <c r="P520" s="610"/>
      <c r="Q520" s="611"/>
      <c r="R520" s="611"/>
      <c r="S520" s="611">
        <f ca="1">IF(NOT(ISERROR(MATCH(R520,_xlfn.ANCHORARRAY(H531),0))),Q533&amp;"Por favor no seleccionar los criterios de impacto",R520)</f>
        <v>0</v>
      </c>
      <c r="T520" s="610"/>
      <c r="U520" s="611"/>
      <c r="V520" s="252"/>
      <c r="W520" s="194">
        <v>6</v>
      </c>
      <c r="X520" s="192"/>
      <c r="Y520" s="194" t="str">
        <f t="shared" si="650"/>
        <v/>
      </c>
      <c r="Z520" s="188"/>
      <c r="AA520" s="188"/>
      <c r="AB520" s="185" t="str">
        <f t="shared" si="657"/>
        <v/>
      </c>
      <c r="AC520" s="188"/>
      <c r="AD520" s="188"/>
      <c r="AE520" s="188"/>
      <c r="AF520" s="602" t="str">
        <f t="shared" si="691"/>
        <v/>
      </c>
      <c r="AG520" s="186" t="str">
        <f t="shared" si="652"/>
        <v/>
      </c>
      <c r="AH520" s="185" t="str">
        <f t="shared" si="653"/>
        <v/>
      </c>
      <c r="AI520" s="186" t="str">
        <f t="shared" si="654"/>
        <v/>
      </c>
      <c r="AJ520" s="185" t="str">
        <f t="shared" si="693"/>
        <v/>
      </c>
      <c r="AK520" s="187" t="str">
        <f t="shared" si="656"/>
        <v/>
      </c>
      <c r="AL520" s="603"/>
      <c r="AM520" s="189"/>
      <c r="AN520" s="194"/>
      <c r="AO520" s="190"/>
      <c r="AP520" s="190"/>
      <c r="AQ520" s="191"/>
      <c r="AR520" s="194"/>
    </row>
    <row r="521" spans="1:44" s="605" customFormat="1" ht="143.25" customHeight="1" x14ac:dyDescent="0.25">
      <c r="A521" s="252">
        <v>85</v>
      </c>
      <c r="B521" s="245" t="s">
        <v>1133</v>
      </c>
      <c r="C521" s="238" t="s">
        <v>282</v>
      </c>
      <c r="D521" s="238" t="s">
        <v>1134</v>
      </c>
      <c r="E521" s="253" t="s">
        <v>241</v>
      </c>
      <c r="F521" s="254" t="s">
        <v>1135</v>
      </c>
      <c r="G521" s="254" t="s">
        <v>1136</v>
      </c>
      <c r="H521" s="255" t="s">
        <v>1137</v>
      </c>
      <c r="I521" s="248" t="s">
        <v>480</v>
      </c>
      <c r="J521" s="248" t="s">
        <v>480</v>
      </c>
      <c r="K521" s="248" t="s">
        <v>480</v>
      </c>
      <c r="L521" s="248" t="s">
        <v>480</v>
      </c>
      <c r="M521" s="253" t="s">
        <v>242</v>
      </c>
      <c r="N521" s="238"/>
      <c r="O521" s="256">
        <v>365</v>
      </c>
      <c r="P521" s="610" t="str">
        <f t="shared" ref="P521:P551" si="694">IF(O521&lt;=0,"",IF(O521&lt;=2,"Muy Baja",IF(O521&lt;=24,"Baja",IF(O521&lt;=500,"Media",IF(O521&lt;=5000,"Alta","Muy Alta")))))</f>
        <v>Media</v>
      </c>
      <c r="Q521" s="611">
        <f t="shared" ref="Q521:Q551" si="695">IF(P521="","",IF(P521="Muy Baja",0.2,IF(P521="Baja",0.4,IF(P521="Media",0.6,IF(P521="Alta",0.8,IF(P521="Muy Alta",1,))))))</f>
        <v>0.6</v>
      </c>
      <c r="R521" s="611" t="s">
        <v>193</v>
      </c>
      <c r="S521" s="611" t="str">
        <f ca="1">IF(NOT(ISERROR(MATCH(R521,'Tabla Impacto'!$B$221:$B$223,0))),'Tabla Impacto'!$F$223&amp;"Por favor no seleccionar los criterios de impacto(Afectación Económica o presupuestal y Pérdida Reputacional)",R521)</f>
        <v>El riesgo afecta la imagen de la entidad con algunos usuarios de relevancia frente al logro de los objetivos</v>
      </c>
      <c r="T521" s="610" t="str">
        <f ca="1">+IF(OR(S521='[1]Tabla Impacto'!$C$11,S521='[1]Tabla Impacto'!$D$11),"Leve",IF(OR(S521='[1]Tabla Impacto'!$C$12,S521='[1]Tabla Impacto'!$D$12),"Menor",IF(OR(S521='[1]Tabla Impacto'!$C$13,S521='[1]Tabla Impacto'!$D$13),"Moderado",IF(OR(S521='[1]Tabla Impacto'!$C$14,S521='[1]Tabla Impacto'!$D$14),"Mayor",IF(OR(S521='[1]Tabla Impacto'!$C$15,S521='[1]Tabla Impacto'!$D$15),"Catastrófico","")))))</f>
        <v>Moderado</v>
      </c>
      <c r="U521" s="611">
        <f t="shared" ref="U521" ca="1" si="696">IF(T521="","",IF(T521="Leve",0.2,IF(T521="Menor",0.4,IF(T521="Moderado",0.6,IF(T521="Mayor",0.8,IF(T521="Catastrófico",1,))))))</f>
        <v>0.6</v>
      </c>
      <c r="V521" s="252" t="str">
        <f t="shared" ref="V521" ca="1" si="697">IF(OR(AND(P521="Muy Baja",T521="Leve"),AND(P521="Muy Baja",T521="Menor"),AND(P521="Baja",T521="Leve")),"Bajo",IF(OR(AND(P521="Muy baja",T521="Moderado"),AND(P521="Baja",T521="Menor"),AND(P521="Baja",T521="Moderado"),AND(P521="Media",T521="Leve"),AND(P521="Media",T521="Menor"),AND(P521="Media",T521="Moderado"),AND(P521="Alta",T521="Leve"),AND(P521="Alta",T521="Menor")),"Moderado",IF(OR(AND(P521="Muy Baja",T521="Mayor"),AND(P521="Baja",T521="Mayor"),AND(P521="Media",T521="Mayor"),AND(P521="Alta",T521="Moderado"),AND(P521="Alta",T521="Mayor"),AND(P521="Muy Alta",T521="Leve"),AND(P521="Muy Alta",T521="Menor"),AND(P521="Muy Alta",T521="Moderado"),AND(P521="Muy Alta",T521="Mayor")),"Alto",IF(OR(AND(P521="Muy Baja",T521="Catastrófico"),AND(P521="Baja",T521="Catastrófico"),AND(P521="Media",T521="Catastrófico"),AND(P521="Alta",T521="Catastrófico"),AND(P521="Muy Alta",T521="Catastrófico")),"Extremo",""))))</f>
        <v>Moderado</v>
      </c>
      <c r="W521" s="194">
        <v>1</v>
      </c>
      <c r="X521" s="192" t="s">
        <v>1138</v>
      </c>
      <c r="Y521" s="194" t="str">
        <f t="shared" si="650"/>
        <v>Probabilidad</v>
      </c>
      <c r="Z521" s="188" t="s">
        <v>211</v>
      </c>
      <c r="AA521" s="188" t="s">
        <v>219</v>
      </c>
      <c r="AB521" s="185" t="str">
        <f>IF(AND(Z521="Preventivo",AA521="Automático"),"50%",IF(AND(Z521="Preventivo",AA521="Manual"),"40%",IF(AND(Z521="Detectivo",AA521="Automático"),"40%",IF(AND(Z521="Detectivo",AA521="Manual"),"30%",IF(AND(Z521="Correctivo",AA521="Automático"),"35%",IF(AND(Z521="Correctivo",AA521="Manual"),"25%",""))))))</f>
        <v>40%</v>
      </c>
      <c r="AC521" s="188" t="s">
        <v>222</v>
      </c>
      <c r="AD521" s="188" t="s">
        <v>227</v>
      </c>
      <c r="AE521" s="188" t="s">
        <v>231</v>
      </c>
      <c r="AF521" s="602">
        <f t="shared" ref="AF521" si="698">IFERROR(IF(Y521="Probabilidad",(Q521-(+Q521*AB521)),IF(Y521="Impacto",Q521,"")),"")</f>
        <v>0.36</v>
      </c>
      <c r="AG521" s="186" t="str">
        <f t="shared" si="652"/>
        <v>Baja</v>
      </c>
      <c r="AH521" s="185">
        <f t="shared" si="653"/>
        <v>0.36</v>
      </c>
      <c r="AI521" s="186" t="str">
        <f t="shared" ca="1" si="654"/>
        <v>Moderado</v>
      </c>
      <c r="AJ521" s="185">
        <f t="shared" ref="AJ521" ca="1" si="699">IFERROR(IF(Y521="Impacto",(U521-(+U521*AB521)),IF(Y521="Probabilidad",U521,"")),"")</f>
        <v>0.6</v>
      </c>
      <c r="AK521" s="187" t="str">
        <f t="shared" ca="1" si="656"/>
        <v>Moderado</v>
      </c>
      <c r="AL521" s="603" t="s">
        <v>258</v>
      </c>
      <c r="AM521" s="189"/>
      <c r="AN521" s="194"/>
      <c r="AO521" s="190"/>
      <c r="AP521" s="190"/>
      <c r="AQ521" s="191"/>
      <c r="AR521" s="194"/>
    </row>
    <row r="522" spans="1:44" s="605" customFormat="1" ht="202.5" customHeight="1" x14ac:dyDescent="0.25">
      <c r="A522" s="252"/>
      <c r="B522" s="246"/>
      <c r="C522" s="251"/>
      <c r="D522" s="251"/>
      <c r="E522" s="253"/>
      <c r="F522" s="254"/>
      <c r="G522" s="254"/>
      <c r="H522" s="255"/>
      <c r="I522" s="249"/>
      <c r="J522" s="249"/>
      <c r="K522" s="249"/>
      <c r="L522" s="249"/>
      <c r="M522" s="253"/>
      <c r="N522" s="251"/>
      <c r="O522" s="256"/>
      <c r="P522" s="610"/>
      <c r="Q522" s="611"/>
      <c r="R522" s="611"/>
      <c r="S522" s="611">
        <f ca="1">IF(NOT(ISERROR(MATCH(R522,_xlfn.ANCHORARRAY(H533),0))),Q535&amp;"Por favor no seleccionar los criterios de impacto",R522)</f>
        <v>0</v>
      </c>
      <c r="T522" s="610"/>
      <c r="U522" s="611"/>
      <c r="V522" s="252"/>
      <c r="W522" s="194">
        <v>2</v>
      </c>
      <c r="X522" s="192" t="s">
        <v>1139</v>
      </c>
      <c r="Y522" s="194" t="str">
        <f t="shared" si="650"/>
        <v>Probabilidad</v>
      </c>
      <c r="Z522" s="188" t="s">
        <v>211</v>
      </c>
      <c r="AA522" s="188" t="s">
        <v>219</v>
      </c>
      <c r="AB522" s="185" t="str">
        <f>IF(AND(Z522="Preventivo",AA522="Automático"),"50%",IF(AND(Z522="Preventivo",AA522="Manual"),"40%",IF(AND(Z522="Detectivo",AA522="Automático"),"40%",IF(AND(Z522="Detectivo",AA522="Manual"),"30%",IF(AND(Z522="Correctivo",AA522="Automático"),"35%",IF(AND(Z522="Correctivo",AA522="Manual"),"25%",""))))))</f>
        <v>40%</v>
      </c>
      <c r="AC522" s="188" t="s">
        <v>222</v>
      </c>
      <c r="AD522" s="188" t="s">
        <v>227</v>
      </c>
      <c r="AE522" s="188" t="s">
        <v>231</v>
      </c>
      <c r="AF522" s="602">
        <f t="shared" ref="AF522:AF526" si="700">IFERROR(IF(AND(Y521="Probabilidad",Y522="Probabilidad"),(AH521-(+AH521*AB522)),IF(Y522="Probabilidad",(Q521-(+Q521*AB522)),IF(Y522="Impacto",AH521,""))),"")</f>
        <v>0.216</v>
      </c>
      <c r="AG522" s="186" t="str">
        <f t="shared" si="652"/>
        <v>Baja</v>
      </c>
      <c r="AH522" s="185">
        <f t="shared" si="653"/>
        <v>0.216</v>
      </c>
      <c r="AI522" s="186" t="str">
        <f t="shared" ca="1" si="654"/>
        <v>Moderado</v>
      </c>
      <c r="AJ522" s="185">
        <f t="shared" ref="AJ522" ca="1" si="701">IFERROR(IF(AND(Y521="Impacto",Y522="Impacto"),(AJ521-(+AJ521*AB522)),IF(Y522="Impacto",(U521-(+U521*AB522)),IF(Y522="Probabilidad",AJ521,""))),"")</f>
        <v>0.6</v>
      </c>
      <c r="AK522" s="187" t="str">
        <f t="shared" ca="1" si="656"/>
        <v>Moderado</v>
      </c>
      <c r="AL522" s="603" t="s">
        <v>258</v>
      </c>
      <c r="AM522" s="189"/>
      <c r="AN522" s="194"/>
      <c r="AO522" s="190"/>
      <c r="AP522" s="190"/>
      <c r="AQ522" s="191"/>
      <c r="AR522" s="194"/>
    </row>
    <row r="523" spans="1:44" s="605" customFormat="1" ht="69" hidden="1" customHeight="1" x14ac:dyDescent="0.25">
      <c r="A523" s="252"/>
      <c r="B523" s="246"/>
      <c r="C523" s="251"/>
      <c r="D523" s="251"/>
      <c r="E523" s="253"/>
      <c r="F523" s="254"/>
      <c r="G523" s="254"/>
      <c r="H523" s="255"/>
      <c r="I523" s="249"/>
      <c r="J523" s="249"/>
      <c r="K523" s="249"/>
      <c r="L523" s="249"/>
      <c r="M523" s="253"/>
      <c r="N523" s="251"/>
      <c r="O523" s="256"/>
      <c r="P523" s="610"/>
      <c r="Q523" s="611"/>
      <c r="R523" s="611"/>
      <c r="S523" s="611">
        <f ca="1">IF(NOT(ISERROR(MATCH(R523,_xlfn.ANCHORARRAY(H534),0))),Q536&amp;"Por favor no seleccionar los criterios de impacto",R523)</f>
        <v>0</v>
      </c>
      <c r="T523" s="610"/>
      <c r="U523" s="611"/>
      <c r="V523" s="252"/>
      <c r="W523" s="194">
        <v>3</v>
      </c>
      <c r="X523" s="192"/>
      <c r="Y523" s="194" t="str">
        <f t="shared" si="650"/>
        <v/>
      </c>
      <c r="Z523" s="188"/>
      <c r="AA523" s="188"/>
      <c r="AB523" s="185" t="str">
        <f t="shared" si="657"/>
        <v/>
      </c>
      <c r="AC523" s="188"/>
      <c r="AD523" s="188"/>
      <c r="AE523" s="188"/>
      <c r="AF523" s="602" t="str">
        <f t="shared" si="700"/>
        <v/>
      </c>
      <c r="AG523" s="186" t="str">
        <f t="shared" si="652"/>
        <v/>
      </c>
      <c r="AH523" s="185" t="str">
        <f t="shared" si="653"/>
        <v/>
      </c>
      <c r="AI523" s="186" t="str">
        <f t="shared" si="654"/>
        <v/>
      </c>
      <c r="AJ523" s="185" t="str">
        <f t="shared" ref="AJ523:AJ526" si="702">IFERROR(IF(AND(Y522="Impacto",Y523="Impacto"),(AJ522-(+AJ522*AB523)),IF(AND(Y522="Probabilidad",Y523="Impacto"),(AJ521-(+AJ521*AB523)),IF(Y523="Probabilidad",AJ522,""))),"")</f>
        <v/>
      </c>
      <c r="AK523" s="187" t="str">
        <f t="shared" si="656"/>
        <v/>
      </c>
      <c r="AL523" s="603"/>
      <c r="AM523" s="189"/>
      <c r="AN523" s="194"/>
      <c r="AO523" s="190"/>
      <c r="AP523" s="190"/>
      <c r="AQ523" s="191"/>
      <c r="AR523" s="194"/>
    </row>
    <row r="524" spans="1:44" s="605" customFormat="1" ht="69" hidden="1" customHeight="1" x14ac:dyDescent="0.25">
      <c r="A524" s="252"/>
      <c r="B524" s="246"/>
      <c r="C524" s="251"/>
      <c r="D524" s="251"/>
      <c r="E524" s="253"/>
      <c r="F524" s="254"/>
      <c r="G524" s="254"/>
      <c r="H524" s="255"/>
      <c r="I524" s="249"/>
      <c r="J524" s="249"/>
      <c r="K524" s="249"/>
      <c r="L524" s="249"/>
      <c r="M524" s="253"/>
      <c r="N524" s="251"/>
      <c r="O524" s="256"/>
      <c r="P524" s="610"/>
      <c r="Q524" s="611"/>
      <c r="R524" s="611"/>
      <c r="S524" s="611">
        <f ca="1">IF(NOT(ISERROR(MATCH(R524,_xlfn.ANCHORARRAY(H535),0))),Q537&amp;"Por favor no seleccionar los criterios de impacto",R524)</f>
        <v>0</v>
      </c>
      <c r="T524" s="610"/>
      <c r="U524" s="611"/>
      <c r="V524" s="252"/>
      <c r="W524" s="194">
        <v>4</v>
      </c>
      <c r="X524" s="192"/>
      <c r="Y524" s="194" t="str">
        <f t="shared" si="650"/>
        <v/>
      </c>
      <c r="Z524" s="188"/>
      <c r="AA524" s="188"/>
      <c r="AB524" s="185" t="str">
        <f t="shared" si="657"/>
        <v/>
      </c>
      <c r="AC524" s="188"/>
      <c r="AD524" s="188"/>
      <c r="AE524" s="188"/>
      <c r="AF524" s="602" t="str">
        <f t="shared" si="700"/>
        <v/>
      </c>
      <c r="AG524" s="186" t="str">
        <f t="shared" si="652"/>
        <v/>
      </c>
      <c r="AH524" s="185" t="str">
        <f t="shared" si="653"/>
        <v/>
      </c>
      <c r="AI524" s="186" t="str">
        <f t="shared" si="654"/>
        <v/>
      </c>
      <c r="AJ524" s="185" t="str">
        <f t="shared" si="702"/>
        <v/>
      </c>
      <c r="AK524" s="187" t="str">
        <f t="shared" si="656"/>
        <v/>
      </c>
      <c r="AL524" s="603"/>
      <c r="AM524" s="189"/>
      <c r="AN524" s="194"/>
      <c r="AO524" s="190"/>
      <c r="AP524" s="190"/>
      <c r="AQ524" s="191"/>
      <c r="AR524" s="194"/>
    </row>
    <row r="525" spans="1:44" s="605" customFormat="1" ht="69" hidden="1" customHeight="1" x14ac:dyDescent="0.25">
      <c r="A525" s="252"/>
      <c r="B525" s="246"/>
      <c r="C525" s="251"/>
      <c r="D525" s="251"/>
      <c r="E525" s="253"/>
      <c r="F525" s="254"/>
      <c r="G525" s="254"/>
      <c r="H525" s="255"/>
      <c r="I525" s="249"/>
      <c r="J525" s="249"/>
      <c r="K525" s="249"/>
      <c r="L525" s="249"/>
      <c r="M525" s="253"/>
      <c r="N525" s="251"/>
      <c r="O525" s="256"/>
      <c r="P525" s="610"/>
      <c r="Q525" s="611"/>
      <c r="R525" s="611"/>
      <c r="S525" s="611">
        <f ca="1">IF(NOT(ISERROR(MATCH(R525,_xlfn.ANCHORARRAY(H536),0))),Q538&amp;"Por favor no seleccionar los criterios de impacto",R525)</f>
        <v>0</v>
      </c>
      <c r="T525" s="610"/>
      <c r="U525" s="611"/>
      <c r="V525" s="252"/>
      <c r="W525" s="194">
        <v>5</v>
      </c>
      <c r="X525" s="192"/>
      <c r="Y525" s="194" t="str">
        <f t="shared" si="650"/>
        <v/>
      </c>
      <c r="Z525" s="188"/>
      <c r="AA525" s="188"/>
      <c r="AB525" s="185" t="str">
        <f t="shared" si="657"/>
        <v/>
      </c>
      <c r="AC525" s="188"/>
      <c r="AD525" s="188"/>
      <c r="AE525" s="188"/>
      <c r="AF525" s="602" t="str">
        <f t="shared" si="700"/>
        <v/>
      </c>
      <c r="AG525" s="186" t="str">
        <f t="shared" si="652"/>
        <v/>
      </c>
      <c r="AH525" s="185" t="str">
        <f t="shared" si="653"/>
        <v/>
      </c>
      <c r="AI525" s="186" t="str">
        <f t="shared" si="654"/>
        <v/>
      </c>
      <c r="AJ525" s="185" t="str">
        <f t="shared" si="702"/>
        <v/>
      </c>
      <c r="AK525" s="187" t="str">
        <f t="shared" si="656"/>
        <v/>
      </c>
      <c r="AL525" s="603"/>
      <c r="AM525" s="189"/>
      <c r="AN525" s="194"/>
      <c r="AO525" s="190"/>
      <c r="AP525" s="190"/>
      <c r="AQ525" s="191"/>
      <c r="AR525" s="194"/>
    </row>
    <row r="526" spans="1:44" s="605" customFormat="1" ht="69" hidden="1" customHeight="1" x14ac:dyDescent="0.25">
      <c r="A526" s="252"/>
      <c r="B526" s="247"/>
      <c r="C526" s="239"/>
      <c r="D526" s="239"/>
      <c r="E526" s="253"/>
      <c r="F526" s="254"/>
      <c r="G526" s="254"/>
      <c r="H526" s="255"/>
      <c r="I526" s="250"/>
      <c r="J526" s="250"/>
      <c r="K526" s="250"/>
      <c r="L526" s="250"/>
      <c r="M526" s="253"/>
      <c r="N526" s="239"/>
      <c r="O526" s="256"/>
      <c r="P526" s="610"/>
      <c r="Q526" s="611"/>
      <c r="R526" s="611"/>
      <c r="S526" s="611">
        <f ca="1">IF(NOT(ISERROR(MATCH(R526,_xlfn.ANCHORARRAY(H537),0))),Q539&amp;"Por favor no seleccionar los criterios de impacto",R526)</f>
        <v>0</v>
      </c>
      <c r="T526" s="610"/>
      <c r="U526" s="611"/>
      <c r="V526" s="252"/>
      <c r="W526" s="194">
        <v>6</v>
      </c>
      <c r="X526" s="192"/>
      <c r="Y526" s="194" t="str">
        <f t="shared" si="650"/>
        <v/>
      </c>
      <c r="Z526" s="188"/>
      <c r="AA526" s="188"/>
      <c r="AB526" s="185" t="str">
        <f t="shared" si="657"/>
        <v/>
      </c>
      <c r="AC526" s="188"/>
      <c r="AD526" s="188"/>
      <c r="AE526" s="188"/>
      <c r="AF526" s="602" t="str">
        <f t="shared" si="700"/>
        <v/>
      </c>
      <c r="AG526" s="186" t="str">
        <f t="shared" si="652"/>
        <v/>
      </c>
      <c r="AH526" s="185" t="str">
        <f t="shared" si="653"/>
        <v/>
      </c>
      <c r="AI526" s="186" t="str">
        <f t="shared" si="654"/>
        <v/>
      </c>
      <c r="AJ526" s="185" t="str">
        <f t="shared" si="702"/>
        <v/>
      </c>
      <c r="AK526" s="187" t="str">
        <f t="shared" si="656"/>
        <v/>
      </c>
      <c r="AL526" s="603"/>
      <c r="AM526" s="189"/>
      <c r="AN526" s="194"/>
      <c r="AO526" s="190"/>
      <c r="AP526" s="190"/>
      <c r="AQ526" s="191"/>
      <c r="AR526" s="194"/>
    </row>
    <row r="527" spans="1:44" s="605" customFormat="1" ht="222.75" x14ac:dyDescent="0.25">
      <c r="A527" s="252">
        <v>86</v>
      </c>
      <c r="B527" s="245" t="s">
        <v>1140</v>
      </c>
      <c r="C527" s="238" t="s">
        <v>282</v>
      </c>
      <c r="D527" s="238" t="s">
        <v>1134</v>
      </c>
      <c r="E527" s="253" t="s">
        <v>241</v>
      </c>
      <c r="F527" s="254" t="s">
        <v>1141</v>
      </c>
      <c r="G527" s="254" t="s">
        <v>1142</v>
      </c>
      <c r="H527" s="255" t="s">
        <v>1143</v>
      </c>
      <c r="I527" s="248" t="s">
        <v>480</v>
      </c>
      <c r="J527" s="248" t="s">
        <v>480</v>
      </c>
      <c r="K527" s="248" t="s">
        <v>480</v>
      </c>
      <c r="L527" s="248" t="s">
        <v>480</v>
      </c>
      <c r="M527" s="253" t="s">
        <v>242</v>
      </c>
      <c r="N527" s="238"/>
      <c r="O527" s="256">
        <v>2</v>
      </c>
      <c r="P527" s="610" t="str">
        <f t="shared" si="694"/>
        <v>Muy Baja</v>
      </c>
      <c r="Q527" s="611">
        <f t="shared" si="695"/>
        <v>0.2</v>
      </c>
      <c r="R527" s="611" t="s">
        <v>193</v>
      </c>
      <c r="S527" s="611" t="str">
        <f ca="1">IF(NOT(ISERROR(MATCH(R527,'Tabla Impacto'!$B$221:$B$223,0))),'Tabla Impacto'!$F$223&amp;"Por favor no seleccionar los criterios de impacto(Afectación Económica o presupuestal y Pérdida Reputacional)",R527)</f>
        <v>El riesgo afecta la imagen de la entidad con algunos usuarios de relevancia frente al logro de los objetivos</v>
      </c>
      <c r="T527" s="610" t="str">
        <f ca="1">+IF(OR(S527='[1]Tabla Impacto'!$C$11,S527='[1]Tabla Impacto'!$D$11),"Leve",IF(OR(S527='[1]Tabla Impacto'!$C$12,S527='[1]Tabla Impacto'!$D$12),"Menor",IF(OR(S527='[1]Tabla Impacto'!$C$13,S527='[1]Tabla Impacto'!$D$13),"Moderado",IF(OR(S527='[1]Tabla Impacto'!$C$14,S527='[1]Tabla Impacto'!$D$14),"Mayor",IF(OR(S527='[1]Tabla Impacto'!$C$15,S527='[1]Tabla Impacto'!$D$15),"Catastrófico","")))))</f>
        <v>Moderado</v>
      </c>
      <c r="U527" s="611">
        <f t="shared" ref="U527" ca="1" si="703">IF(T527="","",IF(T527="Leve",0.2,IF(T527="Menor",0.4,IF(T527="Moderado",0.6,IF(T527="Mayor",0.8,IF(T527="Catastrófico",1,))))))</f>
        <v>0.6</v>
      </c>
      <c r="V527" s="252" t="str">
        <f t="shared" ref="V527" ca="1" si="704">IF(OR(AND(P527="Muy Baja",T527="Leve"),AND(P527="Muy Baja",T527="Menor"),AND(P527="Baja",T527="Leve")),"Bajo",IF(OR(AND(P527="Muy baja",T527="Moderado"),AND(P527="Baja",T527="Menor"),AND(P527="Baja",T527="Moderado"),AND(P527="Media",T527="Leve"),AND(P527="Media",T527="Menor"),AND(P527="Media",T527="Moderado"),AND(P527="Alta",T527="Leve"),AND(P527="Alta",T527="Menor")),"Moderado",IF(OR(AND(P527="Muy Baja",T527="Mayor"),AND(P527="Baja",T527="Mayor"),AND(P527="Media",T527="Mayor"),AND(P527="Alta",T527="Moderado"),AND(P527="Alta",T527="Mayor"),AND(P527="Muy Alta",T527="Leve"),AND(P527="Muy Alta",T527="Menor"),AND(P527="Muy Alta",T527="Moderado"),AND(P527="Muy Alta",T527="Mayor")),"Alto",IF(OR(AND(P527="Muy Baja",T527="Catastrófico"),AND(P527="Baja",T527="Catastrófico"),AND(P527="Media",T527="Catastrófico"),AND(P527="Alta",T527="Catastrófico"),AND(P527="Muy Alta",T527="Catastrófico")),"Extremo",""))))</f>
        <v>Moderado</v>
      </c>
      <c r="W527" s="194">
        <v>1</v>
      </c>
      <c r="X527" s="524" t="s">
        <v>1144</v>
      </c>
      <c r="Y527" s="194" t="str">
        <f t="shared" si="650"/>
        <v>Probabilidad</v>
      </c>
      <c r="Z527" s="188" t="s">
        <v>211</v>
      </c>
      <c r="AA527" s="188" t="s">
        <v>219</v>
      </c>
      <c r="AB527" s="185" t="str">
        <f>IF(AND(Z527="Preventivo",AA527="Automático"),"50%",IF(AND(Z527="Preventivo",AA527="Manual"),"40%",IF(AND(Z527="Detectivo",AA527="Automático"),"40%",IF(AND(Z527="Detectivo",AA527="Manual"),"30%",IF(AND(Z527="Correctivo",AA527="Automático"),"35%",IF(AND(Z527="Correctivo",AA527="Manual"),"25%",""))))))</f>
        <v>40%</v>
      </c>
      <c r="AC527" s="188" t="s">
        <v>222</v>
      </c>
      <c r="AD527" s="188" t="s">
        <v>227</v>
      </c>
      <c r="AE527" s="188" t="s">
        <v>231</v>
      </c>
      <c r="AF527" s="602">
        <f t="shared" ref="AF527" si="705">IFERROR(IF(Y527="Probabilidad",(Q527-(+Q527*AB527)),IF(Y527="Impacto",Q527,"")),"")</f>
        <v>0.12</v>
      </c>
      <c r="AG527" s="186" t="str">
        <f t="shared" si="652"/>
        <v>Muy Baja</v>
      </c>
      <c r="AH527" s="185">
        <f t="shared" si="653"/>
        <v>0.12</v>
      </c>
      <c r="AI527" s="186" t="str">
        <f t="shared" ca="1" si="654"/>
        <v>Moderado</v>
      </c>
      <c r="AJ527" s="185">
        <f t="shared" ref="AJ527" ca="1" si="706">IFERROR(IF(Y527="Impacto",(U527-(+U527*AB527)),IF(Y527="Probabilidad",U527,"")),"")</f>
        <v>0.6</v>
      </c>
      <c r="AK527" s="187" t="str">
        <f t="shared" ca="1" si="656"/>
        <v>Moderado</v>
      </c>
      <c r="AL527" s="603" t="s">
        <v>258</v>
      </c>
      <c r="AM527" s="189"/>
      <c r="AN527" s="194"/>
      <c r="AO527" s="190"/>
      <c r="AP527" s="190"/>
      <c r="AQ527" s="191"/>
      <c r="AR527" s="194"/>
    </row>
    <row r="528" spans="1:44" s="605" customFormat="1" ht="240.75" customHeight="1" x14ac:dyDescent="0.25">
      <c r="A528" s="252"/>
      <c r="B528" s="246"/>
      <c r="C528" s="251"/>
      <c r="D528" s="251"/>
      <c r="E528" s="253"/>
      <c r="F528" s="254"/>
      <c r="G528" s="254"/>
      <c r="H528" s="255"/>
      <c r="I528" s="249"/>
      <c r="J528" s="249"/>
      <c r="K528" s="249"/>
      <c r="L528" s="249"/>
      <c r="M528" s="253"/>
      <c r="N528" s="251"/>
      <c r="O528" s="256"/>
      <c r="P528" s="610"/>
      <c r="Q528" s="611"/>
      <c r="R528" s="611"/>
      <c r="S528" s="611">
        <f ca="1">IF(NOT(ISERROR(MATCH(R528,_xlfn.ANCHORARRAY(H539),0))),Q541&amp;"Por favor no seleccionar los criterios de impacto",R528)</f>
        <v>0</v>
      </c>
      <c r="T528" s="610"/>
      <c r="U528" s="611"/>
      <c r="V528" s="252"/>
      <c r="W528" s="194">
        <v>2</v>
      </c>
      <c r="X528" s="192" t="s">
        <v>1145</v>
      </c>
      <c r="Y528" s="194" t="str">
        <f t="shared" si="650"/>
        <v>Probabilidad</v>
      </c>
      <c r="Z528" s="188" t="s">
        <v>211</v>
      </c>
      <c r="AA528" s="188" t="s">
        <v>219</v>
      </c>
      <c r="AB528" s="185" t="str">
        <f>IF(AND(Z528="Preventivo",AA528="Automático"),"50%",IF(AND(Z528="Preventivo",AA528="Manual"),"40%",IF(AND(Z528="Detectivo",AA528="Automático"),"40%",IF(AND(Z528="Detectivo",AA528="Manual"),"30%",IF(AND(Z528="Correctivo",AA528="Automático"),"35%",IF(AND(Z528="Correctivo",AA528="Manual"),"25%",""))))))</f>
        <v>40%</v>
      </c>
      <c r="AC528" s="188" t="s">
        <v>222</v>
      </c>
      <c r="AD528" s="188" t="s">
        <v>227</v>
      </c>
      <c r="AE528" s="188" t="s">
        <v>231</v>
      </c>
      <c r="AF528" s="602">
        <f t="shared" ref="AF528:AF532" si="707">IFERROR(IF(AND(Y527="Probabilidad",Y528="Probabilidad"),(AH527-(+AH527*AB528)),IF(Y528="Probabilidad",(Q527-(+Q527*AB528)),IF(Y528="Impacto",AH527,""))),"")</f>
        <v>7.1999999999999995E-2</v>
      </c>
      <c r="AG528" s="186" t="str">
        <f t="shared" si="652"/>
        <v>Muy Baja</v>
      </c>
      <c r="AH528" s="185">
        <f t="shared" si="653"/>
        <v>7.1999999999999995E-2</v>
      </c>
      <c r="AI528" s="186" t="str">
        <f t="shared" ca="1" si="654"/>
        <v>Moderado</v>
      </c>
      <c r="AJ528" s="185">
        <f t="shared" ref="AJ528" ca="1" si="708">IFERROR(IF(AND(Y527="Impacto",Y528="Impacto"),(AJ527-(+AJ527*AB528)),IF(Y528="Impacto",(U527-(+U527*AB528)),IF(Y528="Probabilidad",AJ527,""))),"")</f>
        <v>0.6</v>
      </c>
      <c r="AK528" s="187" t="str">
        <f t="shared" ca="1" si="656"/>
        <v>Moderado</v>
      </c>
      <c r="AL528" s="603" t="s">
        <v>258</v>
      </c>
      <c r="AM528" s="189"/>
      <c r="AN528" s="194"/>
      <c r="AO528" s="190"/>
      <c r="AP528" s="190"/>
      <c r="AQ528" s="191"/>
      <c r="AR528" s="194"/>
    </row>
    <row r="529" spans="1:44" s="605" customFormat="1" ht="69" hidden="1" customHeight="1" x14ac:dyDescent="0.25">
      <c r="A529" s="252"/>
      <c r="B529" s="246"/>
      <c r="C529" s="251"/>
      <c r="D529" s="251"/>
      <c r="E529" s="253"/>
      <c r="F529" s="254"/>
      <c r="G529" s="254"/>
      <c r="H529" s="255"/>
      <c r="I529" s="249"/>
      <c r="J529" s="249"/>
      <c r="K529" s="249"/>
      <c r="L529" s="249"/>
      <c r="M529" s="253"/>
      <c r="N529" s="251"/>
      <c r="O529" s="256"/>
      <c r="P529" s="610"/>
      <c r="Q529" s="611"/>
      <c r="R529" s="611"/>
      <c r="S529" s="611">
        <f ca="1">IF(NOT(ISERROR(MATCH(R529,_xlfn.ANCHORARRAY(H540),0))),Q542&amp;"Por favor no seleccionar los criterios de impacto",R529)</f>
        <v>0</v>
      </c>
      <c r="T529" s="610"/>
      <c r="U529" s="611"/>
      <c r="V529" s="252"/>
      <c r="W529" s="194">
        <v>3</v>
      </c>
      <c r="X529" s="192"/>
      <c r="Y529" s="194" t="str">
        <f t="shared" si="650"/>
        <v/>
      </c>
      <c r="Z529" s="188"/>
      <c r="AA529" s="188"/>
      <c r="AB529" s="185" t="str">
        <f t="shared" si="657"/>
        <v/>
      </c>
      <c r="AC529" s="188"/>
      <c r="AD529" s="188"/>
      <c r="AE529" s="188"/>
      <c r="AF529" s="602" t="str">
        <f t="shared" si="707"/>
        <v/>
      </c>
      <c r="AG529" s="186" t="str">
        <f t="shared" si="652"/>
        <v/>
      </c>
      <c r="AH529" s="185" t="str">
        <f t="shared" si="653"/>
        <v/>
      </c>
      <c r="AI529" s="186" t="str">
        <f t="shared" si="654"/>
        <v/>
      </c>
      <c r="AJ529" s="185" t="str">
        <f t="shared" ref="AJ529:AJ532" si="709">IFERROR(IF(AND(Y528="Impacto",Y529="Impacto"),(AJ528-(+AJ528*AB529)),IF(AND(Y528="Probabilidad",Y529="Impacto"),(AJ527-(+AJ527*AB529)),IF(Y529="Probabilidad",AJ528,""))),"")</f>
        <v/>
      </c>
      <c r="AK529" s="187" t="str">
        <f t="shared" si="656"/>
        <v/>
      </c>
      <c r="AL529" s="603"/>
      <c r="AM529" s="189"/>
      <c r="AN529" s="194"/>
      <c r="AO529" s="190"/>
      <c r="AP529" s="190"/>
      <c r="AQ529" s="191"/>
      <c r="AR529" s="194"/>
    </row>
    <row r="530" spans="1:44" s="605" customFormat="1" ht="69" hidden="1" customHeight="1" x14ac:dyDescent="0.25">
      <c r="A530" s="252"/>
      <c r="B530" s="246"/>
      <c r="C530" s="251"/>
      <c r="D530" s="251"/>
      <c r="E530" s="253"/>
      <c r="F530" s="254"/>
      <c r="G530" s="254"/>
      <c r="H530" s="255"/>
      <c r="I530" s="249"/>
      <c r="J530" s="249"/>
      <c r="K530" s="249"/>
      <c r="L530" s="249"/>
      <c r="M530" s="253"/>
      <c r="N530" s="251"/>
      <c r="O530" s="256"/>
      <c r="P530" s="610"/>
      <c r="Q530" s="611"/>
      <c r="R530" s="611"/>
      <c r="S530" s="611">
        <f ca="1">IF(NOT(ISERROR(MATCH(R530,_xlfn.ANCHORARRAY(H541),0))),Q543&amp;"Por favor no seleccionar los criterios de impacto",R530)</f>
        <v>0</v>
      </c>
      <c r="T530" s="610"/>
      <c r="U530" s="611"/>
      <c r="V530" s="252"/>
      <c r="W530" s="194">
        <v>4</v>
      </c>
      <c r="X530" s="192"/>
      <c r="Y530" s="194" t="str">
        <f t="shared" si="650"/>
        <v/>
      </c>
      <c r="Z530" s="188"/>
      <c r="AA530" s="188"/>
      <c r="AB530" s="185" t="str">
        <f t="shared" si="657"/>
        <v/>
      </c>
      <c r="AC530" s="188"/>
      <c r="AD530" s="188"/>
      <c r="AE530" s="188"/>
      <c r="AF530" s="602" t="str">
        <f t="shared" si="707"/>
        <v/>
      </c>
      <c r="AG530" s="186" t="str">
        <f t="shared" si="652"/>
        <v/>
      </c>
      <c r="AH530" s="185" t="str">
        <f t="shared" si="653"/>
        <v/>
      </c>
      <c r="AI530" s="186" t="str">
        <f t="shared" si="654"/>
        <v/>
      </c>
      <c r="AJ530" s="185" t="str">
        <f t="shared" si="709"/>
        <v/>
      </c>
      <c r="AK530" s="187" t="str">
        <f t="shared" si="656"/>
        <v/>
      </c>
      <c r="AL530" s="603"/>
      <c r="AM530" s="189"/>
      <c r="AN530" s="194"/>
      <c r="AO530" s="190"/>
      <c r="AP530" s="190"/>
      <c r="AQ530" s="191"/>
      <c r="AR530" s="194"/>
    </row>
    <row r="531" spans="1:44" s="605" customFormat="1" ht="69" hidden="1" customHeight="1" x14ac:dyDescent="0.25">
      <c r="A531" s="252"/>
      <c r="B531" s="246"/>
      <c r="C531" s="251"/>
      <c r="D531" s="251"/>
      <c r="E531" s="253"/>
      <c r="F531" s="254"/>
      <c r="G531" s="254"/>
      <c r="H531" s="255"/>
      <c r="I531" s="249"/>
      <c r="J531" s="249"/>
      <c r="K531" s="249"/>
      <c r="L531" s="249"/>
      <c r="M531" s="253"/>
      <c r="N531" s="251"/>
      <c r="O531" s="256"/>
      <c r="P531" s="610"/>
      <c r="Q531" s="611"/>
      <c r="R531" s="611"/>
      <c r="S531" s="611">
        <f ca="1">IF(NOT(ISERROR(MATCH(R531,_xlfn.ANCHORARRAY(H542),0))),Q544&amp;"Por favor no seleccionar los criterios de impacto",R531)</f>
        <v>0</v>
      </c>
      <c r="T531" s="610"/>
      <c r="U531" s="611"/>
      <c r="V531" s="252"/>
      <c r="W531" s="194">
        <v>5</v>
      </c>
      <c r="X531" s="192"/>
      <c r="Y531" s="194" t="str">
        <f t="shared" si="650"/>
        <v/>
      </c>
      <c r="Z531" s="188"/>
      <c r="AA531" s="188"/>
      <c r="AB531" s="185" t="str">
        <f t="shared" si="657"/>
        <v/>
      </c>
      <c r="AC531" s="188"/>
      <c r="AD531" s="188"/>
      <c r="AE531" s="188"/>
      <c r="AF531" s="602" t="str">
        <f t="shared" si="707"/>
        <v/>
      </c>
      <c r="AG531" s="186" t="str">
        <f t="shared" si="652"/>
        <v/>
      </c>
      <c r="AH531" s="185" t="str">
        <f t="shared" si="653"/>
        <v/>
      </c>
      <c r="AI531" s="186" t="str">
        <f t="shared" si="654"/>
        <v/>
      </c>
      <c r="AJ531" s="185" t="str">
        <f t="shared" si="709"/>
        <v/>
      </c>
      <c r="AK531" s="187" t="str">
        <f t="shared" si="656"/>
        <v/>
      </c>
      <c r="AL531" s="603"/>
      <c r="AM531" s="189"/>
      <c r="AN531" s="194"/>
      <c r="AO531" s="190"/>
      <c r="AP531" s="190"/>
      <c r="AQ531" s="191"/>
      <c r="AR531" s="194"/>
    </row>
    <row r="532" spans="1:44" s="605" customFormat="1" ht="69" hidden="1" customHeight="1" x14ac:dyDescent="0.25">
      <c r="A532" s="252"/>
      <c r="B532" s="247"/>
      <c r="C532" s="239"/>
      <c r="D532" s="239"/>
      <c r="E532" s="253"/>
      <c r="F532" s="254"/>
      <c r="G532" s="254"/>
      <c r="H532" s="255"/>
      <c r="I532" s="250"/>
      <c r="J532" s="250"/>
      <c r="K532" s="250"/>
      <c r="L532" s="250"/>
      <c r="M532" s="253"/>
      <c r="N532" s="239"/>
      <c r="O532" s="256"/>
      <c r="P532" s="610"/>
      <c r="Q532" s="611"/>
      <c r="R532" s="611"/>
      <c r="S532" s="611">
        <f ca="1">IF(NOT(ISERROR(MATCH(R532,_xlfn.ANCHORARRAY(H543),0))),Q545&amp;"Por favor no seleccionar los criterios de impacto",R532)</f>
        <v>0</v>
      </c>
      <c r="T532" s="610"/>
      <c r="U532" s="611"/>
      <c r="V532" s="252"/>
      <c r="W532" s="194">
        <v>6</v>
      </c>
      <c r="X532" s="192"/>
      <c r="Y532" s="194" t="str">
        <f t="shared" si="650"/>
        <v/>
      </c>
      <c r="Z532" s="188"/>
      <c r="AA532" s="188"/>
      <c r="AB532" s="185" t="str">
        <f t="shared" si="657"/>
        <v/>
      </c>
      <c r="AC532" s="188"/>
      <c r="AD532" s="188"/>
      <c r="AE532" s="188"/>
      <c r="AF532" s="602" t="str">
        <f t="shared" si="707"/>
        <v/>
      </c>
      <c r="AG532" s="186" t="str">
        <f t="shared" si="652"/>
        <v/>
      </c>
      <c r="AH532" s="185" t="str">
        <f t="shared" si="653"/>
        <v/>
      </c>
      <c r="AI532" s="186" t="str">
        <f t="shared" si="654"/>
        <v/>
      </c>
      <c r="AJ532" s="185" t="str">
        <f t="shared" si="709"/>
        <v/>
      </c>
      <c r="AK532" s="187" t="str">
        <f t="shared" si="656"/>
        <v/>
      </c>
      <c r="AL532" s="603"/>
      <c r="AM532" s="189"/>
      <c r="AN532" s="194"/>
      <c r="AO532" s="190"/>
      <c r="AP532" s="190"/>
      <c r="AQ532" s="191"/>
      <c r="AR532" s="194"/>
    </row>
    <row r="533" spans="1:44" s="605" customFormat="1" ht="180" customHeight="1" x14ac:dyDescent="0.25">
      <c r="A533" s="252">
        <v>87</v>
      </c>
      <c r="B533" s="245" t="s">
        <v>1146</v>
      </c>
      <c r="C533" s="238" t="s">
        <v>282</v>
      </c>
      <c r="D533" s="238" t="s">
        <v>1134</v>
      </c>
      <c r="E533" s="253" t="s">
        <v>243</v>
      </c>
      <c r="F533" s="254" t="s">
        <v>1147</v>
      </c>
      <c r="G533" s="254" t="s">
        <v>1148</v>
      </c>
      <c r="H533" s="255" t="s">
        <v>1149</v>
      </c>
      <c r="I533" s="248" t="s">
        <v>480</v>
      </c>
      <c r="J533" s="248" t="s">
        <v>480</v>
      </c>
      <c r="K533" s="248" t="s">
        <v>480</v>
      </c>
      <c r="L533" s="248" t="s">
        <v>480</v>
      </c>
      <c r="M533" s="253" t="s">
        <v>244</v>
      </c>
      <c r="N533" s="238"/>
      <c r="O533" s="256">
        <v>1</v>
      </c>
      <c r="P533" s="610" t="str">
        <f t="shared" si="694"/>
        <v>Muy Baja</v>
      </c>
      <c r="Q533" s="611">
        <f t="shared" si="695"/>
        <v>0.2</v>
      </c>
      <c r="R533" s="611" t="s">
        <v>192</v>
      </c>
      <c r="S533" s="611" t="str">
        <f ca="1">IF(NOT(ISERROR(MATCH(R533,'Tabla Impacto'!$B$221:$B$223,0))),'Tabla Impacto'!$F$223&amp;"Por favor no seleccionar los criterios de impacto(Afectación Económica o presupuestal y Pérdida Reputacional)",R533)</f>
        <v xml:space="preserve">Entre 50 y 100 SMLMV </v>
      </c>
      <c r="T533" s="610" t="str">
        <f ca="1">+IF(OR(S533='[1]Tabla Impacto'!$C$11,S533='[1]Tabla Impacto'!$D$11),"Leve",IF(OR(S533='[1]Tabla Impacto'!$C$12,S533='[1]Tabla Impacto'!$D$12),"Menor",IF(OR(S533='[1]Tabla Impacto'!$C$13,S533='[1]Tabla Impacto'!$D$13),"Moderado",IF(OR(S533='[1]Tabla Impacto'!$C$14,S533='[1]Tabla Impacto'!$D$14),"Mayor",IF(OR(S533='[1]Tabla Impacto'!$C$15,S533='[1]Tabla Impacto'!$D$15),"Catastrófico","")))))</f>
        <v>Moderado</v>
      </c>
      <c r="U533" s="611">
        <f t="shared" ref="U533" ca="1" si="710">IF(T533="","",IF(T533="Leve",0.2,IF(T533="Menor",0.4,IF(T533="Moderado",0.6,IF(T533="Mayor",0.8,IF(T533="Catastrófico",1,))))))</f>
        <v>0.6</v>
      </c>
      <c r="V533" s="252" t="str">
        <f t="shared" ref="V533" ca="1" si="711">IF(OR(AND(P533="Muy Baja",T533="Leve"),AND(P533="Muy Baja",T533="Menor"),AND(P533="Baja",T533="Leve")),"Bajo",IF(OR(AND(P533="Muy baja",T533="Moderado"),AND(P533="Baja",T533="Menor"),AND(P533="Baja",T533="Moderado"),AND(P533="Media",T533="Leve"),AND(P533="Media",T533="Menor"),AND(P533="Media",T533="Moderado"),AND(P533="Alta",T533="Leve"),AND(P533="Alta",T533="Menor")),"Moderado",IF(OR(AND(P533="Muy Baja",T533="Mayor"),AND(P533="Baja",T533="Mayor"),AND(P533="Media",T533="Mayor"),AND(P533="Alta",T533="Moderado"),AND(P533="Alta",T533="Mayor"),AND(P533="Muy Alta",T533="Leve"),AND(P533="Muy Alta",T533="Menor"),AND(P533="Muy Alta",T533="Moderado"),AND(P533="Muy Alta",T533="Mayor")),"Alto",IF(OR(AND(P533="Muy Baja",T533="Catastrófico"),AND(P533="Baja",T533="Catastrófico"),AND(P533="Media",T533="Catastrófico"),AND(P533="Alta",T533="Catastrófico"),AND(P533="Muy Alta",T533="Catastrófico")),"Extremo",""))))</f>
        <v>Moderado</v>
      </c>
      <c r="W533" s="194">
        <v>1</v>
      </c>
      <c r="X533" s="192" t="s">
        <v>1150</v>
      </c>
      <c r="Y533" s="194" t="str">
        <f t="shared" si="650"/>
        <v>Probabilidad</v>
      </c>
      <c r="Z533" s="188" t="s">
        <v>211</v>
      </c>
      <c r="AA533" s="188" t="s">
        <v>219</v>
      </c>
      <c r="AB533" s="185" t="str">
        <f t="shared" si="657"/>
        <v>40%</v>
      </c>
      <c r="AC533" s="188" t="s">
        <v>222</v>
      </c>
      <c r="AD533" s="188" t="s">
        <v>227</v>
      </c>
      <c r="AE533" s="188" t="s">
        <v>231</v>
      </c>
      <c r="AF533" s="602">
        <f t="shared" ref="AF533" si="712">IFERROR(IF(Y533="Probabilidad",(Q533-(+Q533*AB533)),IF(Y533="Impacto",Q533,"")),"")</f>
        <v>0.12</v>
      </c>
      <c r="AG533" s="186" t="str">
        <f t="shared" si="652"/>
        <v>Muy Baja</v>
      </c>
      <c r="AH533" s="185">
        <f t="shared" si="653"/>
        <v>0.12</v>
      </c>
      <c r="AI533" s="186" t="str">
        <f t="shared" ca="1" si="654"/>
        <v>Moderado</v>
      </c>
      <c r="AJ533" s="185">
        <f t="shared" ref="AJ533" ca="1" si="713">IFERROR(IF(Y533="Impacto",(U533-(+U533*AB533)),IF(Y533="Probabilidad",U533,"")),"")</f>
        <v>0.6</v>
      </c>
      <c r="AK533" s="187" t="str">
        <f t="shared" ca="1" si="656"/>
        <v>Moderado</v>
      </c>
      <c r="AL533" s="603" t="s">
        <v>258</v>
      </c>
      <c r="AM533" s="189"/>
      <c r="AN533" s="194"/>
      <c r="AO533" s="190"/>
      <c r="AP533" s="190"/>
      <c r="AQ533" s="191"/>
      <c r="AR533" s="194"/>
    </row>
    <row r="534" spans="1:44" s="605" customFormat="1" ht="237" customHeight="1" x14ac:dyDescent="0.25">
      <c r="A534" s="252"/>
      <c r="B534" s="246"/>
      <c r="C534" s="251"/>
      <c r="D534" s="251"/>
      <c r="E534" s="253"/>
      <c r="F534" s="254"/>
      <c r="G534" s="254"/>
      <c r="H534" s="255"/>
      <c r="I534" s="249"/>
      <c r="J534" s="249"/>
      <c r="K534" s="249"/>
      <c r="L534" s="249"/>
      <c r="M534" s="253"/>
      <c r="N534" s="251"/>
      <c r="O534" s="256"/>
      <c r="P534" s="610"/>
      <c r="Q534" s="611"/>
      <c r="R534" s="611"/>
      <c r="S534" s="611">
        <f ca="1">IF(NOT(ISERROR(MATCH(R534,_xlfn.ANCHORARRAY(H545),0))),Q547&amp;"Por favor no seleccionar los criterios de impacto",R534)</f>
        <v>0</v>
      </c>
      <c r="T534" s="610"/>
      <c r="U534" s="611"/>
      <c r="V534" s="252"/>
      <c r="W534" s="194">
        <v>2</v>
      </c>
      <c r="X534" s="192" t="s">
        <v>1151</v>
      </c>
      <c r="Y534" s="194" t="str">
        <f t="shared" si="650"/>
        <v>Probabilidad</v>
      </c>
      <c r="Z534" s="188" t="s">
        <v>211</v>
      </c>
      <c r="AA534" s="188" t="s">
        <v>219</v>
      </c>
      <c r="AB534" s="185" t="str">
        <f t="shared" si="657"/>
        <v>40%</v>
      </c>
      <c r="AC534" s="188" t="s">
        <v>222</v>
      </c>
      <c r="AD534" s="188" t="s">
        <v>227</v>
      </c>
      <c r="AE534" s="188" t="s">
        <v>231</v>
      </c>
      <c r="AF534" s="602">
        <f t="shared" ref="AF534:AF538" si="714">IFERROR(IF(AND(Y533="Probabilidad",Y534="Probabilidad"),(AH533-(+AH533*AB534)),IF(Y534="Probabilidad",(Q533-(+Q533*AB534)),IF(Y534="Impacto",AH533,""))),"")</f>
        <v>7.1999999999999995E-2</v>
      </c>
      <c r="AG534" s="186" t="str">
        <f t="shared" si="652"/>
        <v>Muy Baja</v>
      </c>
      <c r="AH534" s="185">
        <f t="shared" si="653"/>
        <v>7.1999999999999995E-2</v>
      </c>
      <c r="AI534" s="186" t="str">
        <f t="shared" ca="1" si="654"/>
        <v>Moderado</v>
      </c>
      <c r="AJ534" s="185">
        <f t="shared" ref="AJ534" ca="1" si="715">IFERROR(IF(AND(Y533="Impacto",Y534="Impacto"),(AJ533-(+AJ533*AB534)),IF(Y534="Impacto",(U533-(+U533*AB534)),IF(Y534="Probabilidad",AJ533,""))),"")</f>
        <v>0.6</v>
      </c>
      <c r="AK534" s="187" t="str">
        <f t="shared" ca="1" si="656"/>
        <v>Moderado</v>
      </c>
      <c r="AL534" s="603" t="s">
        <v>258</v>
      </c>
      <c r="AM534" s="189"/>
      <c r="AN534" s="194"/>
      <c r="AO534" s="190"/>
      <c r="AP534" s="190"/>
      <c r="AQ534" s="191"/>
      <c r="AR534" s="194"/>
    </row>
    <row r="535" spans="1:44" s="605" customFormat="1" ht="69" hidden="1" customHeight="1" x14ac:dyDescent="0.25">
      <c r="A535" s="252"/>
      <c r="B535" s="246"/>
      <c r="C535" s="251"/>
      <c r="D535" s="251"/>
      <c r="E535" s="253"/>
      <c r="F535" s="254"/>
      <c r="G535" s="254"/>
      <c r="H535" s="255"/>
      <c r="I535" s="249"/>
      <c r="J535" s="249"/>
      <c r="K535" s="249"/>
      <c r="L535" s="249"/>
      <c r="M535" s="253"/>
      <c r="N535" s="251"/>
      <c r="O535" s="256"/>
      <c r="P535" s="610"/>
      <c r="Q535" s="611"/>
      <c r="R535" s="611"/>
      <c r="S535" s="611">
        <f ca="1">IF(NOT(ISERROR(MATCH(R535,_xlfn.ANCHORARRAY(H546),0))),Q548&amp;"Por favor no seleccionar los criterios de impacto",R535)</f>
        <v>0</v>
      </c>
      <c r="T535" s="610"/>
      <c r="U535" s="611"/>
      <c r="V535" s="252"/>
      <c r="W535" s="194">
        <v>3</v>
      </c>
      <c r="X535" s="192"/>
      <c r="Y535" s="194" t="str">
        <f t="shared" si="650"/>
        <v/>
      </c>
      <c r="Z535" s="188"/>
      <c r="AA535" s="188"/>
      <c r="AB535" s="185" t="str">
        <f t="shared" si="657"/>
        <v/>
      </c>
      <c r="AC535" s="188"/>
      <c r="AD535" s="188"/>
      <c r="AE535" s="188"/>
      <c r="AF535" s="602" t="str">
        <f t="shared" si="714"/>
        <v/>
      </c>
      <c r="AG535" s="186" t="str">
        <f t="shared" si="652"/>
        <v/>
      </c>
      <c r="AH535" s="185" t="str">
        <f t="shared" si="653"/>
        <v/>
      </c>
      <c r="AI535" s="186" t="str">
        <f t="shared" si="654"/>
        <v/>
      </c>
      <c r="AJ535" s="185" t="str">
        <f t="shared" ref="AJ535:AJ538" si="716">IFERROR(IF(AND(Y534="Impacto",Y535="Impacto"),(AJ534-(+AJ534*AB535)),IF(AND(Y534="Probabilidad",Y535="Impacto"),(AJ533-(+AJ533*AB535)),IF(Y535="Probabilidad",AJ534,""))),"")</f>
        <v/>
      </c>
      <c r="AK535" s="187" t="str">
        <f t="shared" si="656"/>
        <v/>
      </c>
      <c r="AL535" s="603"/>
      <c r="AM535" s="189"/>
      <c r="AN535" s="194"/>
      <c r="AO535" s="190"/>
      <c r="AP535" s="190"/>
      <c r="AQ535" s="191"/>
      <c r="AR535" s="194"/>
    </row>
    <row r="536" spans="1:44" s="605" customFormat="1" ht="69" hidden="1" customHeight="1" x14ac:dyDescent="0.25">
      <c r="A536" s="252"/>
      <c r="B536" s="246"/>
      <c r="C536" s="251"/>
      <c r="D536" s="251"/>
      <c r="E536" s="253"/>
      <c r="F536" s="254"/>
      <c r="G536" s="254"/>
      <c r="H536" s="255"/>
      <c r="I536" s="249"/>
      <c r="J536" s="249"/>
      <c r="K536" s="249"/>
      <c r="L536" s="249"/>
      <c r="M536" s="253"/>
      <c r="N536" s="251"/>
      <c r="O536" s="256"/>
      <c r="P536" s="610"/>
      <c r="Q536" s="611"/>
      <c r="R536" s="611"/>
      <c r="S536" s="611">
        <f ca="1">IF(NOT(ISERROR(MATCH(R536,_xlfn.ANCHORARRAY(H547),0))),Q549&amp;"Por favor no seleccionar los criterios de impacto",R536)</f>
        <v>0</v>
      </c>
      <c r="T536" s="610"/>
      <c r="U536" s="611"/>
      <c r="V536" s="252"/>
      <c r="W536" s="194">
        <v>4</v>
      </c>
      <c r="X536" s="192"/>
      <c r="Y536" s="194" t="str">
        <f t="shared" si="650"/>
        <v/>
      </c>
      <c r="Z536" s="188"/>
      <c r="AA536" s="188"/>
      <c r="AB536" s="185" t="str">
        <f t="shared" si="657"/>
        <v/>
      </c>
      <c r="AC536" s="188"/>
      <c r="AD536" s="188"/>
      <c r="AE536" s="188"/>
      <c r="AF536" s="602" t="str">
        <f t="shared" si="714"/>
        <v/>
      </c>
      <c r="AG536" s="186" t="str">
        <f t="shared" si="652"/>
        <v/>
      </c>
      <c r="AH536" s="185" t="str">
        <f t="shared" si="653"/>
        <v/>
      </c>
      <c r="AI536" s="186" t="str">
        <f t="shared" si="654"/>
        <v/>
      </c>
      <c r="AJ536" s="185" t="str">
        <f t="shared" si="716"/>
        <v/>
      </c>
      <c r="AK536" s="187" t="str">
        <f t="shared" si="656"/>
        <v/>
      </c>
      <c r="AL536" s="603"/>
      <c r="AM536" s="189"/>
      <c r="AN536" s="194"/>
      <c r="AO536" s="190"/>
      <c r="AP536" s="190"/>
      <c r="AQ536" s="191"/>
      <c r="AR536" s="194"/>
    </row>
    <row r="537" spans="1:44" s="605" customFormat="1" ht="69" hidden="1" customHeight="1" x14ac:dyDescent="0.25">
      <c r="A537" s="252"/>
      <c r="B537" s="246"/>
      <c r="C537" s="251"/>
      <c r="D537" s="251"/>
      <c r="E537" s="253"/>
      <c r="F537" s="254"/>
      <c r="G537" s="254"/>
      <c r="H537" s="255"/>
      <c r="I537" s="249"/>
      <c r="J537" s="249"/>
      <c r="K537" s="249"/>
      <c r="L537" s="249"/>
      <c r="M537" s="253"/>
      <c r="N537" s="251"/>
      <c r="O537" s="256"/>
      <c r="P537" s="610"/>
      <c r="Q537" s="611"/>
      <c r="R537" s="611"/>
      <c r="S537" s="611">
        <f ca="1">IF(NOT(ISERROR(MATCH(R537,_xlfn.ANCHORARRAY(H548),0))),Q550&amp;"Por favor no seleccionar los criterios de impacto",R537)</f>
        <v>0</v>
      </c>
      <c r="T537" s="610"/>
      <c r="U537" s="611"/>
      <c r="V537" s="252"/>
      <c r="W537" s="194">
        <v>5</v>
      </c>
      <c r="X537" s="192"/>
      <c r="Y537" s="194" t="str">
        <f t="shared" si="650"/>
        <v/>
      </c>
      <c r="Z537" s="188"/>
      <c r="AA537" s="188"/>
      <c r="AB537" s="185" t="str">
        <f t="shared" si="657"/>
        <v/>
      </c>
      <c r="AC537" s="188"/>
      <c r="AD537" s="188"/>
      <c r="AE537" s="188"/>
      <c r="AF537" s="602" t="str">
        <f t="shared" si="714"/>
        <v/>
      </c>
      <c r="AG537" s="186" t="str">
        <f t="shared" si="652"/>
        <v/>
      </c>
      <c r="AH537" s="185" t="str">
        <f t="shared" si="653"/>
        <v/>
      </c>
      <c r="AI537" s="186" t="str">
        <f t="shared" si="654"/>
        <v/>
      </c>
      <c r="AJ537" s="185" t="str">
        <f t="shared" si="716"/>
        <v/>
      </c>
      <c r="AK537" s="187" t="str">
        <f t="shared" si="656"/>
        <v/>
      </c>
      <c r="AL537" s="603"/>
      <c r="AM537" s="189"/>
      <c r="AN537" s="194"/>
      <c r="AO537" s="190"/>
      <c r="AP537" s="190"/>
      <c r="AQ537" s="191"/>
      <c r="AR537" s="194"/>
    </row>
    <row r="538" spans="1:44" s="605" customFormat="1" ht="69" hidden="1" customHeight="1" x14ac:dyDescent="0.25">
      <c r="A538" s="252"/>
      <c r="B538" s="247"/>
      <c r="C538" s="239"/>
      <c r="D538" s="239"/>
      <c r="E538" s="253"/>
      <c r="F538" s="254"/>
      <c r="G538" s="254"/>
      <c r="H538" s="255"/>
      <c r="I538" s="250"/>
      <c r="J538" s="250"/>
      <c r="K538" s="250"/>
      <c r="L538" s="250"/>
      <c r="M538" s="253"/>
      <c r="N538" s="239"/>
      <c r="O538" s="256"/>
      <c r="P538" s="610"/>
      <c r="Q538" s="611"/>
      <c r="R538" s="611"/>
      <c r="S538" s="611">
        <f ca="1">IF(NOT(ISERROR(MATCH(R538,_xlfn.ANCHORARRAY(H549),0))),Q551&amp;"Por favor no seleccionar los criterios de impacto",R538)</f>
        <v>0</v>
      </c>
      <c r="T538" s="610"/>
      <c r="U538" s="611"/>
      <c r="V538" s="252"/>
      <c r="W538" s="194">
        <v>6</v>
      </c>
      <c r="X538" s="192"/>
      <c r="Y538" s="194" t="str">
        <f t="shared" si="650"/>
        <v/>
      </c>
      <c r="Z538" s="188"/>
      <c r="AA538" s="188"/>
      <c r="AB538" s="185" t="str">
        <f t="shared" si="657"/>
        <v/>
      </c>
      <c r="AC538" s="188"/>
      <c r="AD538" s="188"/>
      <c r="AE538" s="188"/>
      <c r="AF538" s="602" t="str">
        <f t="shared" si="714"/>
        <v/>
      </c>
      <c r="AG538" s="186" t="str">
        <f t="shared" si="652"/>
        <v/>
      </c>
      <c r="AH538" s="185" t="str">
        <f t="shared" si="653"/>
        <v/>
      </c>
      <c r="AI538" s="186" t="str">
        <f t="shared" si="654"/>
        <v/>
      </c>
      <c r="AJ538" s="185" t="str">
        <f t="shared" si="716"/>
        <v/>
      </c>
      <c r="AK538" s="187" t="str">
        <f t="shared" si="656"/>
        <v/>
      </c>
      <c r="AL538" s="603"/>
      <c r="AM538" s="189"/>
      <c r="AN538" s="194"/>
      <c r="AO538" s="190"/>
      <c r="AP538" s="190"/>
      <c r="AQ538" s="191"/>
      <c r="AR538" s="194"/>
    </row>
    <row r="539" spans="1:44" s="605" customFormat="1" ht="153.75" customHeight="1" x14ac:dyDescent="0.25">
      <c r="A539" s="252">
        <v>88</v>
      </c>
      <c r="B539" s="245" t="s">
        <v>1152</v>
      </c>
      <c r="C539" s="238" t="s">
        <v>282</v>
      </c>
      <c r="D539" s="238" t="s">
        <v>1134</v>
      </c>
      <c r="E539" s="253" t="s">
        <v>243</v>
      </c>
      <c r="F539" s="254" t="s">
        <v>1153</v>
      </c>
      <c r="G539" s="254" t="s">
        <v>1154</v>
      </c>
      <c r="H539" s="255" t="s">
        <v>1155</v>
      </c>
      <c r="I539" s="248" t="s">
        <v>480</v>
      </c>
      <c r="J539" s="248" t="s">
        <v>480</v>
      </c>
      <c r="K539" s="248" t="s">
        <v>480</v>
      </c>
      <c r="L539" s="248" t="s">
        <v>480</v>
      </c>
      <c r="M539" s="253" t="s">
        <v>242</v>
      </c>
      <c r="N539" s="238"/>
      <c r="O539" s="256">
        <v>365</v>
      </c>
      <c r="P539" s="610" t="str">
        <f t="shared" si="694"/>
        <v>Media</v>
      </c>
      <c r="Q539" s="611">
        <f t="shared" si="695"/>
        <v>0.6</v>
      </c>
      <c r="R539" s="611" t="s">
        <v>192</v>
      </c>
      <c r="S539" s="611" t="str">
        <f ca="1">IF(NOT(ISERROR(MATCH(R539,'Tabla Impacto'!$B$221:$B$223,0))),'Tabla Impacto'!$F$223&amp;"Por favor no seleccionar los criterios de impacto(Afectación Económica o presupuestal y Pérdida Reputacional)",R539)</f>
        <v xml:space="preserve">Entre 50 y 100 SMLMV </v>
      </c>
      <c r="T539" s="610" t="str">
        <f ca="1">+IF(OR(S539='[1]Tabla Impacto'!$C$11,S539='[1]Tabla Impacto'!$D$11),"Leve",IF(OR(S539='[1]Tabla Impacto'!$C$12,S539='[1]Tabla Impacto'!$D$12),"Menor",IF(OR(S539='[1]Tabla Impacto'!$C$13,S539='[1]Tabla Impacto'!$D$13),"Moderado",IF(OR(S539='[1]Tabla Impacto'!$C$14,S539='[1]Tabla Impacto'!$D$14),"Mayor",IF(OR(S539='[1]Tabla Impacto'!$C$15,S539='[1]Tabla Impacto'!$D$15),"Catastrófico","")))))</f>
        <v>Moderado</v>
      </c>
      <c r="U539" s="611">
        <f t="shared" ref="U539" ca="1" si="717">IF(T539="","",IF(T539="Leve",0.2,IF(T539="Menor",0.4,IF(T539="Moderado",0.6,IF(T539="Mayor",0.8,IF(T539="Catastrófico",1,))))))</f>
        <v>0.6</v>
      </c>
      <c r="V539" s="252" t="str">
        <f t="shared" ref="V539" ca="1" si="718">IF(OR(AND(P539="Muy Baja",T539="Leve"),AND(P539="Muy Baja",T539="Menor"),AND(P539="Baja",T539="Leve")),"Bajo",IF(OR(AND(P539="Muy baja",T539="Moderado"),AND(P539="Baja",T539="Menor"),AND(P539="Baja",T539="Moderado"),AND(P539="Media",T539="Leve"),AND(P539="Media",T539="Menor"),AND(P539="Media",T539="Moderado"),AND(P539="Alta",T539="Leve"),AND(P539="Alta",T539="Menor")),"Moderado",IF(OR(AND(P539="Muy Baja",T539="Mayor"),AND(P539="Baja",T539="Mayor"),AND(P539="Media",T539="Mayor"),AND(P539="Alta",T539="Moderado"),AND(P539="Alta",T539="Mayor"),AND(P539="Muy Alta",T539="Leve"),AND(P539="Muy Alta",T539="Menor"),AND(P539="Muy Alta",T539="Moderado"),AND(P539="Muy Alta",T539="Mayor")),"Alto",IF(OR(AND(P539="Muy Baja",T539="Catastrófico"),AND(P539="Baja",T539="Catastrófico"),AND(P539="Media",T539="Catastrófico"),AND(P539="Alta",T539="Catastrófico"),AND(P539="Muy Alta",T539="Catastrófico")),"Extremo",""))))</f>
        <v>Moderado</v>
      </c>
      <c r="W539" s="194">
        <v>1</v>
      </c>
      <c r="X539" s="524" t="s">
        <v>1156</v>
      </c>
      <c r="Y539" s="194" t="str">
        <f t="shared" si="650"/>
        <v>Probabilidad</v>
      </c>
      <c r="Z539" s="188" t="s">
        <v>211</v>
      </c>
      <c r="AA539" s="188" t="s">
        <v>219</v>
      </c>
      <c r="AB539" s="185" t="str">
        <f t="shared" si="657"/>
        <v>40%</v>
      </c>
      <c r="AC539" s="188" t="s">
        <v>222</v>
      </c>
      <c r="AD539" s="188" t="s">
        <v>227</v>
      </c>
      <c r="AE539" s="188" t="s">
        <v>231</v>
      </c>
      <c r="AF539" s="602">
        <f t="shared" ref="AF539" si="719">IFERROR(IF(Y539="Probabilidad",(Q539-(+Q539*AB539)),IF(Y539="Impacto",Q539,"")),"")</f>
        <v>0.36</v>
      </c>
      <c r="AG539" s="186" t="str">
        <f t="shared" si="652"/>
        <v>Baja</v>
      </c>
      <c r="AH539" s="185">
        <f t="shared" si="653"/>
        <v>0.36</v>
      </c>
      <c r="AI539" s="186" t="str">
        <f t="shared" ca="1" si="654"/>
        <v>Moderado</v>
      </c>
      <c r="AJ539" s="185">
        <f t="shared" ref="AJ539" ca="1" si="720">IFERROR(IF(Y539="Impacto",(U539-(+U539*AB539)),IF(Y539="Probabilidad",U539,"")),"")</f>
        <v>0.6</v>
      </c>
      <c r="AK539" s="187" t="str">
        <f t="shared" ca="1" si="656"/>
        <v>Moderado</v>
      </c>
      <c r="AL539" s="603" t="s">
        <v>258</v>
      </c>
      <c r="AM539" s="189"/>
      <c r="AN539" s="194"/>
      <c r="AO539" s="190"/>
      <c r="AP539" s="190"/>
      <c r="AQ539" s="191"/>
      <c r="AR539" s="194"/>
    </row>
    <row r="540" spans="1:44" s="605" customFormat="1" ht="69" hidden="1" customHeight="1" x14ac:dyDescent="0.25">
      <c r="A540" s="252"/>
      <c r="B540" s="246"/>
      <c r="C540" s="251"/>
      <c r="D540" s="251"/>
      <c r="E540" s="253"/>
      <c r="F540" s="254"/>
      <c r="G540" s="254"/>
      <c r="H540" s="255"/>
      <c r="I540" s="249"/>
      <c r="J540" s="249"/>
      <c r="K540" s="249"/>
      <c r="L540" s="249"/>
      <c r="M540" s="253"/>
      <c r="N540" s="251"/>
      <c r="O540" s="256"/>
      <c r="P540" s="610"/>
      <c r="Q540" s="611"/>
      <c r="R540" s="611"/>
      <c r="S540" s="611">
        <f ca="1">IF(NOT(ISERROR(MATCH(R540,_xlfn.ANCHORARRAY(H551),0))),Q553&amp;"Por favor no seleccionar los criterios de impacto",R540)</f>
        <v>0</v>
      </c>
      <c r="T540" s="610"/>
      <c r="U540" s="611"/>
      <c r="V540" s="252"/>
      <c r="W540" s="194">
        <v>2</v>
      </c>
      <c r="X540" s="192"/>
      <c r="Y540" s="194" t="str">
        <f t="shared" si="650"/>
        <v/>
      </c>
      <c r="Z540" s="188"/>
      <c r="AA540" s="188"/>
      <c r="AB540" s="185" t="str">
        <f t="shared" si="657"/>
        <v/>
      </c>
      <c r="AC540" s="188"/>
      <c r="AD540" s="188"/>
      <c r="AE540" s="188"/>
      <c r="AF540" s="602" t="str">
        <f t="shared" ref="AF540:AF544" si="721">IFERROR(IF(AND(Y539="Probabilidad",Y540="Probabilidad"),(AH539-(+AH539*AB540)),IF(Y540="Probabilidad",(Q539-(+Q539*AB540)),IF(Y540="Impacto",AH539,""))),"")</f>
        <v/>
      </c>
      <c r="AG540" s="186" t="str">
        <f t="shared" si="652"/>
        <v/>
      </c>
      <c r="AH540" s="185" t="str">
        <f t="shared" si="653"/>
        <v/>
      </c>
      <c r="AI540" s="186" t="str">
        <f t="shared" si="654"/>
        <v/>
      </c>
      <c r="AJ540" s="185" t="str">
        <f t="shared" ref="AJ540" si="722">IFERROR(IF(AND(Y539="Impacto",Y540="Impacto"),(AJ539-(+AJ539*AB540)),IF(Y540="Impacto",(U539-(+U539*AB540)),IF(Y540="Probabilidad",AJ539,""))),"")</f>
        <v/>
      </c>
      <c r="AK540" s="187" t="str">
        <f t="shared" si="656"/>
        <v/>
      </c>
      <c r="AL540" s="603"/>
      <c r="AM540" s="189"/>
      <c r="AN540" s="194"/>
      <c r="AO540" s="190"/>
      <c r="AP540" s="190"/>
      <c r="AQ540" s="191"/>
      <c r="AR540" s="194"/>
    </row>
    <row r="541" spans="1:44" s="605" customFormat="1" ht="69" hidden="1" customHeight="1" x14ac:dyDescent="0.25">
      <c r="A541" s="252"/>
      <c r="B541" s="246"/>
      <c r="C541" s="251"/>
      <c r="D541" s="251"/>
      <c r="E541" s="253"/>
      <c r="F541" s="254"/>
      <c r="G541" s="254"/>
      <c r="H541" s="255"/>
      <c r="I541" s="249"/>
      <c r="J541" s="249"/>
      <c r="K541" s="249"/>
      <c r="L541" s="249"/>
      <c r="M541" s="253"/>
      <c r="N541" s="251"/>
      <c r="O541" s="256"/>
      <c r="P541" s="610"/>
      <c r="Q541" s="611"/>
      <c r="R541" s="611"/>
      <c r="S541" s="611">
        <f ca="1">IF(NOT(ISERROR(MATCH(R541,_xlfn.ANCHORARRAY(H552),0))),Q554&amp;"Por favor no seleccionar los criterios de impacto",R541)</f>
        <v>0</v>
      </c>
      <c r="T541" s="610"/>
      <c r="U541" s="611"/>
      <c r="V541" s="252"/>
      <c r="W541" s="194">
        <v>3</v>
      </c>
      <c r="X541" s="192"/>
      <c r="Y541" s="194" t="str">
        <f t="shared" si="650"/>
        <v/>
      </c>
      <c r="Z541" s="188"/>
      <c r="AA541" s="188"/>
      <c r="AB541" s="185" t="str">
        <f t="shared" si="657"/>
        <v/>
      </c>
      <c r="AC541" s="188"/>
      <c r="AD541" s="188"/>
      <c r="AE541" s="188"/>
      <c r="AF541" s="602" t="str">
        <f t="shared" si="721"/>
        <v/>
      </c>
      <c r="AG541" s="186" t="str">
        <f t="shared" si="652"/>
        <v/>
      </c>
      <c r="AH541" s="185" t="str">
        <f t="shared" si="653"/>
        <v/>
      </c>
      <c r="AI541" s="186" t="str">
        <f t="shared" si="654"/>
        <v/>
      </c>
      <c r="AJ541" s="185" t="str">
        <f t="shared" ref="AJ541:AJ544" si="723">IFERROR(IF(AND(Y540="Impacto",Y541="Impacto"),(AJ540-(+AJ540*AB541)),IF(AND(Y540="Probabilidad",Y541="Impacto"),(AJ539-(+AJ539*AB541)),IF(Y541="Probabilidad",AJ540,""))),"")</f>
        <v/>
      </c>
      <c r="AK541" s="187" t="str">
        <f t="shared" si="656"/>
        <v/>
      </c>
      <c r="AL541" s="603"/>
      <c r="AM541" s="189"/>
      <c r="AN541" s="194"/>
      <c r="AO541" s="190"/>
      <c r="AP541" s="190"/>
      <c r="AQ541" s="191"/>
      <c r="AR541" s="194"/>
    </row>
    <row r="542" spans="1:44" s="605" customFormat="1" ht="69" hidden="1" customHeight="1" x14ac:dyDescent="0.25">
      <c r="A542" s="252"/>
      <c r="B542" s="246"/>
      <c r="C542" s="251"/>
      <c r="D542" s="251"/>
      <c r="E542" s="253"/>
      <c r="F542" s="254"/>
      <c r="G542" s="254"/>
      <c r="H542" s="255"/>
      <c r="I542" s="249"/>
      <c r="J542" s="249"/>
      <c r="K542" s="249"/>
      <c r="L542" s="249"/>
      <c r="M542" s="253"/>
      <c r="N542" s="251"/>
      <c r="O542" s="256"/>
      <c r="P542" s="610"/>
      <c r="Q542" s="611"/>
      <c r="R542" s="611"/>
      <c r="S542" s="611">
        <f ca="1">IF(NOT(ISERROR(MATCH(R542,_xlfn.ANCHORARRAY(H553),0))),Q555&amp;"Por favor no seleccionar los criterios de impacto",R542)</f>
        <v>0</v>
      </c>
      <c r="T542" s="610"/>
      <c r="U542" s="611"/>
      <c r="V542" s="252"/>
      <c r="W542" s="194">
        <v>4</v>
      </c>
      <c r="X542" s="192"/>
      <c r="Y542" s="194" t="str">
        <f t="shared" si="650"/>
        <v/>
      </c>
      <c r="Z542" s="188"/>
      <c r="AA542" s="188"/>
      <c r="AB542" s="185" t="str">
        <f t="shared" si="657"/>
        <v/>
      </c>
      <c r="AC542" s="188"/>
      <c r="AD542" s="188"/>
      <c r="AE542" s="188"/>
      <c r="AF542" s="602" t="str">
        <f t="shared" si="721"/>
        <v/>
      </c>
      <c r="AG542" s="186" t="str">
        <f t="shared" si="652"/>
        <v/>
      </c>
      <c r="AH542" s="185" t="str">
        <f t="shared" si="653"/>
        <v/>
      </c>
      <c r="AI542" s="186" t="str">
        <f t="shared" si="654"/>
        <v/>
      </c>
      <c r="AJ542" s="185" t="str">
        <f t="shared" si="723"/>
        <v/>
      </c>
      <c r="AK542" s="187" t="str">
        <f t="shared" si="656"/>
        <v/>
      </c>
      <c r="AL542" s="603"/>
      <c r="AM542" s="189"/>
      <c r="AN542" s="194"/>
      <c r="AO542" s="190"/>
      <c r="AP542" s="190"/>
      <c r="AQ542" s="191"/>
      <c r="AR542" s="194"/>
    </row>
    <row r="543" spans="1:44" s="605" customFormat="1" ht="69" hidden="1" customHeight="1" x14ac:dyDescent="0.25">
      <c r="A543" s="252"/>
      <c r="B543" s="246"/>
      <c r="C543" s="251"/>
      <c r="D543" s="251"/>
      <c r="E543" s="253"/>
      <c r="F543" s="254"/>
      <c r="G543" s="254"/>
      <c r="H543" s="255"/>
      <c r="I543" s="249"/>
      <c r="J543" s="249"/>
      <c r="K543" s="249"/>
      <c r="L543" s="249"/>
      <c r="M543" s="253"/>
      <c r="N543" s="251"/>
      <c r="O543" s="256"/>
      <c r="P543" s="610"/>
      <c r="Q543" s="611"/>
      <c r="R543" s="611"/>
      <c r="S543" s="611">
        <f ca="1">IF(NOT(ISERROR(MATCH(R543,_xlfn.ANCHORARRAY(H554),0))),Q556&amp;"Por favor no seleccionar los criterios de impacto",R543)</f>
        <v>0</v>
      </c>
      <c r="T543" s="610"/>
      <c r="U543" s="611"/>
      <c r="V543" s="252"/>
      <c r="W543" s="194">
        <v>5</v>
      </c>
      <c r="X543" s="192"/>
      <c r="Y543" s="194" t="str">
        <f t="shared" si="650"/>
        <v/>
      </c>
      <c r="Z543" s="188"/>
      <c r="AA543" s="188"/>
      <c r="AB543" s="185" t="str">
        <f t="shared" si="657"/>
        <v/>
      </c>
      <c r="AC543" s="188"/>
      <c r="AD543" s="188"/>
      <c r="AE543" s="188"/>
      <c r="AF543" s="602" t="str">
        <f t="shared" si="721"/>
        <v/>
      </c>
      <c r="AG543" s="186" t="str">
        <f t="shared" si="652"/>
        <v/>
      </c>
      <c r="AH543" s="185" t="str">
        <f t="shared" si="653"/>
        <v/>
      </c>
      <c r="AI543" s="186" t="str">
        <f t="shared" si="654"/>
        <v/>
      </c>
      <c r="AJ543" s="185" t="str">
        <f t="shared" si="723"/>
        <v/>
      </c>
      <c r="AK543" s="187" t="str">
        <f t="shared" si="656"/>
        <v/>
      </c>
      <c r="AL543" s="603"/>
      <c r="AM543" s="189"/>
      <c r="AN543" s="194"/>
      <c r="AO543" s="190"/>
      <c r="AP543" s="190"/>
      <c r="AQ543" s="191"/>
      <c r="AR543" s="194"/>
    </row>
    <row r="544" spans="1:44" s="605" customFormat="1" ht="69" hidden="1" customHeight="1" x14ac:dyDescent="0.25">
      <c r="A544" s="252"/>
      <c r="B544" s="247"/>
      <c r="C544" s="239"/>
      <c r="D544" s="239"/>
      <c r="E544" s="253"/>
      <c r="F544" s="254"/>
      <c r="G544" s="254"/>
      <c r="H544" s="255"/>
      <c r="I544" s="250"/>
      <c r="J544" s="250"/>
      <c r="K544" s="250"/>
      <c r="L544" s="250"/>
      <c r="M544" s="253"/>
      <c r="N544" s="239"/>
      <c r="O544" s="256"/>
      <c r="P544" s="610"/>
      <c r="Q544" s="611"/>
      <c r="R544" s="611"/>
      <c r="S544" s="611">
        <f ca="1">IF(NOT(ISERROR(MATCH(R544,_xlfn.ANCHORARRAY(H555),0))),Q569&amp;"Por favor no seleccionar los criterios de impacto",R544)</f>
        <v>0</v>
      </c>
      <c r="T544" s="610"/>
      <c r="U544" s="611"/>
      <c r="V544" s="252"/>
      <c r="W544" s="194">
        <v>6</v>
      </c>
      <c r="X544" s="192"/>
      <c r="Y544" s="194" t="str">
        <f t="shared" si="650"/>
        <v/>
      </c>
      <c r="Z544" s="188"/>
      <c r="AA544" s="188"/>
      <c r="AB544" s="185" t="str">
        <f t="shared" si="657"/>
        <v/>
      </c>
      <c r="AC544" s="188"/>
      <c r="AD544" s="188"/>
      <c r="AE544" s="188"/>
      <c r="AF544" s="602" t="str">
        <f t="shared" si="721"/>
        <v/>
      </c>
      <c r="AG544" s="186" t="str">
        <f t="shared" si="652"/>
        <v/>
      </c>
      <c r="AH544" s="185" t="str">
        <f t="shared" si="653"/>
        <v/>
      </c>
      <c r="AI544" s="186" t="str">
        <f t="shared" si="654"/>
        <v/>
      </c>
      <c r="AJ544" s="185" t="str">
        <f t="shared" si="723"/>
        <v/>
      </c>
      <c r="AK544" s="187" t="str">
        <f t="shared" si="656"/>
        <v/>
      </c>
      <c r="AL544" s="603"/>
      <c r="AM544" s="189"/>
      <c r="AN544" s="194"/>
      <c r="AO544" s="190"/>
      <c r="AP544" s="190"/>
      <c r="AQ544" s="191"/>
      <c r="AR544" s="194"/>
    </row>
    <row r="545" spans="1:44" s="605" customFormat="1" ht="229.5" customHeight="1" x14ac:dyDescent="0.25">
      <c r="A545" s="252">
        <v>89</v>
      </c>
      <c r="B545" s="245" t="s">
        <v>1157</v>
      </c>
      <c r="C545" s="238" t="s">
        <v>283</v>
      </c>
      <c r="D545" s="238" t="s">
        <v>1158</v>
      </c>
      <c r="E545" s="253" t="s">
        <v>241</v>
      </c>
      <c r="F545" s="254" t="s">
        <v>1159</v>
      </c>
      <c r="G545" s="254" t="s">
        <v>1160</v>
      </c>
      <c r="H545" s="255" t="s">
        <v>1161</v>
      </c>
      <c r="I545" s="248" t="s">
        <v>480</v>
      </c>
      <c r="J545" s="248" t="s">
        <v>480</v>
      </c>
      <c r="K545" s="248" t="s">
        <v>480</v>
      </c>
      <c r="L545" s="248" t="s">
        <v>480</v>
      </c>
      <c r="M545" s="253" t="s">
        <v>242</v>
      </c>
      <c r="N545" s="238"/>
      <c r="O545" s="256">
        <v>1</v>
      </c>
      <c r="P545" s="610" t="str">
        <f t="shared" si="694"/>
        <v>Muy Baja</v>
      </c>
      <c r="Q545" s="611">
        <f t="shared" si="695"/>
        <v>0.2</v>
      </c>
      <c r="R545" s="611" t="s">
        <v>190</v>
      </c>
      <c r="S545" s="611" t="str">
        <f ca="1">IF(NOT(ISERROR(MATCH(R545,'Tabla Impacto'!$B$221:$B$223,0))),'Tabla Impacto'!$F$223&amp;"Por favor no seleccionar los criterios de impacto(Afectación Económica o presupuestal y Pérdida Reputacional)",R545)</f>
        <v>El riesgo afecta la imagen de la entidad internamente, de conocimiento general, nivel interno, de junta dircetiva y accionistas y/o de provedores</v>
      </c>
      <c r="T545" s="610" t="str">
        <f ca="1">+IF(OR(S545='[1]Tabla Impacto'!$C$11,S545='[1]Tabla Impacto'!$D$11),"Leve",IF(OR(S545='[1]Tabla Impacto'!$C$12,S545='[1]Tabla Impacto'!$D$12),"Menor",IF(OR(S545='[1]Tabla Impacto'!$C$13,S545='[1]Tabla Impacto'!$D$13),"Moderado",IF(OR(S545='[1]Tabla Impacto'!$C$14,S545='[1]Tabla Impacto'!$D$14),"Mayor",IF(OR(S545='[1]Tabla Impacto'!$C$15,S545='[1]Tabla Impacto'!$D$15),"Catastrófico","")))))</f>
        <v>Menor</v>
      </c>
      <c r="U545" s="611">
        <f t="shared" ref="U545" ca="1" si="724">IF(T545="","",IF(T545="Leve",0.2,IF(T545="Menor",0.4,IF(T545="Moderado",0.6,IF(T545="Mayor",0.8,IF(T545="Catastrófico",1,))))))</f>
        <v>0.4</v>
      </c>
      <c r="V545" s="252" t="str">
        <f t="shared" ref="V545" ca="1" si="725">IF(OR(AND(P545="Muy Baja",T545="Leve"),AND(P545="Muy Baja",T545="Menor"),AND(P545="Baja",T545="Leve")),"Bajo",IF(OR(AND(P545="Muy baja",T545="Moderado"),AND(P545="Baja",T545="Menor"),AND(P545="Baja",T545="Moderado"),AND(P545="Media",T545="Leve"),AND(P545="Media",T545="Menor"),AND(P545="Media",T545="Moderado"),AND(P545="Alta",T545="Leve"),AND(P545="Alta",T545="Menor")),"Moderado",IF(OR(AND(P545="Muy Baja",T545="Mayor"),AND(P545="Baja",T545="Mayor"),AND(P545="Media",T545="Mayor"),AND(P545="Alta",T545="Moderado"),AND(P545="Alta",T545="Mayor"),AND(P545="Muy Alta",T545="Leve"),AND(P545="Muy Alta",T545="Menor"),AND(P545="Muy Alta",T545="Moderado"),AND(P545="Muy Alta",T545="Mayor")),"Alto",IF(OR(AND(P545="Muy Baja",T545="Catastrófico"),AND(P545="Baja",T545="Catastrófico"),AND(P545="Media",T545="Catastrófico"),AND(P545="Alta",T545="Catastrófico"),AND(P545="Muy Alta",T545="Catastrófico")),"Extremo",""))))</f>
        <v>Bajo</v>
      </c>
      <c r="W545" s="194">
        <v>1</v>
      </c>
      <c r="X545" s="192" t="s">
        <v>1162</v>
      </c>
      <c r="Y545" s="194" t="str">
        <f t="shared" si="650"/>
        <v>Probabilidad</v>
      </c>
      <c r="Z545" s="188" t="s">
        <v>211</v>
      </c>
      <c r="AA545" s="188" t="s">
        <v>219</v>
      </c>
      <c r="AB545" s="185" t="str">
        <f>IF(AND(Z545="Preventivo",AA545="Automático"),"50%",IF(AND(Z545="Preventivo",AA545="Manual"),"40%",IF(AND(Z545="Detectivo",AA545="Automático"),"40%",IF(AND(Z545="Detectivo",AA545="Manual"),"30%",IF(AND(Z545="Correctivo",AA545="Automático"),"35%",IF(AND(Z545="Correctivo",AA545="Manual"),"25%",""))))))</f>
        <v>40%</v>
      </c>
      <c r="AC545" s="188" t="s">
        <v>222</v>
      </c>
      <c r="AD545" s="188" t="s">
        <v>227</v>
      </c>
      <c r="AE545" s="188" t="s">
        <v>231</v>
      </c>
      <c r="AF545" s="602">
        <f t="shared" ref="AF545" si="726">IFERROR(IF(Y545="Probabilidad",(Q545-(+Q545*AB545)),IF(Y545="Impacto",Q545,"")),"")</f>
        <v>0.12</v>
      </c>
      <c r="AG545" s="186" t="str">
        <f t="shared" si="652"/>
        <v>Muy Baja</v>
      </c>
      <c r="AH545" s="185">
        <f t="shared" si="653"/>
        <v>0.12</v>
      </c>
      <c r="AI545" s="186" t="str">
        <f t="shared" ca="1" si="654"/>
        <v>Menor</v>
      </c>
      <c r="AJ545" s="185">
        <f t="shared" ref="AJ545" ca="1" si="727">IFERROR(IF(Y545="Impacto",(U545-(+U545*AB545)),IF(Y545="Probabilidad",U545,"")),"")</f>
        <v>0.4</v>
      </c>
      <c r="AK545" s="187" t="str">
        <f t="shared" ca="1" si="656"/>
        <v>Bajo</v>
      </c>
      <c r="AL545" s="603" t="s">
        <v>258</v>
      </c>
      <c r="AM545" s="189"/>
      <c r="AN545" s="194"/>
      <c r="AO545" s="190"/>
      <c r="AP545" s="190"/>
      <c r="AQ545" s="191"/>
      <c r="AR545" s="194"/>
    </row>
    <row r="546" spans="1:44" s="605" customFormat="1" ht="69" hidden="1" customHeight="1" x14ac:dyDescent="0.25">
      <c r="A546" s="252"/>
      <c r="B546" s="246"/>
      <c r="C546" s="251"/>
      <c r="D546" s="251"/>
      <c r="E546" s="253"/>
      <c r="F546" s="254"/>
      <c r="G546" s="254"/>
      <c r="H546" s="255"/>
      <c r="I546" s="249"/>
      <c r="J546" s="249"/>
      <c r="K546" s="249"/>
      <c r="L546" s="249"/>
      <c r="M546" s="253"/>
      <c r="N546" s="251"/>
      <c r="O546" s="256"/>
      <c r="P546" s="610"/>
      <c r="Q546" s="611"/>
      <c r="R546" s="611"/>
      <c r="S546" s="611">
        <f ca="1">IF(NOT(ISERROR(MATCH(R546,_xlfn.ANCHORARRAY(H569),0))),Q571&amp;"Por favor no seleccionar los criterios de impacto",R546)</f>
        <v>0</v>
      </c>
      <c r="T546" s="610"/>
      <c r="U546" s="611"/>
      <c r="V546" s="252"/>
      <c r="W546" s="194">
        <v>2</v>
      </c>
      <c r="X546" s="192"/>
      <c r="Y546" s="194" t="str">
        <f t="shared" si="650"/>
        <v/>
      </c>
      <c r="Z546" s="188"/>
      <c r="AA546" s="188"/>
      <c r="AB546" s="185" t="str">
        <f t="shared" si="657"/>
        <v/>
      </c>
      <c r="AC546" s="188"/>
      <c r="AD546" s="188"/>
      <c r="AE546" s="188"/>
      <c r="AF546" s="602" t="str">
        <f t="shared" ref="AF546:AF550" si="728">IFERROR(IF(AND(Y545="Probabilidad",Y546="Probabilidad"),(AH545-(+AH545*AB546)),IF(Y546="Probabilidad",(Q545-(+Q545*AB546)),IF(Y546="Impacto",AH545,""))),"")</f>
        <v/>
      </c>
      <c r="AG546" s="186" t="str">
        <f t="shared" si="652"/>
        <v/>
      </c>
      <c r="AH546" s="185" t="str">
        <f t="shared" si="653"/>
        <v/>
      </c>
      <c r="AI546" s="186" t="str">
        <f t="shared" si="654"/>
        <v/>
      </c>
      <c r="AJ546" s="185" t="str">
        <f t="shared" ref="AJ546" si="729">IFERROR(IF(AND(Y545="Impacto",Y546="Impacto"),(AJ545-(+AJ545*AB546)),IF(Y546="Impacto",(U545-(+U545*AB546)),IF(Y546="Probabilidad",AJ545,""))),"")</f>
        <v/>
      </c>
      <c r="AK546" s="187" t="str">
        <f t="shared" si="656"/>
        <v/>
      </c>
      <c r="AL546" s="603"/>
      <c r="AM546" s="189"/>
      <c r="AN546" s="194"/>
      <c r="AO546" s="190"/>
      <c r="AP546" s="190"/>
      <c r="AQ546" s="191"/>
      <c r="AR546" s="194"/>
    </row>
    <row r="547" spans="1:44" s="605" customFormat="1" ht="69" hidden="1" customHeight="1" x14ac:dyDescent="0.25">
      <c r="A547" s="252"/>
      <c r="B547" s="246"/>
      <c r="C547" s="251"/>
      <c r="D547" s="251"/>
      <c r="E547" s="253"/>
      <c r="F547" s="254"/>
      <c r="G547" s="254"/>
      <c r="H547" s="255"/>
      <c r="I547" s="249"/>
      <c r="J547" s="249"/>
      <c r="K547" s="249"/>
      <c r="L547" s="249"/>
      <c r="M547" s="253"/>
      <c r="N547" s="251"/>
      <c r="O547" s="256"/>
      <c r="P547" s="610"/>
      <c r="Q547" s="611"/>
      <c r="R547" s="611"/>
      <c r="S547" s="611">
        <f ca="1">IF(NOT(ISERROR(MATCH(R547,_xlfn.ANCHORARRAY(H570),0))),Q572&amp;"Por favor no seleccionar los criterios de impacto",R547)</f>
        <v>0</v>
      </c>
      <c r="T547" s="610"/>
      <c r="U547" s="611"/>
      <c r="V547" s="252"/>
      <c r="W547" s="194">
        <v>3</v>
      </c>
      <c r="X547" s="192"/>
      <c r="Y547" s="194" t="str">
        <f t="shared" si="650"/>
        <v/>
      </c>
      <c r="Z547" s="188"/>
      <c r="AA547" s="188"/>
      <c r="AB547" s="185" t="str">
        <f t="shared" si="657"/>
        <v/>
      </c>
      <c r="AC547" s="188"/>
      <c r="AD547" s="188"/>
      <c r="AE547" s="188"/>
      <c r="AF547" s="602" t="str">
        <f t="shared" si="728"/>
        <v/>
      </c>
      <c r="AG547" s="186" t="str">
        <f t="shared" si="652"/>
        <v/>
      </c>
      <c r="AH547" s="185" t="str">
        <f t="shared" si="653"/>
        <v/>
      </c>
      <c r="AI547" s="186" t="str">
        <f t="shared" si="654"/>
        <v/>
      </c>
      <c r="AJ547" s="185" t="str">
        <f t="shared" ref="AJ547:AJ550" si="730">IFERROR(IF(AND(Y546="Impacto",Y547="Impacto"),(AJ546-(+AJ546*AB547)),IF(AND(Y546="Probabilidad",Y547="Impacto"),(AJ545-(+AJ545*AB547)),IF(Y547="Probabilidad",AJ546,""))),"")</f>
        <v/>
      </c>
      <c r="AK547" s="187" t="str">
        <f t="shared" si="656"/>
        <v/>
      </c>
      <c r="AL547" s="603"/>
      <c r="AM547" s="189"/>
      <c r="AN547" s="194"/>
      <c r="AO547" s="190"/>
      <c r="AP547" s="190"/>
      <c r="AQ547" s="191"/>
      <c r="AR547" s="194"/>
    </row>
    <row r="548" spans="1:44" s="605" customFormat="1" ht="69" hidden="1" customHeight="1" x14ac:dyDescent="0.25">
      <c r="A548" s="252"/>
      <c r="B548" s="246"/>
      <c r="C548" s="251"/>
      <c r="D548" s="251"/>
      <c r="E548" s="253"/>
      <c r="F548" s="254"/>
      <c r="G548" s="254"/>
      <c r="H548" s="255"/>
      <c r="I548" s="249"/>
      <c r="J548" s="249"/>
      <c r="K548" s="249"/>
      <c r="L548" s="249"/>
      <c r="M548" s="253"/>
      <c r="N548" s="251"/>
      <c r="O548" s="256"/>
      <c r="P548" s="610"/>
      <c r="Q548" s="611"/>
      <c r="R548" s="611"/>
      <c r="S548" s="611">
        <f ca="1">IF(NOT(ISERROR(MATCH(R548,_xlfn.ANCHORARRAY(H571),0))),Q573&amp;"Por favor no seleccionar los criterios de impacto",R548)</f>
        <v>0</v>
      </c>
      <c r="T548" s="610"/>
      <c r="U548" s="611"/>
      <c r="V548" s="252"/>
      <c r="W548" s="194">
        <v>4</v>
      </c>
      <c r="X548" s="192"/>
      <c r="Y548" s="194" t="str">
        <f t="shared" si="650"/>
        <v/>
      </c>
      <c r="Z548" s="188"/>
      <c r="AA548" s="188"/>
      <c r="AB548" s="185" t="str">
        <f t="shared" si="657"/>
        <v/>
      </c>
      <c r="AC548" s="188"/>
      <c r="AD548" s="188"/>
      <c r="AE548" s="188"/>
      <c r="AF548" s="602" t="str">
        <f t="shared" si="728"/>
        <v/>
      </c>
      <c r="AG548" s="186" t="str">
        <f t="shared" si="652"/>
        <v/>
      </c>
      <c r="AH548" s="185" t="str">
        <f t="shared" si="653"/>
        <v/>
      </c>
      <c r="AI548" s="186" t="str">
        <f t="shared" si="654"/>
        <v/>
      </c>
      <c r="AJ548" s="185" t="str">
        <f t="shared" si="730"/>
        <v/>
      </c>
      <c r="AK548" s="187" t="str">
        <f t="shared" si="656"/>
        <v/>
      </c>
      <c r="AL548" s="603"/>
      <c r="AM548" s="189"/>
      <c r="AN548" s="194"/>
      <c r="AO548" s="190"/>
      <c r="AP548" s="190"/>
      <c r="AQ548" s="191"/>
      <c r="AR548" s="194"/>
    </row>
    <row r="549" spans="1:44" s="605" customFormat="1" ht="69" hidden="1" customHeight="1" x14ac:dyDescent="0.25">
      <c r="A549" s="252"/>
      <c r="B549" s="246"/>
      <c r="C549" s="251"/>
      <c r="D549" s="251"/>
      <c r="E549" s="253"/>
      <c r="F549" s="254"/>
      <c r="G549" s="254"/>
      <c r="H549" s="255"/>
      <c r="I549" s="249"/>
      <c r="J549" s="249"/>
      <c r="K549" s="249"/>
      <c r="L549" s="249"/>
      <c r="M549" s="253"/>
      <c r="N549" s="251"/>
      <c r="O549" s="256"/>
      <c r="P549" s="610"/>
      <c r="Q549" s="611"/>
      <c r="R549" s="611"/>
      <c r="S549" s="611">
        <f ca="1">IF(NOT(ISERROR(MATCH(R549,_xlfn.ANCHORARRAY(H572),0))),Q574&amp;"Por favor no seleccionar los criterios de impacto",R549)</f>
        <v>0</v>
      </c>
      <c r="T549" s="610"/>
      <c r="U549" s="611"/>
      <c r="V549" s="252"/>
      <c r="W549" s="194">
        <v>5</v>
      </c>
      <c r="X549" s="192"/>
      <c r="Y549" s="194" t="str">
        <f t="shared" si="650"/>
        <v/>
      </c>
      <c r="Z549" s="188"/>
      <c r="AA549" s="188"/>
      <c r="AB549" s="185" t="str">
        <f t="shared" si="657"/>
        <v/>
      </c>
      <c r="AC549" s="188"/>
      <c r="AD549" s="188"/>
      <c r="AE549" s="188"/>
      <c r="AF549" s="602" t="str">
        <f t="shared" si="728"/>
        <v/>
      </c>
      <c r="AG549" s="186" t="str">
        <f t="shared" si="652"/>
        <v/>
      </c>
      <c r="AH549" s="185" t="str">
        <f t="shared" si="653"/>
        <v/>
      </c>
      <c r="AI549" s="186" t="str">
        <f t="shared" si="654"/>
        <v/>
      </c>
      <c r="AJ549" s="185" t="str">
        <f t="shared" si="730"/>
        <v/>
      </c>
      <c r="AK549" s="187" t="str">
        <f t="shared" si="656"/>
        <v/>
      </c>
      <c r="AL549" s="603"/>
      <c r="AM549" s="189"/>
      <c r="AN549" s="194"/>
      <c r="AO549" s="190"/>
      <c r="AP549" s="190"/>
      <c r="AQ549" s="191"/>
      <c r="AR549" s="194"/>
    </row>
    <row r="550" spans="1:44" s="605" customFormat="1" ht="69" hidden="1" customHeight="1" x14ac:dyDescent="0.25">
      <c r="A550" s="252"/>
      <c r="B550" s="247"/>
      <c r="C550" s="239"/>
      <c r="D550" s="239"/>
      <c r="E550" s="253"/>
      <c r="F550" s="254"/>
      <c r="G550" s="254"/>
      <c r="H550" s="255"/>
      <c r="I550" s="250"/>
      <c r="J550" s="250"/>
      <c r="K550" s="250"/>
      <c r="L550" s="250"/>
      <c r="M550" s="253"/>
      <c r="N550" s="239"/>
      <c r="O550" s="256"/>
      <c r="P550" s="610"/>
      <c r="Q550" s="611"/>
      <c r="R550" s="611"/>
      <c r="S550" s="611">
        <f ca="1">IF(NOT(ISERROR(MATCH(R550,_xlfn.ANCHORARRAY(H573),0))),Q575&amp;"Por favor no seleccionar los criterios de impacto",R550)</f>
        <v>0</v>
      </c>
      <c r="T550" s="610"/>
      <c r="U550" s="611"/>
      <c r="V550" s="252"/>
      <c r="W550" s="194">
        <v>6</v>
      </c>
      <c r="X550" s="192"/>
      <c r="Y550" s="194" t="str">
        <f t="shared" ref="Y550:Y568" si="731">IF(OR(Z550="Preventivo",Z550="Detectivo"),"Probabilidad",IF(Z550="Correctivo","Impacto",""))</f>
        <v/>
      </c>
      <c r="Z550" s="188"/>
      <c r="AA550" s="188"/>
      <c r="AB550" s="185" t="str">
        <f t="shared" si="657"/>
        <v/>
      </c>
      <c r="AC550" s="188"/>
      <c r="AD550" s="188"/>
      <c r="AE550" s="188"/>
      <c r="AF550" s="602" t="str">
        <f t="shared" si="728"/>
        <v/>
      </c>
      <c r="AG550" s="186" t="str">
        <f t="shared" ref="AG550:AG556" si="732">IFERROR(IF(AF550="","",IF(AF550&lt;=0.2,"Muy Baja",IF(AF550&lt;=0.4,"Baja",IF(AF550&lt;=0.6,"Media",IF(AF550&lt;=0.8,"Alta","Muy Alta"))))),"")</f>
        <v/>
      </c>
      <c r="AH550" s="185" t="str">
        <f t="shared" ref="AH550:AH556" si="733">+AF550</f>
        <v/>
      </c>
      <c r="AI550" s="186" t="str">
        <f t="shared" ref="AI550:AI556" si="734">IFERROR(IF(AJ550="","",IF(AJ550&lt;=0.2,"Leve",IF(AJ550&lt;=0.4,"Menor",IF(AJ550&lt;=0.6,"Moderado",IF(AJ550&lt;=0.8,"Mayor","Catastrófico"))))),"")</f>
        <v/>
      </c>
      <c r="AJ550" s="185" t="str">
        <f t="shared" si="730"/>
        <v/>
      </c>
      <c r="AK550" s="187" t="str">
        <f t="shared" ref="AK550:AK556" si="735">IFERROR(IF(OR(AND(AG550="Muy Baja",AI550="Leve"),AND(AG550="Muy Baja",AI550="Menor"),AND(AG550="Baja",AI550="Leve")),"Bajo",IF(OR(AND(AG550="Muy baja",AI550="Moderado"),AND(AG550="Baja",AI550="Menor"),AND(AG550="Baja",AI550="Moderado"),AND(AG550="Media",AI550="Leve"),AND(AG550="Media",AI550="Menor"),AND(AG550="Media",AI550="Moderado"),AND(AG550="Alta",AI550="Leve"),AND(AG550="Alta",AI550="Menor")),"Moderado",IF(OR(AND(AG550="Muy Baja",AI550="Mayor"),AND(AG550="Baja",AI550="Mayor"),AND(AG550="Media",AI550="Mayor"),AND(AG550="Alta",AI550="Moderado"),AND(AG550="Alta",AI550="Mayor"),AND(AG550="Muy Alta",AI550="Leve"),AND(AG550="Muy Alta",AI550="Menor"),AND(AG550="Muy Alta",AI550="Moderado"),AND(AG550="Muy Alta",AI550="Mayor")),"Alto",IF(OR(AND(AG550="Muy Baja",AI550="Catastrófico"),AND(AG550="Baja",AI550="Catastrófico"),AND(AG550="Media",AI550="Catastrófico"),AND(AG550="Alta",AI550="Catastrófico"),AND(AG550="Muy Alta",AI550="Catastrófico")),"Extremo","")))),"")</f>
        <v/>
      </c>
      <c r="AL550" s="603"/>
      <c r="AM550" s="189"/>
      <c r="AN550" s="194"/>
      <c r="AO550" s="190"/>
      <c r="AP550" s="190"/>
      <c r="AQ550" s="191"/>
      <c r="AR550" s="194"/>
    </row>
    <row r="551" spans="1:44" s="605" customFormat="1" ht="203.25" customHeight="1" x14ac:dyDescent="0.25">
      <c r="A551" s="252">
        <v>90</v>
      </c>
      <c r="B551" s="245" t="s">
        <v>1163</v>
      </c>
      <c r="C551" s="238" t="s">
        <v>283</v>
      </c>
      <c r="D551" s="238" t="s">
        <v>1158</v>
      </c>
      <c r="E551" s="253" t="s">
        <v>241</v>
      </c>
      <c r="F551" s="254" t="s">
        <v>1164</v>
      </c>
      <c r="G551" s="254" t="s">
        <v>1165</v>
      </c>
      <c r="H551" s="255" t="s">
        <v>1166</v>
      </c>
      <c r="I551" s="248" t="s">
        <v>480</v>
      </c>
      <c r="J551" s="248" t="s">
        <v>480</v>
      </c>
      <c r="K551" s="248" t="s">
        <v>480</v>
      </c>
      <c r="L551" s="248" t="s">
        <v>480</v>
      </c>
      <c r="M551" s="253" t="s">
        <v>242</v>
      </c>
      <c r="N551" s="238"/>
      <c r="O551" s="256">
        <v>30</v>
      </c>
      <c r="P551" s="610" t="str">
        <f t="shared" si="694"/>
        <v>Media</v>
      </c>
      <c r="Q551" s="611">
        <f t="shared" si="695"/>
        <v>0.6</v>
      </c>
      <c r="R551" s="611" t="s">
        <v>190</v>
      </c>
      <c r="S551" s="611" t="str">
        <f ca="1">IF(NOT(ISERROR(MATCH(R551,'Tabla Impacto'!$B$221:$B$223,0))),'Tabla Impacto'!$F$223&amp;"Por favor no seleccionar los criterios de impacto(Afectación Económica o presupuestal y Pérdida Reputacional)",R551)</f>
        <v>El riesgo afecta la imagen de la entidad internamente, de conocimiento general, nivel interno, de junta dircetiva y accionistas y/o de provedores</v>
      </c>
      <c r="T551" s="610" t="str">
        <f ca="1">+IF(OR(S551='[1]Tabla Impacto'!$C$11,S551='[1]Tabla Impacto'!$D$11),"Leve",IF(OR(S551='[1]Tabla Impacto'!$C$12,S551='[1]Tabla Impacto'!$D$12),"Menor",IF(OR(S551='[1]Tabla Impacto'!$C$13,S551='[1]Tabla Impacto'!$D$13),"Moderado",IF(OR(S551='[1]Tabla Impacto'!$C$14,S551='[1]Tabla Impacto'!$D$14),"Mayor",IF(OR(S551='[1]Tabla Impacto'!$C$15,S551='[1]Tabla Impacto'!$D$15),"Catastrófico","")))))</f>
        <v>Menor</v>
      </c>
      <c r="U551" s="611">
        <f t="shared" ref="U551" ca="1" si="736">IF(T551="","",IF(T551="Leve",0.2,IF(T551="Menor",0.4,IF(T551="Moderado",0.6,IF(T551="Mayor",0.8,IF(T551="Catastrófico",1,))))))</f>
        <v>0.4</v>
      </c>
      <c r="V551" s="252" t="str">
        <f t="shared" ref="V551" ca="1" si="737">IF(OR(AND(P551="Muy Baja",T551="Leve"),AND(P551="Muy Baja",T551="Menor"),AND(P551="Baja",T551="Leve")),"Bajo",IF(OR(AND(P551="Muy baja",T551="Moderado"),AND(P551="Baja",T551="Menor"),AND(P551="Baja",T551="Moderado"),AND(P551="Media",T551="Leve"),AND(P551="Media",T551="Menor"),AND(P551="Media",T551="Moderado"),AND(P551="Alta",T551="Leve"),AND(P551="Alta",T551="Menor")),"Moderado",IF(OR(AND(P551="Muy Baja",T551="Mayor"),AND(P551="Baja",T551="Mayor"),AND(P551="Media",T551="Mayor"),AND(P551="Alta",T551="Moderado"),AND(P551="Alta",T551="Mayor"),AND(P551="Muy Alta",T551="Leve"),AND(P551="Muy Alta",T551="Menor"),AND(P551="Muy Alta",T551="Moderado"),AND(P551="Muy Alta",T551="Mayor")),"Alto",IF(OR(AND(P551="Muy Baja",T551="Catastrófico"),AND(P551="Baja",T551="Catastrófico"),AND(P551="Media",T551="Catastrófico"),AND(P551="Alta",T551="Catastrófico"),AND(P551="Muy Alta",T551="Catastrófico")),"Extremo",""))))</f>
        <v>Moderado</v>
      </c>
      <c r="W551" s="194">
        <v>1</v>
      </c>
      <c r="X551" s="192" t="s">
        <v>1167</v>
      </c>
      <c r="Y551" s="194" t="str">
        <f t="shared" si="731"/>
        <v>Probabilidad</v>
      </c>
      <c r="Z551" s="188" t="s">
        <v>211</v>
      </c>
      <c r="AA551" s="188" t="s">
        <v>219</v>
      </c>
      <c r="AB551" s="185" t="str">
        <f>IF(AND(Z551="Preventivo",AA551="Automático"),"50%",IF(AND(Z551="Preventivo",AA551="Manual"),"40%",IF(AND(Z551="Detectivo",AA551="Automático"),"40%",IF(AND(Z551="Detectivo",AA551="Manual"),"30%",IF(AND(Z551="Correctivo",AA551="Automático"),"35%",IF(AND(Z551="Correctivo",AA551="Manual"),"25%",""))))))</f>
        <v>40%</v>
      </c>
      <c r="AC551" s="188" t="s">
        <v>222</v>
      </c>
      <c r="AD551" s="188" t="s">
        <v>227</v>
      </c>
      <c r="AE551" s="188" t="s">
        <v>231</v>
      </c>
      <c r="AF551" s="602">
        <f t="shared" ref="AF551" si="738">IFERROR(IF(Y551="Probabilidad",(Q551-(+Q551*AB551)),IF(Y551="Impacto",Q551,"")),"")</f>
        <v>0.36</v>
      </c>
      <c r="AG551" s="186" t="str">
        <f t="shared" si="732"/>
        <v>Baja</v>
      </c>
      <c r="AH551" s="185">
        <f t="shared" si="733"/>
        <v>0.36</v>
      </c>
      <c r="AI551" s="186" t="str">
        <f t="shared" ca="1" si="734"/>
        <v>Menor</v>
      </c>
      <c r="AJ551" s="185">
        <f t="shared" ref="AJ551" ca="1" si="739">IFERROR(IF(Y551="Impacto",(U551-(+U551*AB551)),IF(Y551="Probabilidad",U551,"")),"")</f>
        <v>0.4</v>
      </c>
      <c r="AK551" s="187" t="str">
        <f t="shared" ca="1" si="735"/>
        <v>Moderado</v>
      </c>
      <c r="AL551" s="603" t="s">
        <v>258</v>
      </c>
      <c r="AM551" s="189"/>
      <c r="AN551" s="194"/>
      <c r="AO551" s="190"/>
      <c r="AP551" s="190"/>
      <c r="AQ551" s="191"/>
      <c r="AR551" s="194"/>
    </row>
    <row r="552" spans="1:44" s="605" customFormat="1" ht="184.5" customHeight="1" x14ac:dyDescent="0.25">
      <c r="A552" s="252"/>
      <c r="B552" s="246"/>
      <c r="C552" s="251"/>
      <c r="D552" s="251"/>
      <c r="E552" s="253"/>
      <c r="F552" s="254"/>
      <c r="G552" s="254"/>
      <c r="H552" s="255"/>
      <c r="I552" s="249"/>
      <c r="J552" s="249"/>
      <c r="K552" s="249"/>
      <c r="L552" s="249"/>
      <c r="M552" s="253"/>
      <c r="N552" s="251"/>
      <c r="O552" s="256"/>
      <c r="P552" s="610"/>
      <c r="Q552" s="611"/>
      <c r="R552" s="611"/>
      <c r="S552" s="611">
        <f ca="1">IF(NOT(ISERROR(MATCH(R552,_xlfn.ANCHORARRAY(H575),0))),Q577&amp;"Por favor no seleccionar los criterios de impacto",R552)</f>
        <v>0</v>
      </c>
      <c r="T552" s="610"/>
      <c r="U552" s="611"/>
      <c r="V552" s="252"/>
      <c r="W552" s="194">
        <v>2</v>
      </c>
      <c r="X552" s="192" t="s">
        <v>1168</v>
      </c>
      <c r="Y552" s="194" t="str">
        <f t="shared" si="731"/>
        <v>Probabilidad</v>
      </c>
      <c r="Z552" s="188" t="s">
        <v>211</v>
      </c>
      <c r="AA552" s="188" t="s">
        <v>219</v>
      </c>
      <c r="AB552" s="185" t="str">
        <f>IF(AND(Z552="Preventivo",AA552="Automático"),"50%",IF(AND(Z552="Preventivo",AA552="Manual"),"40%",IF(AND(Z552="Detectivo",AA552="Automático"),"40%",IF(AND(Z552="Detectivo",AA552="Manual"),"30%",IF(AND(Z552="Correctivo",AA552="Automático"),"35%",IF(AND(Z552="Correctivo",AA552="Manual"),"25%",""))))))</f>
        <v>40%</v>
      </c>
      <c r="AC552" s="188" t="s">
        <v>222</v>
      </c>
      <c r="AD552" s="188" t="s">
        <v>227</v>
      </c>
      <c r="AE552" s="188" t="s">
        <v>231</v>
      </c>
      <c r="AF552" s="602">
        <f t="shared" ref="AF552:AF568" si="740">IFERROR(IF(AND(Y551="Probabilidad",Y552="Probabilidad"),(AH551-(+AH551*AB552)),IF(Y552="Probabilidad",(Q551-(+Q551*AB552)),IF(Y552="Impacto",AH551,""))),"")</f>
        <v>0.216</v>
      </c>
      <c r="AG552" s="186" t="str">
        <f t="shared" si="732"/>
        <v>Baja</v>
      </c>
      <c r="AH552" s="185">
        <f t="shared" si="733"/>
        <v>0.216</v>
      </c>
      <c r="AI552" s="186" t="str">
        <f t="shared" ca="1" si="734"/>
        <v>Menor</v>
      </c>
      <c r="AJ552" s="185">
        <f t="shared" ref="AJ552" ca="1" si="741">IFERROR(IF(AND(Y551="Impacto",Y552="Impacto"),(AJ551-(+AJ551*AB552)),IF(Y552="Impacto",(U551-(+U551*AB552)),IF(Y552="Probabilidad",AJ551,""))),"")</f>
        <v>0.4</v>
      </c>
      <c r="AK552" s="187" t="str">
        <f t="shared" ca="1" si="735"/>
        <v>Moderado</v>
      </c>
      <c r="AL552" s="603" t="s">
        <v>258</v>
      </c>
      <c r="AM552" s="189"/>
      <c r="AN552" s="194"/>
      <c r="AO552" s="190"/>
      <c r="AP552" s="190"/>
      <c r="AQ552" s="191"/>
      <c r="AR552" s="194"/>
    </row>
    <row r="553" spans="1:44" s="605" customFormat="1" ht="69" hidden="1" customHeight="1" x14ac:dyDescent="0.25">
      <c r="A553" s="252"/>
      <c r="B553" s="246"/>
      <c r="C553" s="251"/>
      <c r="D553" s="251"/>
      <c r="E553" s="253"/>
      <c r="F553" s="254"/>
      <c r="G553" s="254"/>
      <c r="H553" s="255"/>
      <c r="I553" s="249"/>
      <c r="J553" s="249"/>
      <c r="K553" s="249"/>
      <c r="L553" s="249"/>
      <c r="M553" s="253"/>
      <c r="N553" s="251"/>
      <c r="O553" s="256"/>
      <c r="P553" s="610"/>
      <c r="Q553" s="611"/>
      <c r="R553" s="611"/>
      <c r="S553" s="611">
        <f ca="1">IF(NOT(ISERROR(MATCH(R553,_xlfn.ANCHORARRAY(H576),0))),Q578&amp;"Por favor no seleccionar los criterios de impacto",R553)</f>
        <v>0</v>
      </c>
      <c r="T553" s="610"/>
      <c r="U553" s="611"/>
      <c r="V553" s="252"/>
      <c r="W553" s="194">
        <v>3</v>
      </c>
      <c r="X553" s="192"/>
      <c r="Y553" s="194" t="str">
        <f t="shared" si="731"/>
        <v/>
      </c>
      <c r="Z553" s="188"/>
      <c r="AA553" s="188"/>
      <c r="AB553" s="185" t="str">
        <f t="shared" ref="AB551:AB557" si="742">IF(AND(Z553="Preventivo",AA553="Automático"),"50%",IF(AND(Z553="Preventivo",AA553="Manual"),"40%",IF(AND(Z553="Detectivo",AA553="Automático"),"40%",IF(AND(Z553="Detectivo",AA553="Manual"),"30%",IF(AND(Z553="Correctivo",AA553="Automático"),"35%",IF(AND(Z553="Correctivo",AA553="Manual"),"25%",""))))))</f>
        <v/>
      </c>
      <c r="AC553" s="188"/>
      <c r="AD553" s="188"/>
      <c r="AE553" s="188"/>
      <c r="AF553" s="602" t="str">
        <f t="shared" si="740"/>
        <v/>
      </c>
      <c r="AG553" s="186" t="str">
        <f t="shared" si="732"/>
        <v/>
      </c>
      <c r="AH553" s="185" t="str">
        <f t="shared" si="733"/>
        <v/>
      </c>
      <c r="AI553" s="186" t="str">
        <f t="shared" si="734"/>
        <v/>
      </c>
      <c r="AJ553" s="185" t="str">
        <f t="shared" ref="AJ553:AJ556" si="743">IFERROR(IF(AND(Y552="Impacto",Y553="Impacto"),(AJ552-(+AJ552*AB553)),IF(AND(Y552="Probabilidad",Y553="Impacto"),(AJ551-(+AJ551*AB553)),IF(Y553="Probabilidad",AJ552,""))),"")</f>
        <v/>
      </c>
      <c r="AK553" s="187" t="str">
        <f t="shared" si="735"/>
        <v/>
      </c>
      <c r="AL553" s="603"/>
      <c r="AM553" s="189"/>
      <c r="AN553" s="194"/>
      <c r="AO553" s="190"/>
      <c r="AP553" s="190"/>
      <c r="AQ553" s="191"/>
      <c r="AR553" s="194"/>
    </row>
    <row r="554" spans="1:44" s="605" customFormat="1" ht="69" hidden="1" customHeight="1" x14ac:dyDescent="0.25">
      <c r="A554" s="252"/>
      <c r="B554" s="246"/>
      <c r="C554" s="251"/>
      <c r="D554" s="251"/>
      <c r="E554" s="253"/>
      <c r="F554" s="254"/>
      <c r="G554" s="254"/>
      <c r="H554" s="255"/>
      <c r="I554" s="249"/>
      <c r="J554" s="249"/>
      <c r="K554" s="249"/>
      <c r="L554" s="249"/>
      <c r="M554" s="253"/>
      <c r="N554" s="251"/>
      <c r="O554" s="256"/>
      <c r="P554" s="610"/>
      <c r="Q554" s="611"/>
      <c r="R554" s="611"/>
      <c r="S554" s="611">
        <f ca="1">IF(NOT(ISERROR(MATCH(R554,_xlfn.ANCHORARRAY(H577),0))),Q579&amp;"Por favor no seleccionar los criterios de impacto",R554)</f>
        <v>0</v>
      </c>
      <c r="T554" s="610"/>
      <c r="U554" s="611"/>
      <c r="V554" s="252"/>
      <c r="W554" s="194">
        <v>4</v>
      </c>
      <c r="X554" s="192"/>
      <c r="Y554" s="194" t="str">
        <f t="shared" si="731"/>
        <v/>
      </c>
      <c r="Z554" s="188"/>
      <c r="AA554" s="188"/>
      <c r="AB554" s="185" t="str">
        <f t="shared" si="742"/>
        <v/>
      </c>
      <c r="AC554" s="188"/>
      <c r="AD554" s="188"/>
      <c r="AE554" s="188"/>
      <c r="AF554" s="602" t="str">
        <f t="shared" si="740"/>
        <v/>
      </c>
      <c r="AG554" s="186" t="str">
        <f t="shared" si="732"/>
        <v/>
      </c>
      <c r="AH554" s="185" t="str">
        <f t="shared" si="733"/>
        <v/>
      </c>
      <c r="AI554" s="186" t="str">
        <f t="shared" si="734"/>
        <v/>
      </c>
      <c r="AJ554" s="185" t="str">
        <f t="shared" si="743"/>
        <v/>
      </c>
      <c r="AK554" s="187" t="str">
        <f t="shared" si="735"/>
        <v/>
      </c>
      <c r="AL554" s="603"/>
      <c r="AM554" s="189"/>
      <c r="AN554" s="194"/>
      <c r="AO554" s="190"/>
      <c r="AP554" s="190"/>
      <c r="AQ554" s="191"/>
      <c r="AR554" s="194"/>
    </row>
    <row r="555" spans="1:44" s="605" customFormat="1" ht="69" hidden="1" customHeight="1" x14ac:dyDescent="0.25">
      <c r="A555" s="252"/>
      <c r="B555" s="246"/>
      <c r="C555" s="251"/>
      <c r="D555" s="251"/>
      <c r="E555" s="253"/>
      <c r="F555" s="254"/>
      <c r="G555" s="254"/>
      <c r="H555" s="255"/>
      <c r="I555" s="249"/>
      <c r="J555" s="249"/>
      <c r="K555" s="249"/>
      <c r="L555" s="249"/>
      <c r="M555" s="253"/>
      <c r="N555" s="251"/>
      <c r="O555" s="256"/>
      <c r="P555" s="610"/>
      <c r="Q555" s="611"/>
      <c r="R555" s="611"/>
      <c r="S555" s="611">
        <f ca="1">IF(NOT(ISERROR(MATCH(R555,_xlfn.ANCHORARRAY(H578),0))),Q580&amp;"Por favor no seleccionar los criterios de impacto",R555)</f>
        <v>0</v>
      </c>
      <c r="T555" s="610"/>
      <c r="U555" s="611"/>
      <c r="V555" s="252"/>
      <c r="W555" s="194">
        <v>5</v>
      </c>
      <c r="X555" s="192"/>
      <c r="Y555" s="194" t="str">
        <f t="shared" si="731"/>
        <v/>
      </c>
      <c r="Z555" s="188"/>
      <c r="AA555" s="188"/>
      <c r="AB555" s="185" t="str">
        <f t="shared" si="742"/>
        <v/>
      </c>
      <c r="AC555" s="188"/>
      <c r="AD555" s="188"/>
      <c r="AE555" s="188"/>
      <c r="AF555" s="602" t="str">
        <f t="shared" si="740"/>
        <v/>
      </c>
      <c r="AG555" s="186" t="str">
        <f t="shared" si="732"/>
        <v/>
      </c>
      <c r="AH555" s="185" t="str">
        <f t="shared" si="733"/>
        <v/>
      </c>
      <c r="AI555" s="186" t="str">
        <f t="shared" si="734"/>
        <v/>
      </c>
      <c r="AJ555" s="185" t="str">
        <f t="shared" si="743"/>
        <v/>
      </c>
      <c r="AK555" s="187" t="str">
        <f t="shared" si="735"/>
        <v/>
      </c>
      <c r="AL555" s="603"/>
      <c r="AM555" s="189"/>
      <c r="AN555" s="194"/>
      <c r="AO555" s="190"/>
      <c r="AP555" s="190"/>
      <c r="AQ555" s="191"/>
      <c r="AR555" s="194"/>
    </row>
    <row r="556" spans="1:44" s="605" customFormat="1" ht="69" hidden="1" customHeight="1" x14ac:dyDescent="0.25">
      <c r="A556" s="252"/>
      <c r="B556" s="247"/>
      <c r="C556" s="239"/>
      <c r="D556" s="239"/>
      <c r="E556" s="253"/>
      <c r="F556" s="254"/>
      <c r="G556" s="254"/>
      <c r="H556" s="255"/>
      <c r="I556" s="250"/>
      <c r="J556" s="250"/>
      <c r="K556" s="250"/>
      <c r="L556" s="250"/>
      <c r="M556" s="253"/>
      <c r="N556" s="239"/>
      <c r="O556" s="256"/>
      <c r="P556" s="610"/>
      <c r="Q556" s="611"/>
      <c r="R556" s="611"/>
      <c r="S556" s="611">
        <f ca="1">IF(NOT(ISERROR(MATCH(R556,_xlfn.ANCHORARRAY(H579),0))),Q581&amp;"Por favor no seleccionar los criterios de impacto",R556)</f>
        <v>0</v>
      </c>
      <c r="T556" s="610"/>
      <c r="U556" s="611"/>
      <c r="V556" s="252"/>
      <c r="W556" s="194">
        <v>6</v>
      </c>
      <c r="X556" s="192"/>
      <c r="Y556" s="194" t="str">
        <f t="shared" si="731"/>
        <v/>
      </c>
      <c r="Z556" s="188"/>
      <c r="AA556" s="188"/>
      <c r="AB556" s="185" t="str">
        <f t="shared" si="742"/>
        <v/>
      </c>
      <c r="AC556" s="188"/>
      <c r="AD556" s="188"/>
      <c r="AE556" s="188"/>
      <c r="AF556" s="602" t="str">
        <f t="shared" si="740"/>
        <v/>
      </c>
      <c r="AG556" s="186" t="str">
        <f t="shared" si="732"/>
        <v/>
      </c>
      <c r="AH556" s="185" t="str">
        <f t="shared" si="733"/>
        <v/>
      </c>
      <c r="AI556" s="186" t="str">
        <f t="shared" si="734"/>
        <v/>
      </c>
      <c r="AJ556" s="185" t="str">
        <f t="shared" si="743"/>
        <v/>
      </c>
      <c r="AK556" s="187" t="str">
        <f t="shared" si="735"/>
        <v/>
      </c>
      <c r="AL556" s="603"/>
      <c r="AM556" s="189"/>
      <c r="AN556" s="194"/>
      <c r="AO556" s="190"/>
      <c r="AP556" s="190"/>
      <c r="AQ556" s="191"/>
      <c r="AR556" s="194"/>
    </row>
    <row r="557" spans="1:44" s="605" customFormat="1" ht="260.25" customHeight="1" x14ac:dyDescent="0.25">
      <c r="A557" s="252">
        <v>91</v>
      </c>
      <c r="B557" s="245" t="s">
        <v>1169</v>
      </c>
      <c r="C557" s="238" t="s">
        <v>283</v>
      </c>
      <c r="D557" s="238" t="s">
        <v>1158</v>
      </c>
      <c r="E557" s="253" t="s">
        <v>241</v>
      </c>
      <c r="F557" s="254" t="s">
        <v>1170</v>
      </c>
      <c r="G557" s="254" t="s">
        <v>1171</v>
      </c>
      <c r="H557" s="255" t="s">
        <v>1172</v>
      </c>
      <c r="I557" s="248" t="s">
        <v>480</v>
      </c>
      <c r="J557" s="248" t="s">
        <v>480</v>
      </c>
      <c r="K557" s="248" t="s">
        <v>480</v>
      </c>
      <c r="L557" s="248" t="s">
        <v>480</v>
      </c>
      <c r="M557" s="253" t="s">
        <v>242</v>
      </c>
      <c r="N557" s="238"/>
      <c r="O557" s="256">
        <v>71</v>
      </c>
      <c r="P557" s="610" t="str">
        <f t="shared" ref="P557:P562" si="744">IF(O557&lt;=0,"",IF(O557&lt;=2,"Muy Baja",IF(O557&lt;=24,"Baja",IF(O557&lt;=500,"Media",IF(O557&lt;=5000,"Alta","Muy Alta")))))</f>
        <v>Media</v>
      </c>
      <c r="Q557" s="611">
        <f t="shared" ref="Q557:Q562" si="745">IF(P557="","",IF(P557="Muy Baja",0.2,IF(P557="Baja",0.4,IF(P557="Media",0.6,IF(P557="Alta",0.8,IF(P557="Muy Alta",1,))))))</f>
        <v>0.6</v>
      </c>
      <c r="R557" s="611" t="s">
        <v>190</v>
      </c>
      <c r="S557" s="611" t="str">
        <f ca="1">IF(NOT(ISERROR(MATCH(R557,'Tabla Impacto'!$B$221:$B$223,0))),'Tabla Impacto'!$F$223&amp;"Por favor no seleccionar los criterios de impacto(Afectación Económica o presupuestal y Pérdida Reputacional)",R557)</f>
        <v>El riesgo afecta la imagen de la entidad internamente, de conocimiento general, nivel interno, de junta dircetiva y accionistas y/o de provedores</v>
      </c>
      <c r="T557" s="610" t="str">
        <f ca="1">+IF(OR(S557='[1]Tabla Impacto'!$C$11,S557='[1]Tabla Impacto'!$D$11),"Leve",IF(OR(S557='[1]Tabla Impacto'!$C$12,S557='[1]Tabla Impacto'!$D$12),"Menor",IF(OR(S557='[1]Tabla Impacto'!$C$13,S557='[1]Tabla Impacto'!$D$13),"Moderado",IF(OR(S557='[1]Tabla Impacto'!$C$14,S557='[1]Tabla Impacto'!$D$14),"Mayor",IF(OR(S557='[1]Tabla Impacto'!$C$15,S557='[1]Tabla Impacto'!$D$15),"Catastrófico","")))))</f>
        <v>Menor</v>
      </c>
      <c r="U557" s="611">
        <f t="shared" ref="U557" ca="1" si="746">IF(T557="","",IF(T557="Leve",0.2,IF(T557="Menor",0.4,IF(T557="Moderado",0.6,IF(T557="Mayor",0.8,IF(T557="Catastrófico",1,))))))</f>
        <v>0.4</v>
      </c>
      <c r="V557" s="252" t="str">
        <f t="shared" ref="V557" ca="1" si="747">IF(OR(AND(P557="Muy Baja",T557="Leve"),AND(P557="Muy Baja",T557="Menor"),AND(P557="Baja",T557="Leve")),"Bajo",IF(OR(AND(P557="Muy baja",T557="Moderado"),AND(P557="Baja",T557="Menor"),AND(P557="Baja",T557="Moderado"),AND(P557="Media",T557="Leve"),AND(P557="Media",T557="Menor"),AND(P557="Media",T557="Moderado"),AND(P557="Alta",T557="Leve"),AND(P557="Alta",T557="Menor")),"Moderado",IF(OR(AND(P557="Muy Baja",T557="Mayor"),AND(P557="Baja",T557="Mayor"),AND(P557="Media",T557="Mayor"),AND(P557="Alta",T557="Moderado"),AND(P557="Alta",T557="Mayor"),AND(P557="Muy Alta",T557="Leve"),AND(P557="Muy Alta",T557="Menor"),AND(P557="Muy Alta",T557="Moderado"),AND(P557="Muy Alta",T557="Mayor")),"Alto",IF(OR(AND(P557="Muy Baja",T557="Catastrófico"),AND(P557="Baja",T557="Catastrófico"),AND(P557="Media",T557="Catastrófico"),AND(P557="Alta",T557="Catastrófico"),AND(P557="Muy Alta",T557="Catastrófico")),"Extremo",""))))</f>
        <v>Moderado</v>
      </c>
      <c r="W557" s="194">
        <v>1</v>
      </c>
      <c r="X557" s="192" t="s">
        <v>1173</v>
      </c>
      <c r="Y557" s="194" t="str">
        <f t="shared" si="731"/>
        <v>Probabilidad</v>
      </c>
      <c r="Z557" s="188" t="s">
        <v>211</v>
      </c>
      <c r="AA557" s="188" t="s">
        <v>219</v>
      </c>
      <c r="AB557" s="185" t="str">
        <f t="shared" si="742"/>
        <v>40%</v>
      </c>
      <c r="AC557" s="188" t="s">
        <v>222</v>
      </c>
      <c r="AD557" s="188" t="s">
        <v>227</v>
      </c>
      <c r="AE557" s="188" t="s">
        <v>231</v>
      </c>
      <c r="AF557" s="602">
        <f t="shared" ref="AF557" si="748">IFERROR(IF(Y557="Probabilidad",(Q557-(+Q557*AB557)),IF(Y557="Impacto",Q557,"")),"")</f>
        <v>0.36</v>
      </c>
      <c r="AG557" s="186" t="str">
        <f t="shared" ref="AG557:AG562" si="749">IFERROR(IF(AF557="","",IF(AF557&lt;=0.2,"Muy Baja",IF(AF557&lt;=0.4,"Baja",IF(AF557&lt;=0.6,"Media",IF(AF557&lt;=0.8,"Alta","Muy Alta"))))),"")</f>
        <v>Baja</v>
      </c>
      <c r="AH557" s="185">
        <f t="shared" ref="AH557:AH562" si="750">+AF557</f>
        <v>0.36</v>
      </c>
      <c r="AI557" s="186" t="str">
        <f t="shared" ref="AI557:AI562" ca="1" si="751">IFERROR(IF(AJ557="","",IF(AJ557&lt;=0.2,"Leve",IF(AJ557&lt;=0.4,"Menor",IF(AJ557&lt;=0.6,"Moderado",IF(AJ557&lt;=0.8,"Mayor","Catastrófico"))))),"")</f>
        <v>Menor</v>
      </c>
      <c r="AJ557" s="185">
        <f t="shared" ref="AJ557" ca="1" si="752">IFERROR(IF(Y557="Impacto",(U557-(+U557*AB557)),IF(Y557="Probabilidad",U557,"")),"")</f>
        <v>0.4</v>
      </c>
      <c r="AK557" s="187" t="str">
        <f t="shared" ref="AK557:AK562" ca="1" si="753">IFERROR(IF(OR(AND(AG557="Muy Baja",AI557="Leve"),AND(AG557="Muy Baja",AI557="Menor"),AND(AG557="Baja",AI557="Leve")),"Bajo",IF(OR(AND(AG557="Muy baja",AI557="Moderado"),AND(AG557="Baja",AI557="Menor"),AND(AG557="Baja",AI557="Moderado"),AND(AG557="Media",AI557="Leve"),AND(AG557="Media",AI557="Menor"),AND(AG557="Media",AI557="Moderado"),AND(AG557="Alta",AI557="Leve"),AND(AG557="Alta",AI557="Menor")),"Moderado",IF(OR(AND(AG557="Muy Baja",AI557="Mayor"),AND(AG557="Baja",AI557="Mayor"),AND(AG557="Media",AI557="Mayor"),AND(AG557="Alta",AI557="Moderado"),AND(AG557="Alta",AI557="Mayor"),AND(AG557="Muy Alta",AI557="Leve"),AND(AG557="Muy Alta",AI557="Menor"),AND(AG557="Muy Alta",AI557="Moderado"),AND(AG557="Muy Alta",AI557="Mayor")),"Alto",IF(OR(AND(AG557="Muy Baja",AI557="Catastrófico"),AND(AG557="Baja",AI557="Catastrófico"),AND(AG557="Media",AI557="Catastrófico"),AND(AG557="Alta",AI557="Catastrófico"),AND(AG557="Muy Alta",AI557="Catastrófico")),"Extremo","")))),"")</f>
        <v>Moderado</v>
      </c>
      <c r="AL557" s="603" t="s">
        <v>258</v>
      </c>
      <c r="AM557" s="189"/>
      <c r="AN557" s="194"/>
      <c r="AO557" s="190"/>
      <c r="AP557" s="190"/>
      <c r="AQ557" s="191"/>
      <c r="AR557" s="194"/>
    </row>
    <row r="558" spans="1:44" s="605" customFormat="1" ht="69" hidden="1" customHeight="1" x14ac:dyDescent="0.25">
      <c r="A558" s="252"/>
      <c r="B558" s="246"/>
      <c r="C558" s="251"/>
      <c r="D558" s="251"/>
      <c r="E558" s="253"/>
      <c r="F558" s="254"/>
      <c r="G558" s="254"/>
      <c r="H558" s="255"/>
      <c r="I558" s="249"/>
      <c r="J558" s="249"/>
      <c r="K558" s="249"/>
      <c r="L558" s="249"/>
      <c r="M558" s="253"/>
      <c r="N558" s="251"/>
      <c r="O558" s="256"/>
      <c r="P558" s="610"/>
      <c r="Q558" s="611"/>
      <c r="R558" s="611"/>
      <c r="S558" s="611">
        <f ca="1">IF(NOT(ISERROR(MATCH(R558,_xlfn.ANCHORARRAY(H581),0))),Q583&amp;"Por favor no seleccionar los criterios de impacto",R558)</f>
        <v>0</v>
      </c>
      <c r="T558" s="610"/>
      <c r="U558" s="611"/>
      <c r="V558" s="252"/>
      <c r="W558" s="194">
        <v>2</v>
      </c>
      <c r="X558" s="640"/>
      <c r="Y558" s="194" t="str">
        <f t="shared" si="731"/>
        <v/>
      </c>
      <c r="Z558" s="188"/>
      <c r="AA558" s="188"/>
      <c r="AB558" s="185" t="str">
        <f t="shared" ref="AB557:AB568" si="754">IF(AND(Z558="Preventivo",AA558="Automático"),"50%",IF(AND(Z558="Preventivo",AA558="Manual"),"40%",IF(AND(Z558="Detectivo",AA558="Automático"),"40%",IF(AND(Z558="Detectivo",AA558="Manual"),"30%",IF(AND(Z558="Correctivo",AA558="Automático"),"35%",IF(AND(Z558="Correctivo",AA558="Manual"),"25%",""))))))</f>
        <v/>
      </c>
      <c r="AC558" s="188"/>
      <c r="AD558" s="188"/>
      <c r="AE558" s="188"/>
      <c r="AF558" s="602" t="str">
        <f t="shared" si="740"/>
        <v/>
      </c>
      <c r="AG558" s="186" t="str">
        <f t="shared" si="749"/>
        <v/>
      </c>
      <c r="AH558" s="185" t="str">
        <f t="shared" si="750"/>
        <v/>
      </c>
      <c r="AI558" s="186" t="str">
        <f t="shared" si="751"/>
        <v/>
      </c>
      <c r="AJ558" s="185" t="str">
        <f t="shared" ref="AJ558" si="755">IFERROR(IF(AND(Y557="Impacto",Y558="Impacto"),(AJ557-(+AJ557*AB558)),IF(Y558="Impacto",(U557-(+U557*AB558)),IF(Y558="Probabilidad",AJ557,""))),"")</f>
        <v/>
      </c>
      <c r="AK558" s="187" t="str">
        <f t="shared" si="753"/>
        <v/>
      </c>
      <c r="AL558" s="603"/>
      <c r="AM558" s="189"/>
      <c r="AN558" s="194"/>
      <c r="AO558" s="190"/>
      <c r="AP558" s="190"/>
      <c r="AQ558" s="191"/>
      <c r="AR558" s="194"/>
    </row>
    <row r="559" spans="1:44" s="605" customFormat="1" ht="69" hidden="1" customHeight="1" x14ac:dyDescent="0.25">
      <c r="A559" s="252"/>
      <c r="B559" s="246"/>
      <c r="C559" s="251"/>
      <c r="D559" s="251"/>
      <c r="E559" s="253"/>
      <c r="F559" s="254"/>
      <c r="G559" s="254"/>
      <c r="H559" s="255"/>
      <c r="I559" s="249"/>
      <c r="J559" s="249"/>
      <c r="K559" s="249"/>
      <c r="L559" s="249"/>
      <c r="M559" s="253"/>
      <c r="N559" s="251"/>
      <c r="O559" s="256"/>
      <c r="P559" s="610"/>
      <c r="Q559" s="611"/>
      <c r="R559" s="611"/>
      <c r="S559" s="611">
        <f ca="1">IF(NOT(ISERROR(MATCH(R559,_xlfn.ANCHORARRAY(H582),0))),Q584&amp;"Por favor no seleccionar los criterios de impacto",R559)</f>
        <v>0</v>
      </c>
      <c r="T559" s="610"/>
      <c r="U559" s="611"/>
      <c r="V559" s="252"/>
      <c r="W559" s="194">
        <v>3</v>
      </c>
      <c r="X559" s="640"/>
      <c r="Y559" s="194" t="str">
        <f t="shared" si="731"/>
        <v/>
      </c>
      <c r="Z559" s="188"/>
      <c r="AA559" s="188"/>
      <c r="AB559" s="185" t="str">
        <f t="shared" si="754"/>
        <v/>
      </c>
      <c r="AC559" s="188"/>
      <c r="AD559" s="188"/>
      <c r="AE559" s="188"/>
      <c r="AF559" s="602" t="str">
        <f t="shared" si="740"/>
        <v/>
      </c>
      <c r="AG559" s="186" t="str">
        <f t="shared" si="749"/>
        <v/>
      </c>
      <c r="AH559" s="185" t="str">
        <f t="shared" si="750"/>
        <v/>
      </c>
      <c r="AI559" s="186" t="str">
        <f t="shared" si="751"/>
        <v/>
      </c>
      <c r="AJ559" s="185" t="str">
        <f t="shared" ref="AJ559:AJ562" si="756">IFERROR(IF(AND(Y558="Impacto",Y559="Impacto"),(AJ558-(+AJ558*AB559)),IF(AND(Y558="Probabilidad",Y559="Impacto"),(AJ557-(+AJ557*AB559)),IF(Y559="Probabilidad",AJ558,""))),"")</f>
        <v/>
      </c>
      <c r="AK559" s="187" t="str">
        <f t="shared" si="753"/>
        <v/>
      </c>
      <c r="AL559" s="603"/>
      <c r="AM559" s="189"/>
      <c r="AN559" s="194"/>
      <c r="AO559" s="190"/>
      <c r="AP559" s="190"/>
      <c r="AQ559" s="191"/>
      <c r="AR559" s="194"/>
    </row>
    <row r="560" spans="1:44" s="605" customFormat="1" ht="69" hidden="1" customHeight="1" x14ac:dyDescent="0.25">
      <c r="A560" s="252"/>
      <c r="B560" s="246"/>
      <c r="C560" s="251"/>
      <c r="D560" s="251"/>
      <c r="E560" s="253"/>
      <c r="F560" s="254"/>
      <c r="G560" s="254"/>
      <c r="H560" s="255"/>
      <c r="I560" s="249"/>
      <c r="J560" s="249"/>
      <c r="K560" s="249"/>
      <c r="L560" s="249"/>
      <c r="M560" s="253"/>
      <c r="N560" s="251"/>
      <c r="O560" s="256"/>
      <c r="P560" s="610"/>
      <c r="Q560" s="611"/>
      <c r="R560" s="611"/>
      <c r="S560" s="611">
        <f ca="1">IF(NOT(ISERROR(MATCH(R560,_xlfn.ANCHORARRAY(H583),0))),Q585&amp;"Por favor no seleccionar los criterios de impacto",R560)</f>
        <v>0</v>
      </c>
      <c r="T560" s="610"/>
      <c r="U560" s="611"/>
      <c r="V560" s="252"/>
      <c r="W560" s="194">
        <v>4</v>
      </c>
      <c r="X560" s="640"/>
      <c r="Y560" s="194" t="str">
        <f t="shared" si="731"/>
        <v/>
      </c>
      <c r="Z560" s="188"/>
      <c r="AA560" s="188"/>
      <c r="AB560" s="185" t="str">
        <f t="shared" si="754"/>
        <v/>
      </c>
      <c r="AC560" s="188"/>
      <c r="AD560" s="188"/>
      <c r="AE560" s="188"/>
      <c r="AF560" s="602" t="str">
        <f t="shared" si="740"/>
        <v/>
      </c>
      <c r="AG560" s="186" t="str">
        <f t="shared" si="749"/>
        <v/>
      </c>
      <c r="AH560" s="185" t="str">
        <f t="shared" si="750"/>
        <v/>
      </c>
      <c r="AI560" s="186" t="str">
        <f t="shared" si="751"/>
        <v/>
      </c>
      <c r="AJ560" s="185" t="str">
        <f t="shared" si="756"/>
        <v/>
      </c>
      <c r="AK560" s="187" t="str">
        <f t="shared" si="753"/>
        <v/>
      </c>
      <c r="AL560" s="603"/>
      <c r="AM560" s="189"/>
      <c r="AN560" s="194"/>
      <c r="AO560" s="190"/>
      <c r="AP560" s="190"/>
      <c r="AQ560" s="191"/>
      <c r="AR560" s="194"/>
    </row>
    <row r="561" spans="1:44" s="605" customFormat="1" ht="69" hidden="1" customHeight="1" x14ac:dyDescent="0.25">
      <c r="A561" s="252"/>
      <c r="B561" s="246"/>
      <c r="C561" s="251"/>
      <c r="D561" s="251"/>
      <c r="E561" s="253"/>
      <c r="F561" s="254"/>
      <c r="G561" s="254"/>
      <c r="H561" s="255"/>
      <c r="I561" s="249"/>
      <c r="J561" s="249"/>
      <c r="K561" s="249"/>
      <c r="L561" s="249"/>
      <c r="M561" s="253"/>
      <c r="N561" s="251"/>
      <c r="O561" s="256"/>
      <c r="P561" s="610"/>
      <c r="Q561" s="611"/>
      <c r="R561" s="611"/>
      <c r="S561" s="611">
        <f ca="1">IF(NOT(ISERROR(MATCH(R561,_xlfn.ANCHORARRAY(H584),0))),Q586&amp;"Por favor no seleccionar los criterios de impacto",R561)</f>
        <v>0</v>
      </c>
      <c r="T561" s="610"/>
      <c r="U561" s="611"/>
      <c r="V561" s="252"/>
      <c r="W561" s="194">
        <v>5</v>
      </c>
      <c r="X561" s="640"/>
      <c r="Y561" s="194" t="str">
        <f t="shared" si="731"/>
        <v/>
      </c>
      <c r="Z561" s="188"/>
      <c r="AA561" s="188"/>
      <c r="AB561" s="185" t="str">
        <f t="shared" si="754"/>
        <v/>
      </c>
      <c r="AC561" s="188"/>
      <c r="AD561" s="188"/>
      <c r="AE561" s="188"/>
      <c r="AF561" s="602" t="str">
        <f t="shared" si="740"/>
        <v/>
      </c>
      <c r="AG561" s="186" t="str">
        <f t="shared" si="749"/>
        <v/>
      </c>
      <c r="AH561" s="185" t="str">
        <f t="shared" si="750"/>
        <v/>
      </c>
      <c r="AI561" s="186" t="str">
        <f t="shared" si="751"/>
        <v/>
      </c>
      <c r="AJ561" s="185" t="str">
        <f t="shared" si="756"/>
        <v/>
      </c>
      <c r="AK561" s="187" t="str">
        <f t="shared" si="753"/>
        <v/>
      </c>
      <c r="AL561" s="603"/>
      <c r="AM561" s="189"/>
      <c r="AN561" s="194"/>
      <c r="AO561" s="190"/>
      <c r="AP561" s="190"/>
      <c r="AQ561" s="191"/>
      <c r="AR561" s="194"/>
    </row>
    <row r="562" spans="1:44" s="605" customFormat="1" ht="69" hidden="1" customHeight="1" x14ac:dyDescent="0.25">
      <c r="A562" s="252"/>
      <c r="B562" s="247"/>
      <c r="C562" s="239"/>
      <c r="D562" s="239"/>
      <c r="E562" s="253"/>
      <c r="F562" s="254"/>
      <c r="G562" s="254"/>
      <c r="H562" s="255"/>
      <c r="I562" s="250"/>
      <c r="J562" s="250"/>
      <c r="K562" s="250"/>
      <c r="L562" s="250"/>
      <c r="M562" s="253"/>
      <c r="N562" s="239"/>
      <c r="O562" s="256"/>
      <c r="P562" s="610"/>
      <c r="Q562" s="611"/>
      <c r="R562" s="611"/>
      <c r="S562" s="611">
        <f ca="1">IF(NOT(ISERROR(MATCH(R562,_xlfn.ANCHORARRAY(H585),0))),Q587&amp;"Por favor no seleccionar los criterios de impacto",R562)</f>
        <v>0</v>
      </c>
      <c r="T562" s="610"/>
      <c r="U562" s="611"/>
      <c r="V562" s="252"/>
      <c r="W562" s="194">
        <v>6</v>
      </c>
      <c r="X562" s="640"/>
      <c r="Y562" s="194" t="str">
        <f t="shared" si="731"/>
        <v/>
      </c>
      <c r="Z562" s="188"/>
      <c r="AA562" s="188"/>
      <c r="AB562" s="185" t="str">
        <f t="shared" si="754"/>
        <v/>
      </c>
      <c r="AC562" s="188"/>
      <c r="AD562" s="188"/>
      <c r="AE562" s="188"/>
      <c r="AF562" s="602" t="str">
        <f t="shared" si="740"/>
        <v/>
      </c>
      <c r="AG562" s="186" t="str">
        <f t="shared" si="749"/>
        <v/>
      </c>
      <c r="AH562" s="185" t="str">
        <f t="shared" si="750"/>
        <v/>
      </c>
      <c r="AI562" s="186" t="str">
        <f t="shared" si="751"/>
        <v/>
      </c>
      <c r="AJ562" s="185" t="str">
        <f t="shared" si="756"/>
        <v/>
      </c>
      <c r="AK562" s="187" t="str">
        <f t="shared" si="753"/>
        <v/>
      </c>
      <c r="AL562" s="603"/>
      <c r="AM562" s="189"/>
      <c r="AN562" s="194"/>
      <c r="AO562" s="190"/>
      <c r="AP562" s="190"/>
      <c r="AQ562" s="191"/>
      <c r="AR562" s="194"/>
    </row>
    <row r="563" spans="1:44" s="605" customFormat="1" ht="225.75" customHeight="1" x14ac:dyDescent="0.25">
      <c r="A563" s="252">
        <v>92</v>
      </c>
      <c r="B563" s="245" t="s">
        <v>1174</v>
      </c>
      <c r="C563" s="238" t="s">
        <v>283</v>
      </c>
      <c r="D563" s="238" t="s">
        <v>1158</v>
      </c>
      <c r="E563" s="253" t="s">
        <v>243</v>
      </c>
      <c r="F563" s="254" t="s">
        <v>1023</v>
      </c>
      <c r="G563" s="254" t="s">
        <v>1175</v>
      </c>
      <c r="H563" s="255" t="s">
        <v>1176</v>
      </c>
      <c r="I563" s="248" t="s">
        <v>688</v>
      </c>
      <c r="J563" s="248" t="s">
        <v>688</v>
      </c>
      <c r="K563" s="248" t="s">
        <v>688</v>
      </c>
      <c r="L563" s="248" t="s">
        <v>688</v>
      </c>
      <c r="M563" s="616" t="s">
        <v>247</v>
      </c>
      <c r="N563" s="238"/>
      <c r="O563" s="256">
        <v>71</v>
      </c>
      <c r="P563" s="610" t="str">
        <f t="shared" ref="P563:P568" si="757">IF(O563&lt;=0,"",IF(O563&lt;=2,"Muy Baja",IF(O563&lt;=24,"Baja",IF(O563&lt;=500,"Media",IF(O563&lt;=5000,"Alta","Muy Alta")))))</f>
        <v>Media</v>
      </c>
      <c r="Q563" s="611">
        <f t="shared" ref="Q563:Q568" si="758">IF(P563="","",IF(P563="Muy Baja",0.2,IF(P563="Baja",0.4,IF(P563="Media",0.6,IF(P563="Alta",0.8,IF(P563="Muy Alta",1,))))))</f>
        <v>0.6</v>
      </c>
      <c r="R563" s="611" t="s">
        <v>196</v>
      </c>
      <c r="S563" s="611" t="str">
        <f ca="1">IF(NOT(ISERROR(MATCH(R563,'Tabla Impacto'!$B$221:$B$223,0))),'Tabla Impacto'!$F$223&amp;"Por favor no seleccionar los criterios de impacto(Afectación Económica o presupuestal y Pérdida Reputacional)",R563)</f>
        <v>El riesgo afecta la imagen de de la entidad con efecto publicitario sostenido a nivel de sector administrativo, nivel departamental o municipal</v>
      </c>
      <c r="T563" s="610" t="str">
        <f ca="1">+IF(OR(S563='[1]Tabla Impacto'!$C$11,S563='[1]Tabla Impacto'!$D$11),"Leve",IF(OR(S563='[1]Tabla Impacto'!$C$12,S563='[1]Tabla Impacto'!$D$12),"Menor",IF(OR(S563='[1]Tabla Impacto'!$C$13,S563='[1]Tabla Impacto'!$D$13),"Moderado",IF(OR(S563='[1]Tabla Impacto'!$C$14,S563='[1]Tabla Impacto'!$D$14),"Mayor",IF(OR(S563='[1]Tabla Impacto'!$C$15,S563='[1]Tabla Impacto'!$D$15),"Catastrófico","")))))</f>
        <v>Mayor</v>
      </c>
      <c r="U563" s="611">
        <f t="shared" ref="U563" ca="1" si="759">IF(T563="","",IF(T563="Leve",0.2,IF(T563="Menor",0.4,IF(T563="Moderado",0.6,IF(T563="Mayor",0.8,IF(T563="Catastrófico",1,))))))</f>
        <v>0.8</v>
      </c>
      <c r="V563" s="252" t="str">
        <f t="shared" ref="V563" ca="1" si="760">IF(OR(AND(P563="Muy Baja",T563="Leve"),AND(P563="Muy Baja",T563="Menor"),AND(P563="Baja",T563="Leve")),"Bajo",IF(OR(AND(P563="Muy baja",T563="Moderado"),AND(P563="Baja",T563="Menor"),AND(P563="Baja",T563="Moderado"),AND(P563="Media",T563="Leve"),AND(P563="Media",T563="Menor"),AND(P563="Media",T563="Moderado"),AND(P563="Alta",T563="Leve"),AND(P563="Alta",T563="Menor")),"Moderado",IF(OR(AND(P563="Muy Baja",T563="Mayor"),AND(P563="Baja",T563="Mayor"),AND(P563="Media",T563="Mayor"),AND(P563="Alta",T563="Moderado"),AND(P563="Alta",T563="Mayor"),AND(P563="Muy Alta",T563="Leve"),AND(P563="Muy Alta",T563="Menor"),AND(P563="Muy Alta",T563="Moderado"),AND(P563="Muy Alta",T563="Mayor")),"Alto",IF(OR(AND(P563="Muy Baja",T563="Catastrófico"),AND(P563="Baja",T563="Catastrófico"),AND(P563="Media",T563="Catastrófico"),AND(P563="Alta",T563="Catastrófico"),AND(P563="Muy Alta",T563="Catastrófico")),"Extremo",""))))</f>
        <v>Alto</v>
      </c>
      <c r="W563" s="194">
        <v>1</v>
      </c>
      <c r="X563" s="192" t="s">
        <v>1177</v>
      </c>
      <c r="Y563" s="194" t="str">
        <f t="shared" si="731"/>
        <v>Probabilidad</v>
      </c>
      <c r="Z563" s="188" t="s">
        <v>211</v>
      </c>
      <c r="AA563" s="188" t="s">
        <v>219</v>
      </c>
      <c r="AB563" s="185" t="str">
        <f t="shared" si="754"/>
        <v>40%</v>
      </c>
      <c r="AC563" s="188" t="s">
        <v>222</v>
      </c>
      <c r="AD563" s="188" t="s">
        <v>227</v>
      </c>
      <c r="AE563" s="188" t="s">
        <v>231</v>
      </c>
      <c r="AF563" s="602">
        <f t="shared" ref="AF563" si="761">IFERROR(IF(Y563="Probabilidad",(Q563-(+Q563*AB563)),IF(Y563="Impacto",Q563,"")),"")</f>
        <v>0.36</v>
      </c>
      <c r="AG563" s="186" t="str">
        <f t="shared" ref="AG563:AG568" si="762">IFERROR(IF(AF563="","",IF(AF563&lt;=0.2,"Muy Baja",IF(AF563&lt;=0.4,"Baja",IF(AF563&lt;=0.6,"Media",IF(AF563&lt;=0.8,"Alta","Muy Alta"))))),"")</f>
        <v>Baja</v>
      </c>
      <c r="AH563" s="185">
        <f t="shared" ref="AH563:AH568" si="763">+AF563</f>
        <v>0.36</v>
      </c>
      <c r="AI563" s="186" t="str">
        <f t="shared" ref="AI563:AI568" ca="1" si="764">IFERROR(IF(AJ563="","",IF(AJ563&lt;=0.2,"Leve",IF(AJ563&lt;=0.4,"Menor",IF(AJ563&lt;=0.6,"Moderado",IF(AJ563&lt;=0.8,"Mayor","Catastrófico"))))),"")</f>
        <v>Mayor</v>
      </c>
      <c r="AJ563" s="185">
        <f t="shared" ref="AJ563" ca="1" si="765">IFERROR(IF(Y563="Impacto",(U563-(+U563*AB563)),IF(Y563="Probabilidad",U563,"")),"")</f>
        <v>0.8</v>
      </c>
      <c r="AK563" s="187" t="str">
        <f t="shared" ref="AK563:AK568" ca="1" si="766">IFERROR(IF(OR(AND(AG563="Muy Baja",AI563="Leve"),AND(AG563="Muy Baja",AI563="Menor"),AND(AG563="Baja",AI563="Leve")),"Bajo",IF(OR(AND(AG563="Muy baja",AI563="Moderado"),AND(AG563="Baja",AI563="Menor"),AND(AG563="Baja",AI563="Moderado"),AND(AG563="Media",AI563="Leve"),AND(AG563="Media",AI563="Menor"),AND(AG563="Media",AI563="Moderado"),AND(AG563="Alta",AI563="Leve"),AND(AG563="Alta",AI563="Menor")),"Moderado",IF(OR(AND(AG563="Muy Baja",AI563="Mayor"),AND(AG563="Baja",AI563="Mayor"),AND(AG563="Media",AI563="Mayor"),AND(AG563="Alta",AI563="Moderado"),AND(AG563="Alta",AI563="Mayor"),AND(AG563="Muy Alta",AI563="Leve"),AND(AG563="Muy Alta",AI563="Menor"),AND(AG563="Muy Alta",AI563="Moderado"),AND(AG563="Muy Alta",AI563="Mayor")),"Alto",IF(OR(AND(AG563="Muy Baja",AI563="Catastrófico"),AND(AG563="Baja",AI563="Catastrófico"),AND(AG563="Media",AI563="Catastrófico"),AND(AG563="Alta",AI563="Catastrófico"),AND(AG563="Muy Alta",AI563="Catastrófico")),"Extremo","")))),"")</f>
        <v>Alto</v>
      </c>
      <c r="AL563" s="603" t="s">
        <v>265</v>
      </c>
      <c r="AM563" s="189" t="s">
        <v>1179</v>
      </c>
      <c r="AN563" s="194" t="s">
        <v>1180</v>
      </c>
      <c r="AO563" s="190">
        <v>45293</v>
      </c>
      <c r="AP563" s="190" t="s">
        <v>564</v>
      </c>
      <c r="AQ563" s="191" t="s">
        <v>1181</v>
      </c>
      <c r="AR563" s="194" t="s">
        <v>262</v>
      </c>
    </row>
    <row r="564" spans="1:44" s="605" customFormat="1" ht="251.25" customHeight="1" x14ac:dyDescent="0.25">
      <c r="A564" s="252"/>
      <c r="B564" s="246"/>
      <c r="C564" s="251"/>
      <c r="D564" s="251"/>
      <c r="E564" s="253"/>
      <c r="F564" s="254"/>
      <c r="G564" s="254"/>
      <c r="H564" s="255"/>
      <c r="I564" s="249"/>
      <c r="J564" s="249"/>
      <c r="K564" s="249"/>
      <c r="L564" s="249"/>
      <c r="M564" s="616"/>
      <c r="N564" s="251"/>
      <c r="O564" s="256"/>
      <c r="P564" s="610"/>
      <c r="Q564" s="611"/>
      <c r="R564" s="611"/>
      <c r="S564" s="611">
        <f ca="1">IF(NOT(ISERROR(MATCH(R564,_xlfn.ANCHORARRAY(H587),0))),Q589&amp;"Por favor no seleccionar los criterios de impacto",R564)</f>
        <v>0</v>
      </c>
      <c r="T564" s="610"/>
      <c r="U564" s="611"/>
      <c r="V564" s="252"/>
      <c r="W564" s="194">
        <v>2</v>
      </c>
      <c r="X564" s="192" t="s">
        <v>1178</v>
      </c>
      <c r="Y564" s="194" t="str">
        <f t="shared" si="731"/>
        <v>Probabilidad</v>
      </c>
      <c r="Z564" s="188" t="s">
        <v>211</v>
      </c>
      <c r="AA564" s="188" t="s">
        <v>219</v>
      </c>
      <c r="AB564" s="185" t="str">
        <f t="shared" si="754"/>
        <v>40%</v>
      </c>
      <c r="AC564" s="188" t="s">
        <v>222</v>
      </c>
      <c r="AD564" s="188" t="s">
        <v>227</v>
      </c>
      <c r="AE564" s="188" t="s">
        <v>231</v>
      </c>
      <c r="AF564" s="602">
        <f t="shared" si="740"/>
        <v>0.216</v>
      </c>
      <c r="AG564" s="186" t="str">
        <f t="shared" si="762"/>
        <v>Baja</v>
      </c>
      <c r="AH564" s="185">
        <f t="shared" si="763"/>
        <v>0.216</v>
      </c>
      <c r="AI564" s="186" t="str">
        <f t="shared" ca="1" si="764"/>
        <v>Mayor</v>
      </c>
      <c r="AJ564" s="185">
        <f t="shared" ref="AJ564" ca="1" si="767">IFERROR(IF(AND(Y563="Impacto",Y564="Impacto"),(AJ563-(+AJ563*AB564)),IF(Y564="Impacto",(U563-(+U563*AB564)),IF(Y564="Probabilidad",AJ563,""))),"")</f>
        <v>0.8</v>
      </c>
      <c r="AK564" s="187" t="str">
        <f t="shared" ca="1" si="766"/>
        <v>Alto</v>
      </c>
      <c r="AL564" s="603" t="s">
        <v>265</v>
      </c>
      <c r="AM564" s="189" t="s">
        <v>1182</v>
      </c>
      <c r="AN564" s="194" t="s">
        <v>1180</v>
      </c>
      <c r="AO564" s="190">
        <v>45294</v>
      </c>
      <c r="AP564" s="190" t="s">
        <v>564</v>
      </c>
      <c r="AQ564" s="191" t="s">
        <v>1183</v>
      </c>
      <c r="AR564" s="194" t="s">
        <v>262</v>
      </c>
    </row>
    <row r="565" spans="1:44" s="605" customFormat="1" ht="69" hidden="1" customHeight="1" x14ac:dyDescent="0.25">
      <c r="A565" s="252"/>
      <c r="B565" s="246"/>
      <c r="C565" s="251"/>
      <c r="D565" s="251"/>
      <c r="E565" s="253"/>
      <c r="F565" s="254"/>
      <c r="G565" s="254"/>
      <c r="H565" s="255"/>
      <c r="I565" s="249"/>
      <c r="J565" s="249"/>
      <c r="K565" s="249"/>
      <c r="L565" s="249"/>
      <c r="M565" s="616"/>
      <c r="N565" s="251"/>
      <c r="O565" s="256"/>
      <c r="P565" s="610"/>
      <c r="Q565" s="611"/>
      <c r="R565" s="611"/>
      <c r="S565" s="611">
        <f ca="1">IF(NOT(ISERROR(MATCH(R565,_xlfn.ANCHORARRAY(H588),0))),Q590&amp;"Por favor no seleccionar los criterios de impacto",R565)</f>
        <v>0</v>
      </c>
      <c r="T565" s="610"/>
      <c r="U565" s="611"/>
      <c r="V565" s="252"/>
      <c r="W565" s="194">
        <v>3</v>
      </c>
      <c r="X565" s="640"/>
      <c r="Y565" s="194" t="str">
        <f t="shared" si="731"/>
        <v/>
      </c>
      <c r="Z565" s="188"/>
      <c r="AA565" s="188"/>
      <c r="AB565" s="185" t="str">
        <f t="shared" si="754"/>
        <v/>
      </c>
      <c r="AC565" s="188"/>
      <c r="AD565" s="188"/>
      <c r="AE565" s="188"/>
      <c r="AF565" s="602" t="str">
        <f t="shared" si="740"/>
        <v/>
      </c>
      <c r="AG565" s="186" t="str">
        <f t="shared" si="762"/>
        <v/>
      </c>
      <c r="AH565" s="185" t="str">
        <f t="shared" si="763"/>
        <v/>
      </c>
      <c r="AI565" s="186" t="str">
        <f t="shared" si="764"/>
        <v/>
      </c>
      <c r="AJ565" s="185" t="str">
        <f t="shared" ref="AJ565:AJ568" si="768">IFERROR(IF(AND(Y564="Impacto",Y565="Impacto"),(AJ564-(+AJ564*AB565)),IF(AND(Y564="Probabilidad",Y565="Impacto"),(AJ563-(+AJ563*AB565)),IF(Y565="Probabilidad",AJ564,""))),"")</f>
        <v/>
      </c>
      <c r="AK565" s="187" t="str">
        <f t="shared" si="766"/>
        <v/>
      </c>
      <c r="AL565" s="603"/>
      <c r="AM565" s="189"/>
      <c r="AN565" s="194"/>
      <c r="AO565" s="190"/>
      <c r="AP565" s="190"/>
      <c r="AQ565" s="191"/>
      <c r="AR565" s="194"/>
    </row>
    <row r="566" spans="1:44" s="605" customFormat="1" ht="69" hidden="1" customHeight="1" x14ac:dyDescent="0.25">
      <c r="A566" s="252"/>
      <c r="B566" s="246"/>
      <c r="C566" s="251"/>
      <c r="D566" s="251"/>
      <c r="E566" s="253"/>
      <c r="F566" s="254"/>
      <c r="G566" s="254"/>
      <c r="H566" s="255"/>
      <c r="I566" s="249"/>
      <c r="J566" s="249"/>
      <c r="K566" s="249"/>
      <c r="L566" s="249"/>
      <c r="M566" s="616"/>
      <c r="N566" s="251"/>
      <c r="O566" s="256"/>
      <c r="P566" s="610"/>
      <c r="Q566" s="611"/>
      <c r="R566" s="611"/>
      <c r="S566" s="611">
        <f ca="1">IF(NOT(ISERROR(MATCH(R566,_xlfn.ANCHORARRAY(H589),0))),Q591&amp;"Por favor no seleccionar los criterios de impacto",R566)</f>
        <v>0</v>
      </c>
      <c r="T566" s="610"/>
      <c r="U566" s="611"/>
      <c r="V566" s="252"/>
      <c r="W566" s="194">
        <v>4</v>
      </c>
      <c r="X566" s="640"/>
      <c r="Y566" s="194" t="str">
        <f t="shared" si="731"/>
        <v/>
      </c>
      <c r="Z566" s="188"/>
      <c r="AA566" s="188"/>
      <c r="AB566" s="185" t="str">
        <f t="shared" si="754"/>
        <v/>
      </c>
      <c r="AC566" s="188"/>
      <c r="AD566" s="188"/>
      <c r="AE566" s="188"/>
      <c r="AF566" s="602" t="str">
        <f t="shared" si="740"/>
        <v/>
      </c>
      <c r="AG566" s="186" t="str">
        <f t="shared" si="762"/>
        <v/>
      </c>
      <c r="AH566" s="185" t="str">
        <f t="shared" si="763"/>
        <v/>
      </c>
      <c r="AI566" s="186" t="str">
        <f t="shared" si="764"/>
        <v/>
      </c>
      <c r="AJ566" s="185" t="str">
        <f t="shared" si="768"/>
        <v/>
      </c>
      <c r="AK566" s="187" t="str">
        <f t="shared" si="766"/>
        <v/>
      </c>
      <c r="AL566" s="603"/>
      <c r="AM566" s="189"/>
      <c r="AN566" s="194"/>
      <c r="AO566" s="190"/>
      <c r="AP566" s="190"/>
      <c r="AQ566" s="191"/>
      <c r="AR566" s="194"/>
    </row>
    <row r="567" spans="1:44" s="605" customFormat="1" ht="69" hidden="1" customHeight="1" x14ac:dyDescent="0.25">
      <c r="A567" s="252"/>
      <c r="B567" s="246"/>
      <c r="C567" s="251"/>
      <c r="D567" s="251"/>
      <c r="E567" s="253"/>
      <c r="F567" s="254"/>
      <c r="G567" s="254"/>
      <c r="H567" s="255"/>
      <c r="I567" s="249"/>
      <c r="J567" s="249"/>
      <c r="K567" s="249"/>
      <c r="L567" s="249"/>
      <c r="M567" s="616"/>
      <c r="N567" s="251"/>
      <c r="O567" s="256"/>
      <c r="P567" s="610"/>
      <c r="Q567" s="611"/>
      <c r="R567" s="611"/>
      <c r="S567" s="611">
        <f ca="1">IF(NOT(ISERROR(MATCH(R567,_xlfn.ANCHORARRAY(H590),0))),Q592&amp;"Por favor no seleccionar los criterios de impacto",R567)</f>
        <v>0</v>
      </c>
      <c r="T567" s="610"/>
      <c r="U567" s="611"/>
      <c r="V567" s="252"/>
      <c r="W567" s="194">
        <v>5</v>
      </c>
      <c r="X567" s="640"/>
      <c r="Y567" s="194" t="str">
        <f t="shared" si="731"/>
        <v/>
      </c>
      <c r="Z567" s="188"/>
      <c r="AA567" s="188"/>
      <c r="AB567" s="185" t="str">
        <f t="shared" si="754"/>
        <v/>
      </c>
      <c r="AC567" s="188"/>
      <c r="AD567" s="188"/>
      <c r="AE567" s="188"/>
      <c r="AF567" s="602" t="str">
        <f t="shared" si="740"/>
        <v/>
      </c>
      <c r="AG567" s="186" t="str">
        <f t="shared" si="762"/>
        <v/>
      </c>
      <c r="AH567" s="185" t="str">
        <f t="shared" si="763"/>
        <v/>
      </c>
      <c r="AI567" s="186" t="str">
        <f t="shared" si="764"/>
        <v/>
      </c>
      <c r="AJ567" s="185" t="str">
        <f t="shared" si="768"/>
        <v/>
      </c>
      <c r="AK567" s="187" t="str">
        <f t="shared" si="766"/>
        <v/>
      </c>
      <c r="AL567" s="603"/>
      <c r="AM567" s="189"/>
      <c r="AN567" s="194"/>
      <c r="AO567" s="190"/>
      <c r="AP567" s="190"/>
      <c r="AQ567" s="191"/>
      <c r="AR567" s="194"/>
    </row>
    <row r="568" spans="1:44" s="605" customFormat="1" ht="69" hidden="1" customHeight="1" x14ac:dyDescent="0.25">
      <c r="A568" s="252"/>
      <c r="B568" s="247"/>
      <c r="C568" s="239"/>
      <c r="D568" s="239"/>
      <c r="E568" s="253"/>
      <c r="F568" s="254"/>
      <c r="G568" s="254"/>
      <c r="H568" s="255"/>
      <c r="I568" s="250"/>
      <c r="J568" s="250"/>
      <c r="K568" s="250"/>
      <c r="L568" s="250"/>
      <c r="M568" s="616"/>
      <c r="N568" s="239"/>
      <c r="O568" s="256"/>
      <c r="P568" s="610"/>
      <c r="Q568" s="611"/>
      <c r="R568" s="611"/>
      <c r="S568" s="611">
        <f ca="1">IF(NOT(ISERROR(MATCH(R568,_xlfn.ANCHORARRAY(H591),0))),Q593&amp;"Por favor no seleccionar los criterios de impacto",R568)</f>
        <v>0</v>
      </c>
      <c r="T568" s="610"/>
      <c r="U568" s="611"/>
      <c r="V568" s="252"/>
      <c r="W568" s="194">
        <v>6</v>
      </c>
      <c r="X568" s="640"/>
      <c r="Y568" s="194" t="str">
        <f t="shared" si="731"/>
        <v/>
      </c>
      <c r="Z568" s="188"/>
      <c r="AA568" s="188"/>
      <c r="AB568" s="185" t="str">
        <f t="shared" si="754"/>
        <v/>
      </c>
      <c r="AC568" s="188"/>
      <c r="AD568" s="188"/>
      <c r="AE568" s="188"/>
      <c r="AF568" s="602" t="str">
        <f t="shared" si="740"/>
        <v/>
      </c>
      <c r="AG568" s="186" t="str">
        <f t="shared" si="762"/>
        <v/>
      </c>
      <c r="AH568" s="185" t="str">
        <f t="shared" si="763"/>
        <v/>
      </c>
      <c r="AI568" s="186" t="str">
        <f t="shared" si="764"/>
        <v/>
      </c>
      <c r="AJ568" s="185" t="str">
        <f t="shared" si="768"/>
        <v/>
      </c>
      <c r="AK568" s="187" t="str">
        <f t="shared" si="766"/>
        <v/>
      </c>
      <c r="AL568" s="603"/>
      <c r="AM568" s="189"/>
      <c r="AN568" s="194"/>
      <c r="AO568" s="190"/>
      <c r="AP568" s="190"/>
      <c r="AQ568" s="191"/>
      <c r="AR568" s="194"/>
    </row>
    <row r="569" spans="1:44" ht="69" customHeight="1" x14ac:dyDescent="0.3">
      <c r="A569" s="188"/>
      <c r="B569" s="185"/>
      <c r="C569" s="188"/>
      <c r="D569" s="188"/>
      <c r="E569" s="641" t="s">
        <v>474</v>
      </c>
      <c r="F569" s="642"/>
      <c r="G569" s="642"/>
      <c r="H569" s="642"/>
      <c r="I569" s="642"/>
      <c r="J569" s="642"/>
      <c r="K569" s="642"/>
      <c r="L569" s="642"/>
      <c r="M569" s="642"/>
      <c r="N569" s="642"/>
      <c r="O569" s="642"/>
      <c r="P569" s="642"/>
      <c r="Q569" s="642"/>
      <c r="R569" s="642"/>
      <c r="S569" s="642"/>
      <c r="T569" s="642"/>
      <c r="U569" s="642"/>
      <c r="V569" s="642"/>
      <c r="W569" s="642"/>
      <c r="X569" s="642"/>
      <c r="Y569" s="642"/>
      <c r="Z569" s="642"/>
      <c r="AA569" s="642"/>
      <c r="AB569" s="642"/>
      <c r="AC569" s="642"/>
      <c r="AD569" s="642"/>
      <c r="AE569" s="642"/>
      <c r="AF569" s="642"/>
      <c r="AG569" s="642"/>
      <c r="AH569" s="642"/>
      <c r="AI569" s="642"/>
      <c r="AJ569" s="642"/>
      <c r="AK569" s="642"/>
      <c r="AL569" s="642"/>
      <c r="AM569" s="642"/>
      <c r="AN569" s="642"/>
      <c r="AO569" s="642"/>
      <c r="AP569" s="642"/>
      <c r="AQ569" s="642"/>
      <c r="AR569" s="643"/>
    </row>
    <row r="571" spans="1:44" ht="69" customHeight="1" x14ac:dyDescent="0.3">
      <c r="A571" s="535"/>
      <c r="B571" s="535"/>
      <c r="C571" s="644"/>
      <c r="D571" s="535"/>
      <c r="E571" s="645"/>
      <c r="F571" s="535"/>
      <c r="G571" s="535"/>
      <c r="M571" s="535"/>
      <c r="N571" s="535"/>
    </row>
  </sheetData>
  <sheetProtection algorithmName="SHA-512" hashValue="USU3MGwUmOWzLZsfsxLfjcy0Q+s1/PTc1fE2MHFs20+nfX72gTYI+3ck5qegUWQ0jFFpKa8ipXUSyficVtmEOg==" saltValue="/X9pZV/PvqSOgZxajxrhUQ==" spinCount="100000" sheet="1" objects="1" scenarios="1"/>
  <dataConsolidate/>
  <mergeCells count="2150">
    <mergeCell ref="P563:P568"/>
    <mergeCell ref="Q563:Q568"/>
    <mergeCell ref="R563:R568"/>
    <mergeCell ref="S563:S568"/>
    <mergeCell ref="T563:T568"/>
    <mergeCell ref="U563:U568"/>
    <mergeCell ref="V563:V568"/>
    <mergeCell ref="A557:A562"/>
    <mergeCell ref="A563:A568"/>
    <mergeCell ref="B563:B568"/>
    <mergeCell ref="C563:C568"/>
    <mergeCell ref="D563:D568"/>
    <mergeCell ref="E563:E568"/>
    <mergeCell ref="F563:F568"/>
    <mergeCell ref="G563:G568"/>
    <mergeCell ref="H563:H568"/>
    <mergeCell ref="I563:I568"/>
    <mergeCell ref="J563:J568"/>
    <mergeCell ref="K563:K568"/>
    <mergeCell ref="L563:L568"/>
    <mergeCell ref="M557:M562"/>
    <mergeCell ref="M563:M568"/>
    <mergeCell ref="N557:N562"/>
    <mergeCell ref="O557:O562"/>
    <mergeCell ref="N563:N568"/>
    <mergeCell ref="O563:O568"/>
    <mergeCell ref="AM515:AM516"/>
    <mergeCell ref="AN515:AN516"/>
    <mergeCell ref="AO515:AO516"/>
    <mergeCell ref="AP515:AP516"/>
    <mergeCell ref="AQ515:AQ516"/>
    <mergeCell ref="AR515:AR516"/>
    <mergeCell ref="B557:B562"/>
    <mergeCell ref="C557:C562"/>
    <mergeCell ref="D557:D562"/>
    <mergeCell ref="E557:E562"/>
    <mergeCell ref="F557:F562"/>
    <mergeCell ref="G557:G562"/>
    <mergeCell ref="H557:H562"/>
    <mergeCell ref="I557:I562"/>
    <mergeCell ref="J557:J562"/>
    <mergeCell ref="K557:K562"/>
    <mergeCell ref="L557:L562"/>
    <mergeCell ref="P557:P562"/>
    <mergeCell ref="Q557:Q562"/>
    <mergeCell ref="R557:R562"/>
    <mergeCell ref="S557:S562"/>
    <mergeCell ref="T557:T562"/>
    <mergeCell ref="U557:U562"/>
    <mergeCell ref="V557:V562"/>
    <mergeCell ref="AM449:AM452"/>
    <mergeCell ref="AN449:AN452"/>
    <mergeCell ref="AO449:AO452"/>
    <mergeCell ref="AP449:AP452"/>
    <mergeCell ref="AQ449:AQ452"/>
    <mergeCell ref="AR449:AR452"/>
    <mergeCell ref="AM425:AM428"/>
    <mergeCell ref="AN425:AN428"/>
    <mergeCell ref="AO425:AO428"/>
    <mergeCell ref="AP425:AP428"/>
    <mergeCell ref="AQ425:AQ428"/>
    <mergeCell ref="AR425:AR428"/>
    <mergeCell ref="AM461:AM463"/>
    <mergeCell ref="AN461:AN463"/>
    <mergeCell ref="AO461:AO463"/>
    <mergeCell ref="AP461:AP463"/>
    <mergeCell ref="AQ461:AQ463"/>
    <mergeCell ref="AR461:AR463"/>
    <mergeCell ref="AM431:AM436"/>
    <mergeCell ref="AN431:AN436"/>
    <mergeCell ref="AO431:AO436"/>
    <mergeCell ref="AP431:AP436"/>
    <mergeCell ref="AQ431:AQ436"/>
    <mergeCell ref="AR431:AR436"/>
    <mergeCell ref="AM443:AM446"/>
    <mergeCell ref="AN443:AN446"/>
    <mergeCell ref="AO443:AO446"/>
    <mergeCell ref="AP443:AP446"/>
    <mergeCell ref="AQ443:AQ446"/>
    <mergeCell ref="AR443:AR446"/>
    <mergeCell ref="AN299:AN302"/>
    <mergeCell ref="AO299:AO302"/>
    <mergeCell ref="AP299:AP302"/>
    <mergeCell ref="AQ299:AQ302"/>
    <mergeCell ref="AR299:AR302"/>
    <mergeCell ref="AM305:AM307"/>
    <mergeCell ref="AN305:AN307"/>
    <mergeCell ref="AO305:AO307"/>
    <mergeCell ref="AP305:AP307"/>
    <mergeCell ref="AQ305:AQ307"/>
    <mergeCell ref="AR305:AR307"/>
    <mergeCell ref="AM341:AM342"/>
    <mergeCell ref="AN341:AN342"/>
    <mergeCell ref="AO341:AO342"/>
    <mergeCell ref="AQ341:AQ342"/>
    <mergeCell ref="AP341:AP342"/>
    <mergeCell ref="AR341:AR342"/>
    <mergeCell ref="AM37:AM39"/>
    <mergeCell ref="AN37:AN39"/>
    <mergeCell ref="AO37:AO39"/>
    <mergeCell ref="AP37:AP39"/>
    <mergeCell ref="AQ37:AQ39"/>
    <mergeCell ref="AR37:AR39"/>
    <mergeCell ref="G545:G550"/>
    <mergeCell ref="N551:N556"/>
    <mergeCell ref="N31:N36"/>
    <mergeCell ref="N37:N42"/>
    <mergeCell ref="N43:N48"/>
    <mergeCell ref="N49:N54"/>
    <mergeCell ref="N55:N60"/>
    <mergeCell ref="N61:N66"/>
    <mergeCell ref="N67:N72"/>
    <mergeCell ref="N73:N78"/>
    <mergeCell ref="N79:N84"/>
    <mergeCell ref="N85:N90"/>
    <mergeCell ref="N91:N96"/>
    <mergeCell ref="N107:N112"/>
    <mergeCell ref="N113:N118"/>
    <mergeCell ref="N119:N124"/>
    <mergeCell ref="N125:N130"/>
    <mergeCell ref="N131:N136"/>
    <mergeCell ref="M533:M538"/>
    <mergeCell ref="M521:M526"/>
    <mergeCell ref="G491:G496"/>
    <mergeCell ref="H491:H496"/>
    <mergeCell ref="N491:N496"/>
    <mergeCell ref="M491:M496"/>
    <mergeCell ref="G455:G460"/>
    <mergeCell ref="AM299:AM302"/>
    <mergeCell ref="H455:H460"/>
    <mergeCell ref="N455:N460"/>
    <mergeCell ref="M455:M460"/>
    <mergeCell ref="G419:G424"/>
    <mergeCell ref="H419:H424"/>
    <mergeCell ref="N419:N424"/>
    <mergeCell ref="V551:V556"/>
    <mergeCell ref="O545:O550"/>
    <mergeCell ref="P545:P550"/>
    <mergeCell ref="Q545:Q550"/>
    <mergeCell ref="R545:R550"/>
    <mergeCell ref="S545:S550"/>
    <mergeCell ref="T545:T550"/>
    <mergeCell ref="U545:U550"/>
    <mergeCell ref="V545:V550"/>
    <mergeCell ref="A551:A556"/>
    <mergeCell ref="B551:B556"/>
    <mergeCell ref="C551:C556"/>
    <mergeCell ref="D551:D556"/>
    <mergeCell ref="E551:E556"/>
    <mergeCell ref="F551:F556"/>
    <mergeCell ref="G551:G556"/>
    <mergeCell ref="H551:H556"/>
    <mergeCell ref="M551:M556"/>
    <mergeCell ref="O551:O556"/>
    <mergeCell ref="P551:P556"/>
    <mergeCell ref="Q551:Q556"/>
    <mergeCell ref="R551:R556"/>
    <mergeCell ref="S551:S556"/>
    <mergeCell ref="T551:T556"/>
    <mergeCell ref="U551:U556"/>
    <mergeCell ref="A545:A550"/>
    <mergeCell ref="B545:B550"/>
    <mergeCell ref="C545:C550"/>
    <mergeCell ref="D545:D550"/>
    <mergeCell ref="E545:E550"/>
    <mergeCell ref="F545:F550"/>
    <mergeCell ref="I551:I556"/>
    <mergeCell ref="U527:U532"/>
    <mergeCell ref="H545:H550"/>
    <mergeCell ref="M545:M550"/>
    <mergeCell ref="V533:V538"/>
    <mergeCell ref="A539:A544"/>
    <mergeCell ref="B539:B544"/>
    <mergeCell ref="C539:C544"/>
    <mergeCell ref="D539:D544"/>
    <mergeCell ref="E539:E544"/>
    <mergeCell ref="F539:F544"/>
    <mergeCell ref="G539:G544"/>
    <mergeCell ref="H539:H544"/>
    <mergeCell ref="M539:M544"/>
    <mergeCell ref="O539:O544"/>
    <mergeCell ref="P539:P544"/>
    <mergeCell ref="Q539:Q544"/>
    <mergeCell ref="R539:R544"/>
    <mergeCell ref="S539:S544"/>
    <mergeCell ref="T539:T544"/>
    <mergeCell ref="U539:U544"/>
    <mergeCell ref="V539:V544"/>
    <mergeCell ref="N533:N538"/>
    <mergeCell ref="N539:N544"/>
    <mergeCell ref="N545:N550"/>
    <mergeCell ref="A533:A538"/>
    <mergeCell ref="B533:B538"/>
    <mergeCell ref="C533:C538"/>
    <mergeCell ref="D533:D538"/>
    <mergeCell ref="E533:E538"/>
    <mergeCell ref="F533:F538"/>
    <mergeCell ref="G533:G538"/>
    <mergeCell ref="H533:H538"/>
    <mergeCell ref="O521:O526"/>
    <mergeCell ref="P521:P526"/>
    <mergeCell ref="Q521:Q526"/>
    <mergeCell ref="R521:R526"/>
    <mergeCell ref="S521:S526"/>
    <mergeCell ref="T521:T526"/>
    <mergeCell ref="U521:U526"/>
    <mergeCell ref="V521:V526"/>
    <mergeCell ref="O533:O538"/>
    <mergeCell ref="P533:P538"/>
    <mergeCell ref="Q533:Q538"/>
    <mergeCell ref="R533:R538"/>
    <mergeCell ref="S533:S538"/>
    <mergeCell ref="T533:T538"/>
    <mergeCell ref="U533:U538"/>
    <mergeCell ref="A527:A532"/>
    <mergeCell ref="B527:B532"/>
    <mergeCell ref="C527:C532"/>
    <mergeCell ref="D527:D532"/>
    <mergeCell ref="E527:E532"/>
    <mergeCell ref="F527:F532"/>
    <mergeCell ref="G527:G532"/>
    <mergeCell ref="H527:H532"/>
    <mergeCell ref="N527:N532"/>
    <mergeCell ref="M527:M532"/>
    <mergeCell ref="O527:O532"/>
    <mergeCell ref="P527:P532"/>
    <mergeCell ref="Q527:Q532"/>
    <mergeCell ref="R527:R532"/>
    <mergeCell ref="S527:S532"/>
    <mergeCell ref="T527:T532"/>
    <mergeCell ref="I521:I526"/>
    <mergeCell ref="O509:O514"/>
    <mergeCell ref="P509:P514"/>
    <mergeCell ref="Q509:Q514"/>
    <mergeCell ref="R509:R514"/>
    <mergeCell ref="V527:V532"/>
    <mergeCell ref="N515:N520"/>
    <mergeCell ref="N521:N526"/>
    <mergeCell ref="A515:A520"/>
    <mergeCell ref="B515:B520"/>
    <mergeCell ref="C515:C520"/>
    <mergeCell ref="D515:D520"/>
    <mergeCell ref="E515:E520"/>
    <mergeCell ref="F515:F520"/>
    <mergeCell ref="G515:G520"/>
    <mergeCell ref="H515:H520"/>
    <mergeCell ref="M515:M520"/>
    <mergeCell ref="O515:O520"/>
    <mergeCell ref="P515:P520"/>
    <mergeCell ref="Q515:Q520"/>
    <mergeCell ref="R515:R520"/>
    <mergeCell ref="S515:S520"/>
    <mergeCell ref="T515:T520"/>
    <mergeCell ref="U515:U520"/>
    <mergeCell ref="V515:V520"/>
    <mergeCell ref="A521:A526"/>
    <mergeCell ref="B521:B526"/>
    <mergeCell ref="C521:C526"/>
    <mergeCell ref="D521:D526"/>
    <mergeCell ref="E521:E526"/>
    <mergeCell ref="F521:F526"/>
    <mergeCell ref="G521:G526"/>
    <mergeCell ref="H521:H526"/>
    <mergeCell ref="V497:V502"/>
    <mergeCell ref="A503:A508"/>
    <mergeCell ref="B503:B508"/>
    <mergeCell ref="C503:C508"/>
    <mergeCell ref="D503:D508"/>
    <mergeCell ref="E503:E508"/>
    <mergeCell ref="F503:F508"/>
    <mergeCell ref="G503:G508"/>
    <mergeCell ref="H503:H508"/>
    <mergeCell ref="M503:M508"/>
    <mergeCell ref="O503:O508"/>
    <mergeCell ref="P503:P508"/>
    <mergeCell ref="Q503:Q508"/>
    <mergeCell ref="R503:R508"/>
    <mergeCell ref="S503:S508"/>
    <mergeCell ref="T503:T508"/>
    <mergeCell ref="U503:U508"/>
    <mergeCell ref="V503:V508"/>
    <mergeCell ref="S509:S514"/>
    <mergeCell ref="T509:T514"/>
    <mergeCell ref="U509:U514"/>
    <mergeCell ref="V509:V514"/>
    <mergeCell ref="N497:N502"/>
    <mergeCell ref="N503:N508"/>
    <mergeCell ref="A497:A502"/>
    <mergeCell ref="B497:B502"/>
    <mergeCell ref="C497:C502"/>
    <mergeCell ref="D497:D502"/>
    <mergeCell ref="E497:E502"/>
    <mergeCell ref="F497:F502"/>
    <mergeCell ref="G497:G502"/>
    <mergeCell ref="H497:H502"/>
    <mergeCell ref="M497:M502"/>
    <mergeCell ref="O497:O502"/>
    <mergeCell ref="P497:P502"/>
    <mergeCell ref="Q497:Q502"/>
    <mergeCell ref="R497:R502"/>
    <mergeCell ref="S497:S502"/>
    <mergeCell ref="T497:T502"/>
    <mergeCell ref="U497:U502"/>
    <mergeCell ref="A509:A514"/>
    <mergeCell ref="B509:B514"/>
    <mergeCell ref="C509:C514"/>
    <mergeCell ref="D509:D514"/>
    <mergeCell ref="E509:E514"/>
    <mergeCell ref="F509:F514"/>
    <mergeCell ref="G509:G514"/>
    <mergeCell ref="H509:H514"/>
    <mergeCell ref="N509:N514"/>
    <mergeCell ref="M509:M514"/>
    <mergeCell ref="V479:V484"/>
    <mergeCell ref="A485:A490"/>
    <mergeCell ref="B485:B490"/>
    <mergeCell ref="C485:C490"/>
    <mergeCell ref="D485:D490"/>
    <mergeCell ref="E485:E490"/>
    <mergeCell ref="F485:F490"/>
    <mergeCell ref="G485:G490"/>
    <mergeCell ref="H485:H490"/>
    <mergeCell ref="M485:M490"/>
    <mergeCell ref="O485:O490"/>
    <mergeCell ref="P485:P490"/>
    <mergeCell ref="Q485:Q490"/>
    <mergeCell ref="R485:R490"/>
    <mergeCell ref="S485:S490"/>
    <mergeCell ref="T485:T490"/>
    <mergeCell ref="U485:U490"/>
    <mergeCell ref="V485:V490"/>
    <mergeCell ref="I485:I490"/>
    <mergeCell ref="J485:J490"/>
    <mergeCell ref="K485:K490"/>
    <mergeCell ref="L485:L490"/>
    <mergeCell ref="O491:O496"/>
    <mergeCell ref="P491:P496"/>
    <mergeCell ref="Q491:Q496"/>
    <mergeCell ref="R491:R496"/>
    <mergeCell ref="O473:O478"/>
    <mergeCell ref="P473:P478"/>
    <mergeCell ref="Q473:Q478"/>
    <mergeCell ref="R473:R478"/>
    <mergeCell ref="S491:S496"/>
    <mergeCell ref="T491:T496"/>
    <mergeCell ref="U491:U496"/>
    <mergeCell ref="V491:V496"/>
    <mergeCell ref="N479:N484"/>
    <mergeCell ref="N485:N490"/>
    <mergeCell ref="A479:A484"/>
    <mergeCell ref="B479:B484"/>
    <mergeCell ref="C479:C484"/>
    <mergeCell ref="D479:D484"/>
    <mergeCell ref="E479:E484"/>
    <mergeCell ref="F479:F484"/>
    <mergeCell ref="G479:G484"/>
    <mergeCell ref="H479:H484"/>
    <mergeCell ref="M479:M484"/>
    <mergeCell ref="O479:O484"/>
    <mergeCell ref="P479:P484"/>
    <mergeCell ref="Q479:Q484"/>
    <mergeCell ref="R479:R484"/>
    <mergeCell ref="S479:S484"/>
    <mergeCell ref="T479:T484"/>
    <mergeCell ref="U479:U484"/>
    <mergeCell ref="A491:A496"/>
    <mergeCell ref="B491:B496"/>
    <mergeCell ref="C491:C496"/>
    <mergeCell ref="D491:D496"/>
    <mergeCell ref="E491:E496"/>
    <mergeCell ref="F491:F496"/>
    <mergeCell ref="V461:V466"/>
    <mergeCell ref="A467:A472"/>
    <mergeCell ref="B467:B472"/>
    <mergeCell ref="C467:C472"/>
    <mergeCell ref="D467:D472"/>
    <mergeCell ref="E467:E472"/>
    <mergeCell ref="F467:F472"/>
    <mergeCell ref="G467:G472"/>
    <mergeCell ref="H467:H472"/>
    <mergeCell ref="M467:M472"/>
    <mergeCell ref="O467:O472"/>
    <mergeCell ref="P467:P472"/>
    <mergeCell ref="Q467:Q472"/>
    <mergeCell ref="R467:R472"/>
    <mergeCell ref="S467:S472"/>
    <mergeCell ref="T467:T472"/>
    <mergeCell ref="U467:U472"/>
    <mergeCell ref="V467:V472"/>
    <mergeCell ref="S473:S478"/>
    <mergeCell ref="T473:T478"/>
    <mergeCell ref="U473:U478"/>
    <mergeCell ref="V473:V478"/>
    <mergeCell ref="N461:N466"/>
    <mergeCell ref="N467:N472"/>
    <mergeCell ref="A461:A466"/>
    <mergeCell ref="B461:B466"/>
    <mergeCell ref="C461:C466"/>
    <mergeCell ref="D461:D466"/>
    <mergeCell ref="E461:E466"/>
    <mergeCell ref="F461:F466"/>
    <mergeCell ref="G461:G466"/>
    <mergeCell ref="H461:H466"/>
    <mergeCell ref="M461:M466"/>
    <mergeCell ref="O461:O466"/>
    <mergeCell ref="P461:P466"/>
    <mergeCell ref="Q461:Q466"/>
    <mergeCell ref="R461:R466"/>
    <mergeCell ref="S461:S466"/>
    <mergeCell ref="T461:T466"/>
    <mergeCell ref="U461:U466"/>
    <mergeCell ref="A473:A478"/>
    <mergeCell ref="B473:B478"/>
    <mergeCell ref="C473:C478"/>
    <mergeCell ref="D473:D478"/>
    <mergeCell ref="E473:E478"/>
    <mergeCell ref="F473:F478"/>
    <mergeCell ref="G473:G478"/>
    <mergeCell ref="H473:H478"/>
    <mergeCell ref="N473:N478"/>
    <mergeCell ref="M473:M478"/>
    <mergeCell ref="V443:V448"/>
    <mergeCell ref="A449:A454"/>
    <mergeCell ref="B449:B454"/>
    <mergeCell ref="C449:C454"/>
    <mergeCell ref="D449:D454"/>
    <mergeCell ref="E449:E454"/>
    <mergeCell ref="F449:F454"/>
    <mergeCell ref="G449:G454"/>
    <mergeCell ref="H449:H454"/>
    <mergeCell ref="M449:M454"/>
    <mergeCell ref="O449:O454"/>
    <mergeCell ref="P449:P454"/>
    <mergeCell ref="Q449:Q454"/>
    <mergeCell ref="R449:R454"/>
    <mergeCell ref="S449:S454"/>
    <mergeCell ref="T449:T454"/>
    <mergeCell ref="U449:U454"/>
    <mergeCell ref="V449:V454"/>
    <mergeCell ref="I443:I448"/>
    <mergeCell ref="J443:J448"/>
    <mergeCell ref="K443:K448"/>
    <mergeCell ref="L443:L448"/>
    <mergeCell ref="I449:I454"/>
    <mergeCell ref="J449:J454"/>
    <mergeCell ref="K449:K454"/>
    <mergeCell ref="L449:L454"/>
    <mergeCell ref="O455:O460"/>
    <mergeCell ref="P455:P460"/>
    <mergeCell ref="Q455:Q460"/>
    <mergeCell ref="R455:R460"/>
    <mergeCell ref="O437:O442"/>
    <mergeCell ref="P437:P442"/>
    <mergeCell ref="Q437:Q442"/>
    <mergeCell ref="R437:R442"/>
    <mergeCell ref="S455:S460"/>
    <mergeCell ref="T455:T460"/>
    <mergeCell ref="U455:U460"/>
    <mergeCell ref="V455:V460"/>
    <mergeCell ref="N443:N448"/>
    <mergeCell ref="N449:N454"/>
    <mergeCell ref="A443:A448"/>
    <mergeCell ref="B443:B448"/>
    <mergeCell ref="C443:C448"/>
    <mergeCell ref="D443:D448"/>
    <mergeCell ref="E443:E448"/>
    <mergeCell ref="F443:F448"/>
    <mergeCell ref="G443:G448"/>
    <mergeCell ref="H443:H448"/>
    <mergeCell ref="M443:M448"/>
    <mergeCell ref="O443:O448"/>
    <mergeCell ref="P443:P448"/>
    <mergeCell ref="Q443:Q448"/>
    <mergeCell ref="R443:R448"/>
    <mergeCell ref="S443:S448"/>
    <mergeCell ref="T443:T448"/>
    <mergeCell ref="U443:U448"/>
    <mergeCell ref="A455:A460"/>
    <mergeCell ref="B455:B460"/>
    <mergeCell ref="C455:C460"/>
    <mergeCell ref="D455:D460"/>
    <mergeCell ref="E455:E460"/>
    <mergeCell ref="F455:F460"/>
    <mergeCell ref="V425:V430"/>
    <mergeCell ref="A431:A436"/>
    <mergeCell ref="B431:B436"/>
    <mergeCell ref="C431:C436"/>
    <mergeCell ref="D431:D436"/>
    <mergeCell ref="E431:E436"/>
    <mergeCell ref="F431:F436"/>
    <mergeCell ref="G431:G436"/>
    <mergeCell ref="H431:H436"/>
    <mergeCell ref="M431:M436"/>
    <mergeCell ref="O431:O436"/>
    <mergeCell ref="P431:P436"/>
    <mergeCell ref="Q431:Q436"/>
    <mergeCell ref="R431:R436"/>
    <mergeCell ref="S431:S436"/>
    <mergeCell ref="T431:T436"/>
    <mergeCell ref="U431:U436"/>
    <mergeCell ref="V431:V436"/>
    <mergeCell ref="S437:S442"/>
    <mergeCell ref="T437:T442"/>
    <mergeCell ref="U437:U442"/>
    <mergeCell ref="V437:V442"/>
    <mergeCell ref="N425:N430"/>
    <mergeCell ref="N431:N436"/>
    <mergeCell ref="A425:A430"/>
    <mergeCell ref="B425:B430"/>
    <mergeCell ref="C425:C430"/>
    <mergeCell ref="D425:D430"/>
    <mergeCell ref="E425:E430"/>
    <mergeCell ref="F425:F430"/>
    <mergeCell ref="G425:G430"/>
    <mergeCell ref="H425:H430"/>
    <mergeCell ref="M425:M430"/>
    <mergeCell ref="O425:O430"/>
    <mergeCell ref="P425:P430"/>
    <mergeCell ref="Q425:Q430"/>
    <mergeCell ref="R425:R430"/>
    <mergeCell ref="S425:S430"/>
    <mergeCell ref="T425:T430"/>
    <mergeCell ref="U425:U430"/>
    <mergeCell ref="A437:A442"/>
    <mergeCell ref="B437:B442"/>
    <mergeCell ref="C437:C442"/>
    <mergeCell ref="D437:D442"/>
    <mergeCell ref="E437:E442"/>
    <mergeCell ref="F437:F442"/>
    <mergeCell ref="G437:G442"/>
    <mergeCell ref="H437:H442"/>
    <mergeCell ref="N437:N442"/>
    <mergeCell ref="M437:M442"/>
    <mergeCell ref="I431:I436"/>
    <mergeCell ref="J431:J436"/>
    <mergeCell ref="K431:K436"/>
    <mergeCell ref="L431:L436"/>
    <mergeCell ref="I437:I442"/>
    <mergeCell ref="J437:J442"/>
    <mergeCell ref="K437:K442"/>
    <mergeCell ref="L437:L442"/>
    <mergeCell ref="M419:M424"/>
    <mergeCell ref="V407:V412"/>
    <mergeCell ref="A413:A418"/>
    <mergeCell ref="B413:B418"/>
    <mergeCell ref="C413:C418"/>
    <mergeCell ref="D413:D418"/>
    <mergeCell ref="E413:E418"/>
    <mergeCell ref="F413:F418"/>
    <mergeCell ref="G413:G418"/>
    <mergeCell ref="H413:H418"/>
    <mergeCell ref="M413:M418"/>
    <mergeCell ref="O413:O418"/>
    <mergeCell ref="P413:P418"/>
    <mergeCell ref="Q413:Q418"/>
    <mergeCell ref="R413:R418"/>
    <mergeCell ref="S413:S418"/>
    <mergeCell ref="T413:T418"/>
    <mergeCell ref="U413:U418"/>
    <mergeCell ref="V413:V418"/>
    <mergeCell ref="O419:O424"/>
    <mergeCell ref="P419:P424"/>
    <mergeCell ref="Q419:Q424"/>
    <mergeCell ref="R419:R424"/>
    <mergeCell ref="O401:O406"/>
    <mergeCell ref="P401:P406"/>
    <mergeCell ref="Q401:Q406"/>
    <mergeCell ref="R401:R406"/>
    <mergeCell ref="S419:S424"/>
    <mergeCell ref="T419:T424"/>
    <mergeCell ref="U419:U424"/>
    <mergeCell ref="V419:V424"/>
    <mergeCell ref="N407:N412"/>
    <mergeCell ref="N413:N418"/>
    <mergeCell ref="A407:A412"/>
    <mergeCell ref="B407:B412"/>
    <mergeCell ref="C407:C412"/>
    <mergeCell ref="D407:D412"/>
    <mergeCell ref="E407:E412"/>
    <mergeCell ref="F407:F412"/>
    <mergeCell ref="G407:G412"/>
    <mergeCell ref="H407:H412"/>
    <mergeCell ref="M407:M412"/>
    <mergeCell ref="O407:O412"/>
    <mergeCell ref="P407:P412"/>
    <mergeCell ref="Q407:Q412"/>
    <mergeCell ref="R407:R412"/>
    <mergeCell ref="S407:S412"/>
    <mergeCell ref="T407:T412"/>
    <mergeCell ref="U407:U412"/>
    <mergeCell ref="A419:A424"/>
    <mergeCell ref="B419:B424"/>
    <mergeCell ref="C419:C424"/>
    <mergeCell ref="D419:D424"/>
    <mergeCell ref="E419:E424"/>
    <mergeCell ref="F419:F424"/>
    <mergeCell ref="V389:V394"/>
    <mergeCell ref="A395:A400"/>
    <mergeCell ref="B395:B400"/>
    <mergeCell ref="C395:C400"/>
    <mergeCell ref="D395:D400"/>
    <mergeCell ref="E395:E400"/>
    <mergeCell ref="F395:F400"/>
    <mergeCell ref="G395:G400"/>
    <mergeCell ref="H395:H400"/>
    <mergeCell ref="M395:M400"/>
    <mergeCell ref="O395:O400"/>
    <mergeCell ref="P395:P400"/>
    <mergeCell ref="Q395:Q400"/>
    <mergeCell ref="R395:R400"/>
    <mergeCell ref="S395:S400"/>
    <mergeCell ref="T395:T400"/>
    <mergeCell ref="U395:U400"/>
    <mergeCell ref="V395:V400"/>
    <mergeCell ref="I395:I400"/>
    <mergeCell ref="J395:J400"/>
    <mergeCell ref="K395:K400"/>
    <mergeCell ref="L395:L400"/>
    <mergeCell ref="S401:S406"/>
    <mergeCell ref="T401:T406"/>
    <mergeCell ref="U401:U406"/>
    <mergeCell ref="V401:V406"/>
    <mergeCell ref="N389:N394"/>
    <mergeCell ref="N395:N400"/>
    <mergeCell ref="A389:A394"/>
    <mergeCell ref="B389:B394"/>
    <mergeCell ref="C389:C394"/>
    <mergeCell ref="D389:D394"/>
    <mergeCell ref="E389:E394"/>
    <mergeCell ref="F389:F394"/>
    <mergeCell ref="G389:G394"/>
    <mergeCell ref="H389:H394"/>
    <mergeCell ref="M389:M394"/>
    <mergeCell ref="O389:O394"/>
    <mergeCell ref="P389:P394"/>
    <mergeCell ref="Q389:Q394"/>
    <mergeCell ref="R389:R394"/>
    <mergeCell ref="S389:S394"/>
    <mergeCell ref="T389:T394"/>
    <mergeCell ref="U389:U394"/>
    <mergeCell ref="A401:A406"/>
    <mergeCell ref="B401:B406"/>
    <mergeCell ref="C401:C406"/>
    <mergeCell ref="D401:D406"/>
    <mergeCell ref="E401:E406"/>
    <mergeCell ref="F401:F406"/>
    <mergeCell ref="G401:G406"/>
    <mergeCell ref="H401:H406"/>
    <mergeCell ref="N401:N406"/>
    <mergeCell ref="M401:M406"/>
    <mergeCell ref="G383:G388"/>
    <mergeCell ref="H383:H388"/>
    <mergeCell ref="N383:N388"/>
    <mergeCell ref="M383:M388"/>
    <mergeCell ref="V371:V376"/>
    <mergeCell ref="A377:A382"/>
    <mergeCell ref="B377:B382"/>
    <mergeCell ref="C377:C382"/>
    <mergeCell ref="D377:D382"/>
    <mergeCell ref="E377:E382"/>
    <mergeCell ref="F377:F382"/>
    <mergeCell ref="G377:G382"/>
    <mergeCell ref="H377:H382"/>
    <mergeCell ref="M377:M382"/>
    <mergeCell ref="O377:O382"/>
    <mergeCell ref="P377:P382"/>
    <mergeCell ref="Q377:Q382"/>
    <mergeCell ref="R377:R382"/>
    <mergeCell ref="S377:S382"/>
    <mergeCell ref="T377:T382"/>
    <mergeCell ref="U377:U382"/>
    <mergeCell ref="V377:V382"/>
    <mergeCell ref="O383:O388"/>
    <mergeCell ref="P383:P388"/>
    <mergeCell ref="Q383:Q388"/>
    <mergeCell ref="R383:R388"/>
    <mergeCell ref="O365:O370"/>
    <mergeCell ref="P365:P370"/>
    <mergeCell ref="Q365:Q370"/>
    <mergeCell ref="R365:R370"/>
    <mergeCell ref="S383:S388"/>
    <mergeCell ref="T383:T388"/>
    <mergeCell ref="U383:U388"/>
    <mergeCell ref="V383:V388"/>
    <mergeCell ref="N371:N376"/>
    <mergeCell ref="N377:N382"/>
    <mergeCell ref="A371:A376"/>
    <mergeCell ref="B371:B376"/>
    <mergeCell ref="C371:C376"/>
    <mergeCell ref="D371:D376"/>
    <mergeCell ref="E371:E376"/>
    <mergeCell ref="F371:F376"/>
    <mergeCell ref="G371:G376"/>
    <mergeCell ref="H371:H376"/>
    <mergeCell ref="M371:M376"/>
    <mergeCell ref="O371:O376"/>
    <mergeCell ref="P371:P376"/>
    <mergeCell ref="Q371:Q376"/>
    <mergeCell ref="R371:R376"/>
    <mergeCell ref="S371:S376"/>
    <mergeCell ref="T371:T376"/>
    <mergeCell ref="U371:U376"/>
    <mergeCell ref="A383:A388"/>
    <mergeCell ref="B383:B388"/>
    <mergeCell ref="C383:C388"/>
    <mergeCell ref="D383:D388"/>
    <mergeCell ref="E383:E388"/>
    <mergeCell ref="F383:F388"/>
    <mergeCell ref="V353:V358"/>
    <mergeCell ref="A359:A364"/>
    <mergeCell ref="B359:B364"/>
    <mergeCell ref="C359:C364"/>
    <mergeCell ref="D359:D364"/>
    <mergeCell ref="E359:E364"/>
    <mergeCell ref="F359:F364"/>
    <mergeCell ref="G359:G364"/>
    <mergeCell ref="H359:H364"/>
    <mergeCell ref="M359:M364"/>
    <mergeCell ref="O359:O364"/>
    <mergeCell ref="P359:P364"/>
    <mergeCell ref="Q359:Q364"/>
    <mergeCell ref="R359:R364"/>
    <mergeCell ref="S359:S364"/>
    <mergeCell ref="T359:T364"/>
    <mergeCell ref="U359:U364"/>
    <mergeCell ref="V359:V364"/>
    <mergeCell ref="I359:I364"/>
    <mergeCell ref="J359:J364"/>
    <mergeCell ref="K359:K364"/>
    <mergeCell ref="L359:L364"/>
    <mergeCell ref="S365:S370"/>
    <mergeCell ref="T365:T370"/>
    <mergeCell ref="U365:U370"/>
    <mergeCell ref="V365:V370"/>
    <mergeCell ref="N353:N358"/>
    <mergeCell ref="N359:N364"/>
    <mergeCell ref="A353:A358"/>
    <mergeCell ref="B353:B358"/>
    <mergeCell ref="C353:C358"/>
    <mergeCell ref="D353:D358"/>
    <mergeCell ref="E353:E358"/>
    <mergeCell ref="F353:F358"/>
    <mergeCell ref="G353:G358"/>
    <mergeCell ref="H353:H358"/>
    <mergeCell ref="M353:M358"/>
    <mergeCell ref="O353:O358"/>
    <mergeCell ref="P353:P358"/>
    <mergeCell ref="Q353:Q358"/>
    <mergeCell ref="R353:R358"/>
    <mergeCell ref="S353:S358"/>
    <mergeCell ref="T353:T358"/>
    <mergeCell ref="U353:U358"/>
    <mergeCell ref="A365:A370"/>
    <mergeCell ref="B365:B370"/>
    <mergeCell ref="C365:C370"/>
    <mergeCell ref="D365:D370"/>
    <mergeCell ref="E365:E370"/>
    <mergeCell ref="F365:F370"/>
    <mergeCell ref="G365:G370"/>
    <mergeCell ref="H365:H370"/>
    <mergeCell ref="N365:N370"/>
    <mergeCell ref="M365:M370"/>
    <mergeCell ref="G347:G352"/>
    <mergeCell ref="H347:H352"/>
    <mergeCell ref="N347:N352"/>
    <mergeCell ref="M347:M352"/>
    <mergeCell ref="V335:V340"/>
    <mergeCell ref="A341:A346"/>
    <mergeCell ref="B341:B346"/>
    <mergeCell ref="C341:C346"/>
    <mergeCell ref="D341:D346"/>
    <mergeCell ref="E341:E346"/>
    <mergeCell ref="F341:F346"/>
    <mergeCell ref="G341:G346"/>
    <mergeCell ref="H341:H346"/>
    <mergeCell ref="M341:M346"/>
    <mergeCell ref="O341:O346"/>
    <mergeCell ref="P341:P346"/>
    <mergeCell ref="Q341:Q346"/>
    <mergeCell ref="R341:R346"/>
    <mergeCell ref="S341:S346"/>
    <mergeCell ref="T341:T346"/>
    <mergeCell ref="U341:U346"/>
    <mergeCell ref="V341:V346"/>
    <mergeCell ref="O347:O352"/>
    <mergeCell ref="P347:P352"/>
    <mergeCell ref="Q347:Q352"/>
    <mergeCell ref="R347:R352"/>
    <mergeCell ref="O329:O334"/>
    <mergeCell ref="P329:P334"/>
    <mergeCell ref="Q329:Q334"/>
    <mergeCell ref="R329:R334"/>
    <mergeCell ref="S347:S352"/>
    <mergeCell ref="T347:T352"/>
    <mergeCell ref="U347:U352"/>
    <mergeCell ref="V347:V352"/>
    <mergeCell ref="N335:N340"/>
    <mergeCell ref="N341:N346"/>
    <mergeCell ref="A335:A340"/>
    <mergeCell ref="B335:B340"/>
    <mergeCell ref="C335:C340"/>
    <mergeCell ref="D335:D340"/>
    <mergeCell ref="E335:E340"/>
    <mergeCell ref="F335:F340"/>
    <mergeCell ref="G335:G340"/>
    <mergeCell ref="H335:H340"/>
    <mergeCell ref="M335:M340"/>
    <mergeCell ref="O335:O340"/>
    <mergeCell ref="P335:P340"/>
    <mergeCell ref="Q335:Q340"/>
    <mergeCell ref="R335:R340"/>
    <mergeCell ref="S335:S340"/>
    <mergeCell ref="T335:T340"/>
    <mergeCell ref="U335:U340"/>
    <mergeCell ref="A347:A352"/>
    <mergeCell ref="B347:B352"/>
    <mergeCell ref="C347:C352"/>
    <mergeCell ref="D347:D352"/>
    <mergeCell ref="E347:E352"/>
    <mergeCell ref="F347:F352"/>
    <mergeCell ref="V317:V322"/>
    <mergeCell ref="A323:A328"/>
    <mergeCell ref="B323:B328"/>
    <mergeCell ref="C323:C328"/>
    <mergeCell ref="D323:D328"/>
    <mergeCell ref="E323:E328"/>
    <mergeCell ref="F323:F328"/>
    <mergeCell ref="G323:G328"/>
    <mergeCell ref="H323:H328"/>
    <mergeCell ref="M323:M328"/>
    <mergeCell ref="O323:O328"/>
    <mergeCell ref="P323:P328"/>
    <mergeCell ref="Q323:Q328"/>
    <mergeCell ref="R323:R328"/>
    <mergeCell ref="S323:S328"/>
    <mergeCell ref="T323:T328"/>
    <mergeCell ref="U323:U328"/>
    <mergeCell ref="V323:V328"/>
    <mergeCell ref="I323:I328"/>
    <mergeCell ref="J323:J328"/>
    <mergeCell ref="K323:K328"/>
    <mergeCell ref="L323:L328"/>
    <mergeCell ref="S329:S334"/>
    <mergeCell ref="T329:T334"/>
    <mergeCell ref="U329:U334"/>
    <mergeCell ref="V329:V334"/>
    <mergeCell ref="N317:N322"/>
    <mergeCell ref="N323:N328"/>
    <mergeCell ref="A317:A322"/>
    <mergeCell ref="B317:B322"/>
    <mergeCell ref="C317:C322"/>
    <mergeCell ref="D317:D322"/>
    <mergeCell ref="E317:E322"/>
    <mergeCell ref="F317:F322"/>
    <mergeCell ref="G317:G322"/>
    <mergeCell ref="H317:H322"/>
    <mergeCell ref="M317:M322"/>
    <mergeCell ref="O317:O322"/>
    <mergeCell ref="P317:P322"/>
    <mergeCell ref="Q317:Q322"/>
    <mergeCell ref="R317:R322"/>
    <mergeCell ref="S317:S322"/>
    <mergeCell ref="T317:T322"/>
    <mergeCell ref="U317:U322"/>
    <mergeCell ref="A329:A334"/>
    <mergeCell ref="B329:B334"/>
    <mergeCell ref="C329:C334"/>
    <mergeCell ref="D329:D334"/>
    <mergeCell ref="E329:E334"/>
    <mergeCell ref="F329:F334"/>
    <mergeCell ref="G329:G334"/>
    <mergeCell ref="H329:H334"/>
    <mergeCell ref="N329:N334"/>
    <mergeCell ref="M329:M334"/>
    <mergeCell ref="G311:G316"/>
    <mergeCell ref="H311:H316"/>
    <mergeCell ref="N311:N316"/>
    <mergeCell ref="M311:M316"/>
    <mergeCell ref="V299:V304"/>
    <mergeCell ref="A305:A310"/>
    <mergeCell ref="B305:B310"/>
    <mergeCell ref="C305:C310"/>
    <mergeCell ref="D305:D310"/>
    <mergeCell ref="E305:E310"/>
    <mergeCell ref="F305:F310"/>
    <mergeCell ref="G305:G310"/>
    <mergeCell ref="H305:H310"/>
    <mergeCell ref="M305:M310"/>
    <mergeCell ref="O305:O310"/>
    <mergeCell ref="P305:P310"/>
    <mergeCell ref="Q305:Q310"/>
    <mergeCell ref="R305:R310"/>
    <mergeCell ref="S305:S310"/>
    <mergeCell ref="T305:T310"/>
    <mergeCell ref="U305:U310"/>
    <mergeCell ref="V305:V310"/>
    <mergeCell ref="O311:O316"/>
    <mergeCell ref="P311:P316"/>
    <mergeCell ref="Q311:Q316"/>
    <mergeCell ref="R311:R316"/>
    <mergeCell ref="O293:O298"/>
    <mergeCell ref="P293:P298"/>
    <mergeCell ref="Q293:Q298"/>
    <mergeCell ref="R293:R298"/>
    <mergeCell ref="S311:S316"/>
    <mergeCell ref="T311:T316"/>
    <mergeCell ref="U311:U316"/>
    <mergeCell ref="V311:V316"/>
    <mergeCell ref="N299:N304"/>
    <mergeCell ref="N305:N310"/>
    <mergeCell ref="A299:A304"/>
    <mergeCell ref="B299:B304"/>
    <mergeCell ref="C299:C304"/>
    <mergeCell ref="D299:D304"/>
    <mergeCell ref="E299:E304"/>
    <mergeCell ref="F299:F304"/>
    <mergeCell ref="G299:G304"/>
    <mergeCell ref="H299:H304"/>
    <mergeCell ref="M299:M304"/>
    <mergeCell ref="O299:O304"/>
    <mergeCell ref="P299:P304"/>
    <mergeCell ref="Q299:Q304"/>
    <mergeCell ref="R299:R304"/>
    <mergeCell ref="S299:S304"/>
    <mergeCell ref="T299:T304"/>
    <mergeCell ref="U299:U304"/>
    <mergeCell ref="A311:A316"/>
    <mergeCell ref="B311:B316"/>
    <mergeCell ref="C311:C316"/>
    <mergeCell ref="D311:D316"/>
    <mergeCell ref="E311:E316"/>
    <mergeCell ref="F311:F316"/>
    <mergeCell ref="V281:V286"/>
    <mergeCell ref="A287:A292"/>
    <mergeCell ref="B287:B292"/>
    <mergeCell ref="C287:C292"/>
    <mergeCell ref="D287:D292"/>
    <mergeCell ref="E287:E292"/>
    <mergeCell ref="F287:F292"/>
    <mergeCell ref="G287:G292"/>
    <mergeCell ref="H287:H292"/>
    <mergeCell ref="M287:M292"/>
    <mergeCell ref="O287:O292"/>
    <mergeCell ref="P287:P292"/>
    <mergeCell ref="Q287:Q292"/>
    <mergeCell ref="R287:R292"/>
    <mergeCell ref="S287:S292"/>
    <mergeCell ref="T287:T292"/>
    <mergeCell ref="U287:U292"/>
    <mergeCell ref="V287:V292"/>
    <mergeCell ref="I287:I292"/>
    <mergeCell ref="J287:J292"/>
    <mergeCell ref="K287:K292"/>
    <mergeCell ref="L287:L292"/>
    <mergeCell ref="S293:S298"/>
    <mergeCell ref="T293:T298"/>
    <mergeCell ref="U293:U298"/>
    <mergeCell ref="V293:V298"/>
    <mergeCell ref="N281:N286"/>
    <mergeCell ref="N287:N292"/>
    <mergeCell ref="A281:A286"/>
    <mergeCell ref="B281:B286"/>
    <mergeCell ref="C281:C286"/>
    <mergeCell ref="D281:D286"/>
    <mergeCell ref="E281:E286"/>
    <mergeCell ref="F281:F286"/>
    <mergeCell ref="G281:G286"/>
    <mergeCell ref="H281:H286"/>
    <mergeCell ref="M281:M286"/>
    <mergeCell ref="O281:O286"/>
    <mergeCell ref="P281:P286"/>
    <mergeCell ref="Q281:Q286"/>
    <mergeCell ref="R281:R286"/>
    <mergeCell ref="S281:S286"/>
    <mergeCell ref="T281:T286"/>
    <mergeCell ref="U281:U286"/>
    <mergeCell ref="A293:A298"/>
    <mergeCell ref="B293:B298"/>
    <mergeCell ref="C293:C298"/>
    <mergeCell ref="D293:D298"/>
    <mergeCell ref="E293:E298"/>
    <mergeCell ref="F293:F298"/>
    <mergeCell ref="G293:G298"/>
    <mergeCell ref="H293:H298"/>
    <mergeCell ref="N293:N298"/>
    <mergeCell ref="M293:M298"/>
    <mergeCell ref="G275:G280"/>
    <mergeCell ref="H275:H280"/>
    <mergeCell ref="N275:N280"/>
    <mergeCell ref="M275:M280"/>
    <mergeCell ref="V263:V268"/>
    <mergeCell ref="A269:A274"/>
    <mergeCell ref="B269:B274"/>
    <mergeCell ref="C269:C274"/>
    <mergeCell ref="D269:D274"/>
    <mergeCell ref="E269:E274"/>
    <mergeCell ref="F269:F274"/>
    <mergeCell ref="G269:G274"/>
    <mergeCell ref="H269:H274"/>
    <mergeCell ref="M269:M274"/>
    <mergeCell ref="O269:O274"/>
    <mergeCell ref="P269:P274"/>
    <mergeCell ref="Q269:Q274"/>
    <mergeCell ref="R269:R274"/>
    <mergeCell ref="S269:S274"/>
    <mergeCell ref="T269:T274"/>
    <mergeCell ref="U269:U274"/>
    <mergeCell ref="V269:V274"/>
    <mergeCell ref="O275:O280"/>
    <mergeCell ref="P275:P280"/>
    <mergeCell ref="Q275:Q280"/>
    <mergeCell ref="R275:R280"/>
    <mergeCell ref="O257:O262"/>
    <mergeCell ref="P257:P262"/>
    <mergeCell ref="Q257:Q262"/>
    <mergeCell ref="R257:R262"/>
    <mergeCell ref="S275:S280"/>
    <mergeCell ref="T275:T280"/>
    <mergeCell ref="U275:U280"/>
    <mergeCell ref="V275:V280"/>
    <mergeCell ref="N263:N268"/>
    <mergeCell ref="N269:N274"/>
    <mergeCell ref="A263:A268"/>
    <mergeCell ref="B263:B268"/>
    <mergeCell ref="C263:C268"/>
    <mergeCell ref="D263:D268"/>
    <mergeCell ref="E263:E268"/>
    <mergeCell ref="F263:F268"/>
    <mergeCell ref="G263:G268"/>
    <mergeCell ref="H263:H268"/>
    <mergeCell ref="M263:M268"/>
    <mergeCell ref="O263:O268"/>
    <mergeCell ref="P263:P268"/>
    <mergeCell ref="Q263:Q268"/>
    <mergeCell ref="R263:R268"/>
    <mergeCell ref="S263:S268"/>
    <mergeCell ref="T263:T268"/>
    <mergeCell ref="U263:U268"/>
    <mergeCell ref="A275:A280"/>
    <mergeCell ref="B275:B280"/>
    <mergeCell ref="C275:C280"/>
    <mergeCell ref="D275:D280"/>
    <mergeCell ref="E275:E280"/>
    <mergeCell ref="F275:F280"/>
    <mergeCell ref="V245:V250"/>
    <mergeCell ref="A251:A256"/>
    <mergeCell ref="B251:B256"/>
    <mergeCell ref="C251:C256"/>
    <mergeCell ref="D251:D256"/>
    <mergeCell ref="E251:E256"/>
    <mergeCell ref="F251:F256"/>
    <mergeCell ref="G251:G256"/>
    <mergeCell ref="H251:H256"/>
    <mergeCell ref="M251:M256"/>
    <mergeCell ref="O251:O256"/>
    <mergeCell ref="P251:P256"/>
    <mergeCell ref="Q251:Q256"/>
    <mergeCell ref="R251:R256"/>
    <mergeCell ref="S251:S256"/>
    <mergeCell ref="T251:T256"/>
    <mergeCell ref="U251:U256"/>
    <mergeCell ref="V251:V256"/>
    <mergeCell ref="I251:I256"/>
    <mergeCell ref="J251:J256"/>
    <mergeCell ref="K251:K256"/>
    <mergeCell ref="L251:L256"/>
    <mergeCell ref="S257:S262"/>
    <mergeCell ref="T257:T262"/>
    <mergeCell ref="U257:U262"/>
    <mergeCell ref="V257:V262"/>
    <mergeCell ref="N245:N250"/>
    <mergeCell ref="N251:N256"/>
    <mergeCell ref="A245:A250"/>
    <mergeCell ref="B245:B250"/>
    <mergeCell ref="C245:C250"/>
    <mergeCell ref="D245:D250"/>
    <mergeCell ref="E245:E250"/>
    <mergeCell ref="F245:F250"/>
    <mergeCell ref="G245:G250"/>
    <mergeCell ref="H245:H250"/>
    <mergeCell ref="M245:M250"/>
    <mergeCell ref="O245:O250"/>
    <mergeCell ref="P245:P250"/>
    <mergeCell ref="Q245:Q250"/>
    <mergeCell ref="R245:R250"/>
    <mergeCell ref="S245:S250"/>
    <mergeCell ref="T245:T250"/>
    <mergeCell ref="U245:U250"/>
    <mergeCell ref="A257:A262"/>
    <mergeCell ref="B257:B262"/>
    <mergeCell ref="C257:C262"/>
    <mergeCell ref="D257:D262"/>
    <mergeCell ref="E257:E262"/>
    <mergeCell ref="F257:F262"/>
    <mergeCell ref="G257:G262"/>
    <mergeCell ref="H257:H262"/>
    <mergeCell ref="N257:N262"/>
    <mergeCell ref="M257:M262"/>
    <mergeCell ref="G239:G244"/>
    <mergeCell ref="H239:H244"/>
    <mergeCell ref="N239:N244"/>
    <mergeCell ref="M239:M244"/>
    <mergeCell ref="V227:V232"/>
    <mergeCell ref="A233:A238"/>
    <mergeCell ref="B233:B238"/>
    <mergeCell ref="C233:C238"/>
    <mergeCell ref="D233:D238"/>
    <mergeCell ref="E233:E238"/>
    <mergeCell ref="F233:F238"/>
    <mergeCell ref="G233:G238"/>
    <mergeCell ref="H233:H238"/>
    <mergeCell ref="M233:M238"/>
    <mergeCell ref="O233:O238"/>
    <mergeCell ref="P233:P238"/>
    <mergeCell ref="Q233:Q238"/>
    <mergeCell ref="R233:R238"/>
    <mergeCell ref="S233:S238"/>
    <mergeCell ref="T233:T238"/>
    <mergeCell ref="U233:U238"/>
    <mergeCell ref="V233:V238"/>
    <mergeCell ref="O239:O244"/>
    <mergeCell ref="P239:P244"/>
    <mergeCell ref="Q239:Q244"/>
    <mergeCell ref="R239:R244"/>
    <mergeCell ref="O221:O226"/>
    <mergeCell ref="P221:P226"/>
    <mergeCell ref="Q221:Q226"/>
    <mergeCell ref="R221:R226"/>
    <mergeCell ref="S239:S244"/>
    <mergeCell ref="T239:T244"/>
    <mergeCell ref="U239:U244"/>
    <mergeCell ref="V239:V244"/>
    <mergeCell ref="N227:N232"/>
    <mergeCell ref="N233:N238"/>
    <mergeCell ref="A227:A232"/>
    <mergeCell ref="B227:B232"/>
    <mergeCell ref="C227:C232"/>
    <mergeCell ref="D227:D232"/>
    <mergeCell ref="E227:E232"/>
    <mergeCell ref="F227:F232"/>
    <mergeCell ref="G227:G232"/>
    <mergeCell ref="H227:H232"/>
    <mergeCell ref="M227:M232"/>
    <mergeCell ref="O227:O232"/>
    <mergeCell ref="P227:P232"/>
    <mergeCell ref="Q227:Q232"/>
    <mergeCell ref="R227:R232"/>
    <mergeCell ref="S227:S232"/>
    <mergeCell ref="T227:T232"/>
    <mergeCell ref="U227:U232"/>
    <mergeCell ref="A239:A244"/>
    <mergeCell ref="B239:B244"/>
    <mergeCell ref="C239:C244"/>
    <mergeCell ref="D239:D244"/>
    <mergeCell ref="E239:E244"/>
    <mergeCell ref="F239:F244"/>
    <mergeCell ref="V209:V214"/>
    <mergeCell ref="A215:A220"/>
    <mergeCell ref="B215:B220"/>
    <mergeCell ref="C215:C220"/>
    <mergeCell ref="D215:D220"/>
    <mergeCell ref="E215:E220"/>
    <mergeCell ref="F215:F220"/>
    <mergeCell ref="G215:G220"/>
    <mergeCell ref="H215:H220"/>
    <mergeCell ref="M215:M220"/>
    <mergeCell ref="O215:O220"/>
    <mergeCell ref="P215:P220"/>
    <mergeCell ref="Q215:Q220"/>
    <mergeCell ref="R215:R220"/>
    <mergeCell ref="S215:S220"/>
    <mergeCell ref="T215:T220"/>
    <mergeCell ref="U215:U220"/>
    <mergeCell ref="V215:V220"/>
    <mergeCell ref="I215:I220"/>
    <mergeCell ref="J215:J220"/>
    <mergeCell ref="K215:K220"/>
    <mergeCell ref="L215:L220"/>
    <mergeCell ref="S221:S226"/>
    <mergeCell ref="T221:T226"/>
    <mergeCell ref="U221:U226"/>
    <mergeCell ref="V221:V226"/>
    <mergeCell ref="N209:N214"/>
    <mergeCell ref="N215:N220"/>
    <mergeCell ref="A209:A214"/>
    <mergeCell ref="B209:B214"/>
    <mergeCell ref="C209:C214"/>
    <mergeCell ref="D209:D214"/>
    <mergeCell ref="E209:E214"/>
    <mergeCell ref="F209:F214"/>
    <mergeCell ref="G209:G214"/>
    <mergeCell ref="H209:H214"/>
    <mergeCell ref="M209:M214"/>
    <mergeCell ref="O209:O214"/>
    <mergeCell ref="P209:P214"/>
    <mergeCell ref="Q209:Q214"/>
    <mergeCell ref="R209:R214"/>
    <mergeCell ref="S209:S214"/>
    <mergeCell ref="T209:T214"/>
    <mergeCell ref="U209:U214"/>
    <mergeCell ref="A221:A226"/>
    <mergeCell ref="B221:B226"/>
    <mergeCell ref="C221:C226"/>
    <mergeCell ref="D221:D226"/>
    <mergeCell ref="E221:E226"/>
    <mergeCell ref="F221:F226"/>
    <mergeCell ref="G221:G226"/>
    <mergeCell ref="H221:H226"/>
    <mergeCell ref="N221:N226"/>
    <mergeCell ref="M221:M226"/>
    <mergeCell ref="G203:G208"/>
    <mergeCell ref="H203:H208"/>
    <mergeCell ref="N203:N208"/>
    <mergeCell ref="M203:M208"/>
    <mergeCell ref="V191:V196"/>
    <mergeCell ref="A197:A202"/>
    <mergeCell ref="B197:B202"/>
    <mergeCell ref="C197:C202"/>
    <mergeCell ref="D197:D202"/>
    <mergeCell ref="E197:E202"/>
    <mergeCell ref="F197:F202"/>
    <mergeCell ref="G197:G202"/>
    <mergeCell ref="H197:H202"/>
    <mergeCell ref="M197:M202"/>
    <mergeCell ref="O197:O202"/>
    <mergeCell ref="P197:P202"/>
    <mergeCell ref="Q197:Q202"/>
    <mergeCell ref="R197:R202"/>
    <mergeCell ref="S197:S202"/>
    <mergeCell ref="T197:T202"/>
    <mergeCell ref="U197:U202"/>
    <mergeCell ref="V197:V202"/>
    <mergeCell ref="O203:O208"/>
    <mergeCell ref="P203:P208"/>
    <mergeCell ref="Q203:Q208"/>
    <mergeCell ref="R203:R208"/>
    <mergeCell ref="O185:O190"/>
    <mergeCell ref="P185:P190"/>
    <mergeCell ref="Q185:Q190"/>
    <mergeCell ref="R185:R190"/>
    <mergeCell ref="S203:S208"/>
    <mergeCell ref="T203:T208"/>
    <mergeCell ref="U203:U208"/>
    <mergeCell ref="V203:V208"/>
    <mergeCell ref="N191:N196"/>
    <mergeCell ref="N197:N202"/>
    <mergeCell ref="A191:A196"/>
    <mergeCell ref="B191:B196"/>
    <mergeCell ref="C191:C196"/>
    <mergeCell ref="D191:D196"/>
    <mergeCell ref="E191:E196"/>
    <mergeCell ref="F191:F196"/>
    <mergeCell ref="G191:G196"/>
    <mergeCell ref="H191:H196"/>
    <mergeCell ref="M191:M196"/>
    <mergeCell ref="O191:O196"/>
    <mergeCell ref="P191:P196"/>
    <mergeCell ref="Q191:Q196"/>
    <mergeCell ref="R191:R196"/>
    <mergeCell ref="S191:S196"/>
    <mergeCell ref="T191:T196"/>
    <mergeCell ref="U191:U196"/>
    <mergeCell ref="A203:A208"/>
    <mergeCell ref="B203:B208"/>
    <mergeCell ref="C203:C208"/>
    <mergeCell ref="D203:D208"/>
    <mergeCell ref="E203:E208"/>
    <mergeCell ref="F203:F208"/>
    <mergeCell ref="V173:V178"/>
    <mergeCell ref="A179:A184"/>
    <mergeCell ref="B179:B184"/>
    <mergeCell ref="C179:C184"/>
    <mergeCell ref="D179:D184"/>
    <mergeCell ref="E179:E184"/>
    <mergeCell ref="F179:F184"/>
    <mergeCell ref="G179:G184"/>
    <mergeCell ref="H179:H184"/>
    <mergeCell ref="M179:M184"/>
    <mergeCell ref="O179:O184"/>
    <mergeCell ref="P179:P184"/>
    <mergeCell ref="Q179:Q184"/>
    <mergeCell ref="R179:R184"/>
    <mergeCell ref="S179:S184"/>
    <mergeCell ref="T179:T184"/>
    <mergeCell ref="U179:U184"/>
    <mergeCell ref="V179:V184"/>
    <mergeCell ref="I179:I184"/>
    <mergeCell ref="J179:J184"/>
    <mergeCell ref="K179:K184"/>
    <mergeCell ref="L179:L184"/>
    <mergeCell ref="S185:S190"/>
    <mergeCell ref="T185:T190"/>
    <mergeCell ref="U185:U190"/>
    <mergeCell ref="V185:V190"/>
    <mergeCell ref="N173:N178"/>
    <mergeCell ref="N179:N184"/>
    <mergeCell ref="A173:A178"/>
    <mergeCell ref="B173:B178"/>
    <mergeCell ref="C173:C178"/>
    <mergeCell ref="D173:D178"/>
    <mergeCell ref="E173:E178"/>
    <mergeCell ref="F173:F178"/>
    <mergeCell ref="G173:G178"/>
    <mergeCell ref="H173:H178"/>
    <mergeCell ref="M173:M178"/>
    <mergeCell ref="O173:O178"/>
    <mergeCell ref="P173:P178"/>
    <mergeCell ref="Q173:Q178"/>
    <mergeCell ref="R173:R178"/>
    <mergeCell ref="S173:S178"/>
    <mergeCell ref="T173:T178"/>
    <mergeCell ref="U173:U178"/>
    <mergeCell ref="A185:A190"/>
    <mergeCell ref="B185:B190"/>
    <mergeCell ref="C185:C190"/>
    <mergeCell ref="D185:D190"/>
    <mergeCell ref="E185:E190"/>
    <mergeCell ref="F185:F190"/>
    <mergeCell ref="G185:G190"/>
    <mergeCell ref="H185:H190"/>
    <mergeCell ref="N185:N190"/>
    <mergeCell ref="M185:M190"/>
    <mergeCell ref="G167:G172"/>
    <mergeCell ref="H167:H172"/>
    <mergeCell ref="N167:N172"/>
    <mergeCell ref="M167:M172"/>
    <mergeCell ref="V155:V160"/>
    <mergeCell ref="A161:A166"/>
    <mergeCell ref="B161:B166"/>
    <mergeCell ref="C161:C166"/>
    <mergeCell ref="D161:D166"/>
    <mergeCell ref="E161:E166"/>
    <mergeCell ref="F161:F166"/>
    <mergeCell ref="G161:G166"/>
    <mergeCell ref="H161:H166"/>
    <mergeCell ref="M161:M166"/>
    <mergeCell ref="O161:O166"/>
    <mergeCell ref="P161:P166"/>
    <mergeCell ref="Q161:Q166"/>
    <mergeCell ref="R161:R166"/>
    <mergeCell ref="S161:S166"/>
    <mergeCell ref="T161:T166"/>
    <mergeCell ref="U161:U166"/>
    <mergeCell ref="V161:V166"/>
    <mergeCell ref="O167:O172"/>
    <mergeCell ref="P167:P172"/>
    <mergeCell ref="Q167:Q172"/>
    <mergeCell ref="R167:R172"/>
    <mergeCell ref="O149:O154"/>
    <mergeCell ref="P149:P154"/>
    <mergeCell ref="Q149:Q154"/>
    <mergeCell ref="R149:R154"/>
    <mergeCell ref="S167:S172"/>
    <mergeCell ref="T167:T172"/>
    <mergeCell ref="U167:U172"/>
    <mergeCell ref="V167:V172"/>
    <mergeCell ref="N155:N160"/>
    <mergeCell ref="N161:N166"/>
    <mergeCell ref="A155:A160"/>
    <mergeCell ref="B155:B160"/>
    <mergeCell ref="C155:C160"/>
    <mergeCell ref="D155:D160"/>
    <mergeCell ref="E155:E160"/>
    <mergeCell ref="F155:F160"/>
    <mergeCell ref="G155:G160"/>
    <mergeCell ref="H155:H160"/>
    <mergeCell ref="M155:M160"/>
    <mergeCell ref="O155:O160"/>
    <mergeCell ref="P155:P160"/>
    <mergeCell ref="Q155:Q160"/>
    <mergeCell ref="R155:R160"/>
    <mergeCell ref="S155:S160"/>
    <mergeCell ref="T155:T160"/>
    <mergeCell ref="U155:U160"/>
    <mergeCell ref="A167:A172"/>
    <mergeCell ref="B167:B172"/>
    <mergeCell ref="C167:C172"/>
    <mergeCell ref="D167:D172"/>
    <mergeCell ref="E167:E172"/>
    <mergeCell ref="F167:F172"/>
    <mergeCell ref="V137:V142"/>
    <mergeCell ref="A143:A148"/>
    <mergeCell ref="B143:B148"/>
    <mergeCell ref="C143:C148"/>
    <mergeCell ref="D143:D148"/>
    <mergeCell ref="E143:E148"/>
    <mergeCell ref="F143:F148"/>
    <mergeCell ref="G143:G148"/>
    <mergeCell ref="H143:H148"/>
    <mergeCell ref="M143:M148"/>
    <mergeCell ref="O143:O148"/>
    <mergeCell ref="P143:P148"/>
    <mergeCell ref="Q143:Q148"/>
    <mergeCell ref="R143:R148"/>
    <mergeCell ref="S143:S148"/>
    <mergeCell ref="T143:T148"/>
    <mergeCell ref="U143:U148"/>
    <mergeCell ref="V143:V148"/>
    <mergeCell ref="I137:I142"/>
    <mergeCell ref="J137:J142"/>
    <mergeCell ref="K137:K142"/>
    <mergeCell ref="L137:L142"/>
    <mergeCell ref="I143:I148"/>
    <mergeCell ref="J143:J148"/>
    <mergeCell ref="K143:K148"/>
    <mergeCell ref="L143:L148"/>
    <mergeCell ref="S149:S154"/>
    <mergeCell ref="T149:T154"/>
    <mergeCell ref="U149:U154"/>
    <mergeCell ref="V149:V154"/>
    <mergeCell ref="N137:N142"/>
    <mergeCell ref="N143:N148"/>
    <mergeCell ref="A137:A142"/>
    <mergeCell ref="B137:B142"/>
    <mergeCell ref="C137:C142"/>
    <mergeCell ref="D137:D142"/>
    <mergeCell ref="E137:E142"/>
    <mergeCell ref="F137:F142"/>
    <mergeCell ref="G137:G142"/>
    <mergeCell ref="H137:H142"/>
    <mergeCell ref="M137:M142"/>
    <mergeCell ref="O137:O142"/>
    <mergeCell ref="P137:P142"/>
    <mergeCell ref="Q137:Q142"/>
    <mergeCell ref="R137:R142"/>
    <mergeCell ref="S137:S142"/>
    <mergeCell ref="T137:T142"/>
    <mergeCell ref="U137:U142"/>
    <mergeCell ref="A149:A154"/>
    <mergeCell ref="B149:B154"/>
    <mergeCell ref="C149:C154"/>
    <mergeCell ref="D149:D154"/>
    <mergeCell ref="E149:E154"/>
    <mergeCell ref="F149:F154"/>
    <mergeCell ref="G149:G154"/>
    <mergeCell ref="H149:H154"/>
    <mergeCell ref="N149:N154"/>
    <mergeCell ref="M149:M154"/>
    <mergeCell ref="O125:O130"/>
    <mergeCell ref="P125:P130"/>
    <mergeCell ref="Q125:Q130"/>
    <mergeCell ref="R125:R130"/>
    <mergeCell ref="S125:S130"/>
    <mergeCell ref="T125:T130"/>
    <mergeCell ref="U125:U130"/>
    <mergeCell ref="V125:V130"/>
    <mergeCell ref="O131:O136"/>
    <mergeCell ref="P131:P136"/>
    <mergeCell ref="Q131:Q136"/>
    <mergeCell ref="R131:R136"/>
    <mergeCell ref="S131:S136"/>
    <mergeCell ref="T131:T136"/>
    <mergeCell ref="U131:U136"/>
    <mergeCell ref="V131:V136"/>
    <mergeCell ref="I131:I136"/>
    <mergeCell ref="J131:J136"/>
    <mergeCell ref="K131:K136"/>
    <mergeCell ref="L131:L136"/>
    <mergeCell ref="A131:A136"/>
    <mergeCell ref="B131:B136"/>
    <mergeCell ref="C131:C136"/>
    <mergeCell ref="D131:D136"/>
    <mergeCell ref="E131:E136"/>
    <mergeCell ref="F131:F136"/>
    <mergeCell ref="G131:G136"/>
    <mergeCell ref="H131:H136"/>
    <mergeCell ref="M131:M136"/>
    <mergeCell ref="J119:J124"/>
    <mergeCell ref="K119:K124"/>
    <mergeCell ref="L119:L124"/>
    <mergeCell ref="I125:I130"/>
    <mergeCell ref="J125:J130"/>
    <mergeCell ref="K125:K130"/>
    <mergeCell ref="L125:L130"/>
    <mergeCell ref="D125:D130"/>
    <mergeCell ref="E125:E130"/>
    <mergeCell ref="F125:F130"/>
    <mergeCell ref="G125:G130"/>
    <mergeCell ref="H125:H130"/>
    <mergeCell ref="M125:M130"/>
    <mergeCell ref="Q113:Q118"/>
    <mergeCell ref="R113:R118"/>
    <mergeCell ref="S113:S118"/>
    <mergeCell ref="T113:T118"/>
    <mergeCell ref="U113:U118"/>
    <mergeCell ref="V113:V118"/>
    <mergeCell ref="L107:L112"/>
    <mergeCell ref="I113:I118"/>
    <mergeCell ref="J113:J118"/>
    <mergeCell ref="K113:K118"/>
    <mergeCell ref="L113:L118"/>
    <mergeCell ref="I119:I124"/>
    <mergeCell ref="A119:A124"/>
    <mergeCell ref="B119:B124"/>
    <mergeCell ref="C119:C124"/>
    <mergeCell ref="D119:D124"/>
    <mergeCell ref="E119:E124"/>
    <mergeCell ref="F119:F124"/>
    <mergeCell ref="G119:G124"/>
    <mergeCell ref="H119:H124"/>
    <mergeCell ref="M119:M124"/>
    <mergeCell ref="O119:O124"/>
    <mergeCell ref="P119:P124"/>
    <mergeCell ref="Q119:Q124"/>
    <mergeCell ref="R119:R124"/>
    <mergeCell ref="S119:S124"/>
    <mergeCell ref="T119:T124"/>
    <mergeCell ref="U119:U124"/>
    <mergeCell ref="A113:A118"/>
    <mergeCell ref="B113:B118"/>
    <mergeCell ref="C113:C118"/>
    <mergeCell ref="D113:D118"/>
    <mergeCell ref="E113:E118"/>
    <mergeCell ref="F113:F118"/>
    <mergeCell ref="G113:G118"/>
    <mergeCell ref="H113:H118"/>
    <mergeCell ref="M113:M118"/>
    <mergeCell ref="I107:I112"/>
    <mergeCell ref="J107:J112"/>
    <mergeCell ref="K107:K112"/>
    <mergeCell ref="V119:V124"/>
    <mergeCell ref="A125:A130"/>
    <mergeCell ref="B125:B130"/>
    <mergeCell ref="C125:C130"/>
    <mergeCell ref="D107:D112"/>
    <mergeCell ref="E107:E112"/>
    <mergeCell ref="F107:F112"/>
    <mergeCell ref="G107:G112"/>
    <mergeCell ref="H107:H112"/>
    <mergeCell ref="M107:M112"/>
    <mergeCell ref="O107:O112"/>
    <mergeCell ref="P107:P112"/>
    <mergeCell ref="Q107:Q112"/>
    <mergeCell ref="R107:R112"/>
    <mergeCell ref="S107:S112"/>
    <mergeCell ref="T107:T112"/>
    <mergeCell ref="U107:U112"/>
    <mergeCell ref="V107:V112"/>
    <mergeCell ref="O113:O118"/>
    <mergeCell ref="P113:P118"/>
    <mergeCell ref="A107:A112"/>
    <mergeCell ref="B107:B112"/>
    <mergeCell ref="C107:C112"/>
    <mergeCell ref="A91:A96"/>
    <mergeCell ref="B91:B96"/>
    <mergeCell ref="C91:C96"/>
    <mergeCell ref="D91:D96"/>
    <mergeCell ref="E91:E96"/>
    <mergeCell ref="F91:F96"/>
    <mergeCell ref="G91:G96"/>
    <mergeCell ref="H91:H96"/>
    <mergeCell ref="M91:M96"/>
    <mergeCell ref="V79:V84"/>
    <mergeCell ref="A85:A90"/>
    <mergeCell ref="B85:B90"/>
    <mergeCell ref="C85:C90"/>
    <mergeCell ref="D85:D90"/>
    <mergeCell ref="E85:E90"/>
    <mergeCell ref="F85:F90"/>
    <mergeCell ref="G85:G90"/>
    <mergeCell ref="H85:H90"/>
    <mergeCell ref="M85:M90"/>
    <mergeCell ref="O85:O90"/>
    <mergeCell ref="P85:P90"/>
    <mergeCell ref="Q85:Q90"/>
    <mergeCell ref="R85:R90"/>
    <mergeCell ref="S85:S90"/>
    <mergeCell ref="T85:T90"/>
    <mergeCell ref="U85:U90"/>
    <mergeCell ref="V85:V90"/>
    <mergeCell ref="O91:O96"/>
    <mergeCell ref="S97:S102"/>
    <mergeCell ref="Q91:Q96"/>
    <mergeCell ref="R91:R96"/>
    <mergeCell ref="S91:S96"/>
    <mergeCell ref="A79:A84"/>
    <mergeCell ref="B79:B84"/>
    <mergeCell ref="C79:C84"/>
    <mergeCell ref="D79:D84"/>
    <mergeCell ref="E79:E84"/>
    <mergeCell ref="F79:F84"/>
    <mergeCell ref="G79:G84"/>
    <mergeCell ref="H79:H84"/>
    <mergeCell ref="M79:M84"/>
    <mergeCell ref="O79:O84"/>
    <mergeCell ref="P79:P84"/>
    <mergeCell ref="Q79:Q84"/>
    <mergeCell ref="R79:R84"/>
    <mergeCell ref="S79:S84"/>
    <mergeCell ref="I79:I84"/>
    <mergeCell ref="J79:J84"/>
    <mergeCell ref="K79:K84"/>
    <mergeCell ref="L79:L84"/>
    <mergeCell ref="I85:I90"/>
    <mergeCell ref="J85:J90"/>
    <mergeCell ref="K85:K90"/>
    <mergeCell ref="L85:L90"/>
    <mergeCell ref="I91:I96"/>
    <mergeCell ref="J91:J96"/>
    <mergeCell ref="K91:K96"/>
    <mergeCell ref="L91:L96"/>
    <mergeCell ref="T79:T84"/>
    <mergeCell ref="U79:U84"/>
    <mergeCell ref="A73:A78"/>
    <mergeCell ref="B73:B78"/>
    <mergeCell ref="C73:C78"/>
    <mergeCell ref="D73:D78"/>
    <mergeCell ref="E73:E78"/>
    <mergeCell ref="D61:D66"/>
    <mergeCell ref="D67:D72"/>
    <mergeCell ref="B19:B24"/>
    <mergeCell ref="B55:B60"/>
    <mergeCell ref="B61:B66"/>
    <mergeCell ref="T91:T96"/>
    <mergeCell ref="U91:U96"/>
    <mergeCell ref="V91:V96"/>
    <mergeCell ref="O73:O78"/>
    <mergeCell ref="P73:P78"/>
    <mergeCell ref="Q73:Q78"/>
    <mergeCell ref="R73:R78"/>
    <mergeCell ref="S73:S78"/>
    <mergeCell ref="T73:T78"/>
    <mergeCell ref="U73:U78"/>
    <mergeCell ref="V73:V78"/>
    <mergeCell ref="P61:P66"/>
    <mergeCell ref="Q61:Q66"/>
    <mergeCell ref="O43:O48"/>
    <mergeCell ref="P43:P48"/>
    <mergeCell ref="Q43:Q48"/>
    <mergeCell ref="S37:S42"/>
    <mergeCell ref="T37:T42"/>
    <mergeCell ref="F73:F78"/>
    <mergeCell ref="P91:P96"/>
    <mergeCell ref="G73:G78"/>
    <mergeCell ref="H73:H78"/>
    <mergeCell ref="M73:M78"/>
    <mergeCell ref="AP1:AR2"/>
    <mergeCell ref="AP3:AR3"/>
    <mergeCell ref="AP4:AR4"/>
    <mergeCell ref="AP5:AR5"/>
    <mergeCell ref="H1:AO1"/>
    <mergeCell ref="H2:AO3"/>
    <mergeCell ref="H4:AO4"/>
    <mergeCell ref="H5:AO5"/>
    <mergeCell ref="A2:G5"/>
    <mergeCell ref="A1:G1"/>
    <mergeCell ref="B13:B18"/>
    <mergeCell ref="C49:C54"/>
    <mergeCell ref="C55:C60"/>
    <mergeCell ref="C61:C66"/>
    <mergeCell ref="C67:C72"/>
    <mergeCell ref="D19:D24"/>
    <mergeCell ref="D25:D30"/>
    <mergeCell ref="D31:D36"/>
    <mergeCell ref="D37:D42"/>
    <mergeCell ref="D43:D48"/>
    <mergeCell ref="D49:D54"/>
    <mergeCell ref="F9:V9"/>
    <mergeCell ref="Q11:Q12"/>
    <mergeCell ref="T11:T12"/>
    <mergeCell ref="M11:M12"/>
    <mergeCell ref="H11:H12"/>
    <mergeCell ref="G11:G12"/>
    <mergeCell ref="O11:O12"/>
    <mergeCell ref="P11:P12"/>
    <mergeCell ref="B11:B12"/>
    <mergeCell ref="W7:Y7"/>
    <mergeCell ref="A10:O10"/>
    <mergeCell ref="P10:V10"/>
    <mergeCell ref="W10:AE10"/>
    <mergeCell ref="C11:C12"/>
    <mergeCell ref="D11:D12"/>
    <mergeCell ref="N11:N12"/>
    <mergeCell ref="U55:U60"/>
    <mergeCell ref="V55:V60"/>
    <mergeCell ref="D55:D60"/>
    <mergeCell ref="E569:AR569"/>
    <mergeCell ref="U61:U66"/>
    <mergeCell ref="V61:V66"/>
    <mergeCell ref="A67:A72"/>
    <mergeCell ref="E67:E72"/>
    <mergeCell ref="F67:F72"/>
    <mergeCell ref="G67:G72"/>
    <mergeCell ref="H67:H72"/>
    <mergeCell ref="M67:M72"/>
    <mergeCell ref="O67:O72"/>
    <mergeCell ref="P67:P72"/>
    <mergeCell ref="Q67:Q72"/>
    <mergeCell ref="R67:R72"/>
    <mergeCell ref="S67:S72"/>
    <mergeCell ref="T67:T72"/>
    <mergeCell ref="C31:C36"/>
    <mergeCell ref="A61:A66"/>
    <mergeCell ref="V67:V72"/>
    <mergeCell ref="R61:R66"/>
    <mergeCell ref="S61:S66"/>
    <mergeCell ref="T61:T66"/>
    <mergeCell ref="U67:U72"/>
    <mergeCell ref="V49:V54"/>
    <mergeCell ref="E61:E66"/>
    <mergeCell ref="F61:F66"/>
    <mergeCell ref="G61:G66"/>
    <mergeCell ref="H61:H66"/>
    <mergeCell ref="M61:M66"/>
    <mergeCell ref="S55:S60"/>
    <mergeCell ref="T55:T60"/>
    <mergeCell ref="O61:O66"/>
    <mergeCell ref="B67:B72"/>
    <mergeCell ref="A55:A60"/>
    <mergeCell ref="E55:E60"/>
    <mergeCell ref="F55:F60"/>
    <mergeCell ref="G55:G60"/>
    <mergeCell ref="H55:H60"/>
    <mergeCell ref="B49:B54"/>
    <mergeCell ref="E49:E54"/>
    <mergeCell ref="F49:F54"/>
    <mergeCell ref="G49:G54"/>
    <mergeCell ref="H49:H54"/>
    <mergeCell ref="M55:M60"/>
    <mergeCell ref="O55:O60"/>
    <mergeCell ref="P55:P60"/>
    <mergeCell ref="Q55:Q60"/>
    <mergeCell ref="R55:R60"/>
    <mergeCell ref="M49:M54"/>
    <mergeCell ref="O49:O54"/>
    <mergeCell ref="P49:P54"/>
    <mergeCell ref="Q49:Q54"/>
    <mergeCell ref="I49:I54"/>
    <mergeCell ref="J49:J54"/>
    <mergeCell ref="A37:A42"/>
    <mergeCell ref="E37:E42"/>
    <mergeCell ref="F37:F42"/>
    <mergeCell ref="A43:A48"/>
    <mergeCell ref="E43:E48"/>
    <mergeCell ref="F43:F48"/>
    <mergeCell ref="G43:G48"/>
    <mergeCell ref="H43:H48"/>
    <mergeCell ref="M43:M48"/>
    <mergeCell ref="G37:G42"/>
    <mergeCell ref="H37:H42"/>
    <mergeCell ref="M37:M42"/>
    <mergeCell ref="C37:C42"/>
    <mergeCell ref="C43:C48"/>
    <mergeCell ref="B37:B42"/>
    <mergeCell ref="B43:B48"/>
    <mergeCell ref="U43:U48"/>
    <mergeCell ref="I37:I42"/>
    <mergeCell ref="J37:J42"/>
    <mergeCell ref="K37:K42"/>
    <mergeCell ref="L37:L42"/>
    <mergeCell ref="I43:I48"/>
    <mergeCell ref="J43:J48"/>
    <mergeCell ref="K43:K48"/>
    <mergeCell ref="L43:L48"/>
    <mergeCell ref="U31:U36"/>
    <mergeCell ref="V31:V36"/>
    <mergeCell ref="C19:C24"/>
    <mergeCell ref="S19:S24"/>
    <mergeCell ref="T19:T24"/>
    <mergeCell ref="U37:U42"/>
    <mergeCell ref="V37:V42"/>
    <mergeCell ref="O37:O42"/>
    <mergeCell ref="P37:P42"/>
    <mergeCell ref="Q37:Q42"/>
    <mergeCell ref="Q19:Q24"/>
    <mergeCell ref="R19:R24"/>
    <mergeCell ref="P25:P30"/>
    <mergeCell ref="J25:J30"/>
    <mergeCell ref="K25:K30"/>
    <mergeCell ref="L25:L30"/>
    <mergeCell ref="I31:I36"/>
    <mergeCell ref="J31:J36"/>
    <mergeCell ref="K31:K36"/>
    <mergeCell ref="L31:L36"/>
    <mergeCell ref="A31:A36"/>
    <mergeCell ref="E31:E36"/>
    <mergeCell ref="F31:F36"/>
    <mergeCell ref="G31:G36"/>
    <mergeCell ref="H31:H36"/>
    <mergeCell ref="M31:M36"/>
    <mergeCell ref="O31:O36"/>
    <mergeCell ref="P31:P36"/>
    <mergeCell ref="Q31:Q36"/>
    <mergeCell ref="B31:B36"/>
    <mergeCell ref="A19:A24"/>
    <mergeCell ref="E19:E24"/>
    <mergeCell ref="F19:F24"/>
    <mergeCell ref="G19:G24"/>
    <mergeCell ref="H19:H24"/>
    <mergeCell ref="U25:U30"/>
    <mergeCell ref="V25:V30"/>
    <mergeCell ref="Q25:Q30"/>
    <mergeCell ref="R25:R30"/>
    <mergeCell ref="S25:S30"/>
    <mergeCell ref="T25:T30"/>
    <mergeCell ref="M19:M24"/>
    <mergeCell ref="O19:O24"/>
    <mergeCell ref="P19:P24"/>
    <mergeCell ref="A25:A30"/>
    <mergeCell ref="E25:E30"/>
    <mergeCell ref="F25:F30"/>
    <mergeCell ref="G25:G30"/>
    <mergeCell ref="H25:H30"/>
    <mergeCell ref="M25:M30"/>
    <mergeCell ref="C25:C30"/>
    <mergeCell ref="O25:O30"/>
    <mergeCell ref="A7:E7"/>
    <mergeCell ref="A8:E8"/>
    <mergeCell ref="A9:E9"/>
    <mergeCell ref="F7:V7"/>
    <mergeCell ref="F8:V8"/>
    <mergeCell ref="B25:B30"/>
    <mergeCell ref="N19:N24"/>
    <mergeCell ref="N25:N30"/>
    <mergeCell ref="A13:A18"/>
    <mergeCell ref="E13:E18"/>
    <mergeCell ref="F13:F18"/>
    <mergeCell ref="G13:G18"/>
    <mergeCell ref="H13:H18"/>
    <mergeCell ref="U11:U12"/>
    <mergeCell ref="W11:W12"/>
    <mergeCell ref="E11:E12"/>
    <mergeCell ref="V11:V12"/>
    <mergeCell ref="R11:R12"/>
    <mergeCell ref="S11:S12"/>
    <mergeCell ref="F11:F12"/>
    <mergeCell ref="U19:U24"/>
    <mergeCell ref="V19:V24"/>
    <mergeCell ref="A11:A12"/>
    <mergeCell ref="I11:L11"/>
    <mergeCell ref="I13:I18"/>
    <mergeCell ref="J13:J18"/>
    <mergeCell ref="K13:K18"/>
    <mergeCell ref="L13:L18"/>
    <mergeCell ref="I19:I24"/>
    <mergeCell ref="J19:J24"/>
    <mergeCell ref="K19:K24"/>
    <mergeCell ref="L19:L24"/>
    <mergeCell ref="C13:C18"/>
    <mergeCell ref="D13:D18"/>
    <mergeCell ref="V13:V18"/>
    <mergeCell ref="Q13:Q18"/>
    <mergeCell ref="R13:R18"/>
    <mergeCell ref="S13:S18"/>
    <mergeCell ref="T13:T18"/>
    <mergeCell ref="M13:M18"/>
    <mergeCell ref="N13:N18"/>
    <mergeCell ref="AF11:AF12"/>
    <mergeCell ref="X11:X12"/>
    <mergeCell ref="AF10:AL10"/>
    <mergeCell ref="AM11:AM12"/>
    <mergeCell ref="AR11:AR12"/>
    <mergeCell ref="AQ11:AQ12"/>
    <mergeCell ref="AP11:AP12"/>
    <mergeCell ref="AO11:AO12"/>
    <mergeCell ref="AN11:AN12"/>
    <mergeCell ref="AL11:AL12"/>
    <mergeCell ref="AH11:AH12"/>
    <mergeCell ref="U13:U18"/>
    <mergeCell ref="AM10:AR10"/>
    <mergeCell ref="Y11:Y12"/>
    <mergeCell ref="Z11:AE11"/>
    <mergeCell ref="AI11:AI12"/>
    <mergeCell ref="AG11:AG12"/>
    <mergeCell ref="K55:K60"/>
    <mergeCell ref="L55:L60"/>
    <mergeCell ref="I61:I66"/>
    <mergeCell ref="J61:J66"/>
    <mergeCell ref="K61:K66"/>
    <mergeCell ref="L61:L66"/>
    <mergeCell ref="I67:I72"/>
    <mergeCell ref="J67:J72"/>
    <mergeCell ref="K67:K72"/>
    <mergeCell ref="L67:L72"/>
    <mergeCell ref="I73:I78"/>
    <mergeCell ref="J73:J78"/>
    <mergeCell ref="K73:K78"/>
    <mergeCell ref="L73:L78"/>
    <mergeCell ref="AO6:AR6"/>
    <mergeCell ref="O13:O18"/>
    <mergeCell ref="P13:P18"/>
    <mergeCell ref="AK11:AK12"/>
    <mergeCell ref="AJ11:AJ12"/>
    <mergeCell ref="I25:I30"/>
    <mergeCell ref="V43:V48"/>
    <mergeCell ref="R49:R54"/>
    <mergeCell ref="S49:S54"/>
    <mergeCell ref="T49:T54"/>
    <mergeCell ref="S43:S48"/>
    <mergeCell ref="T43:T48"/>
    <mergeCell ref="R37:R42"/>
    <mergeCell ref="R43:R48"/>
    <mergeCell ref="U49:U54"/>
    <mergeCell ref="R31:R36"/>
    <mergeCell ref="S31:S36"/>
    <mergeCell ref="T31:T36"/>
    <mergeCell ref="I149:I154"/>
    <mergeCell ref="J149:J154"/>
    <mergeCell ref="K149:K154"/>
    <mergeCell ref="L149:L154"/>
    <mergeCell ref="I155:I160"/>
    <mergeCell ref="J155:J160"/>
    <mergeCell ref="K155:K160"/>
    <mergeCell ref="L155:L160"/>
    <mergeCell ref="I161:I166"/>
    <mergeCell ref="J161:J166"/>
    <mergeCell ref="K161:K166"/>
    <mergeCell ref="L161:L166"/>
    <mergeCell ref="I167:I172"/>
    <mergeCell ref="J167:J172"/>
    <mergeCell ref="K167:K172"/>
    <mergeCell ref="L167:L172"/>
    <mergeCell ref="I173:I178"/>
    <mergeCell ref="J173:J178"/>
    <mergeCell ref="K173:K178"/>
    <mergeCell ref="L173:L178"/>
    <mergeCell ref="I185:I190"/>
    <mergeCell ref="J185:J190"/>
    <mergeCell ref="K185:K190"/>
    <mergeCell ref="L185:L190"/>
    <mergeCell ref="I191:I196"/>
    <mergeCell ref="J191:J196"/>
    <mergeCell ref="K191:K196"/>
    <mergeCell ref="L191:L196"/>
    <mergeCell ref="I197:I202"/>
    <mergeCell ref="J197:J202"/>
    <mergeCell ref="K197:K202"/>
    <mergeCell ref="L197:L202"/>
    <mergeCell ref="I203:I208"/>
    <mergeCell ref="J203:J208"/>
    <mergeCell ref="K203:K208"/>
    <mergeCell ref="L203:L208"/>
    <mergeCell ref="I209:I214"/>
    <mergeCell ref="J209:J214"/>
    <mergeCell ref="K209:K214"/>
    <mergeCell ref="L209:L214"/>
    <mergeCell ref="I221:I226"/>
    <mergeCell ref="J221:J226"/>
    <mergeCell ref="K221:K226"/>
    <mergeCell ref="L221:L226"/>
    <mergeCell ref="I227:I232"/>
    <mergeCell ref="J227:J232"/>
    <mergeCell ref="K227:K232"/>
    <mergeCell ref="L227:L232"/>
    <mergeCell ref="I233:I238"/>
    <mergeCell ref="J233:J238"/>
    <mergeCell ref="K233:K238"/>
    <mergeCell ref="L233:L238"/>
    <mergeCell ref="I239:I244"/>
    <mergeCell ref="J239:J244"/>
    <mergeCell ref="K239:K244"/>
    <mergeCell ref="L239:L244"/>
    <mergeCell ref="I245:I250"/>
    <mergeCell ref="J245:J250"/>
    <mergeCell ref="K245:K250"/>
    <mergeCell ref="L245:L250"/>
    <mergeCell ref="I257:I262"/>
    <mergeCell ref="J257:J262"/>
    <mergeCell ref="K257:K262"/>
    <mergeCell ref="L257:L262"/>
    <mergeCell ref="I263:I268"/>
    <mergeCell ref="J263:J268"/>
    <mergeCell ref="K263:K268"/>
    <mergeCell ref="L263:L268"/>
    <mergeCell ref="I269:I274"/>
    <mergeCell ref="J269:J274"/>
    <mergeCell ref="K269:K274"/>
    <mergeCell ref="L269:L274"/>
    <mergeCell ref="I275:I280"/>
    <mergeCell ref="J275:J280"/>
    <mergeCell ref="K275:K280"/>
    <mergeCell ref="L275:L280"/>
    <mergeCell ref="I281:I286"/>
    <mergeCell ref="J281:J286"/>
    <mergeCell ref="K281:K286"/>
    <mergeCell ref="L281:L286"/>
    <mergeCell ref="I293:I298"/>
    <mergeCell ref="J293:J298"/>
    <mergeCell ref="K293:K298"/>
    <mergeCell ref="L293:L298"/>
    <mergeCell ref="I299:I304"/>
    <mergeCell ref="J299:J304"/>
    <mergeCell ref="K299:K304"/>
    <mergeCell ref="L299:L304"/>
    <mergeCell ref="I305:I310"/>
    <mergeCell ref="J305:J310"/>
    <mergeCell ref="K305:K310"/>
    <mergeCell ref="L305:L310"/>
    <mergeCell ref="I311:I316"/>
    <mergeCell ref="J311:J316"/>
    <mergeCell ref="K311:K316"/>
    <mergeCell ref="L311:L316"/>
    <mergeCell ref="I317:I322"/>
    <mergeCell ref="J317:J322"/>
    <mergeCell ref="K317:K322"/>
    <mergeCell ref="L317:L322"/>
    <mergeCell ref="I329:I334"/>
    <mergeCell ref="J329:J334"/>
    <mergeCell ref="K329:K334"/>
    <mergeCell ref="L329:L334"/>
    <mergeCell ref="I335:I340"/>
    <mergeCell ref="J335:J340"/>
    <mergeCell ref="K335:K340"/>
    <mergeCell ref="L335:L340"/>
    <mergeCell ref="I341:I346"/>
    <mergeCell ref="J341:J346"/>
    <mergeCell ref="K341:K346"/>
    <mergeCell ref="L341:L346"/>
    <mergeCell ref="I347:I352"/>
    <mergeCell ref="J347:J352"/>
    <mergeCell ref="K347:K352"/>
    <mergeCell ref="L347:L352"/>
    <mergeCell ref="I353:I358"/>
    <mergeCell ref="J353:J358"/>
    <mergeCell ref="K353:K358"/>
    <mergeCell ref="L353:L358"/>
    <mergeCell ref="I365:I370"/>
    <mergeCell ref="J365:J370"/>
    <mergeCell ref="K365:K370"/>
    <mergeCell ref="L365:L370"/>
    <mergeCell ref="I371:I376"/>
    <mergeCell ref="J371:J376"/>
    <mergeCell ref="K371:K376"/>
    <mergeCell ref="L371:L376"/>
    <mergeCell ref="I377:I382"/>
    <mergeCell ref="J377:J382"/>
    <mergeCell ref="K377:K382"/>
    <mergeCell ref="L377:L382"/>
    <mergeCell ref="I383:I388"/>
    <mergeCell ref="J383:J388"/>
    <mergeCell ref="K383:K388"/>
    <mergeCell ref="L383:L388"/>
    <mergeCell ref="I389:I394"/>
    <mergeCell ref="J389:J394"/>
    <mergeCell ref="K389:K394"/>
    <mergeCell ref="L389:L394"/>
    <mergeCell ref="I401:I406"/>
    <mergeCell ref="J401:J406"/>
    <mergeCell ref="K401:K406"/>
    <mergeCell ref="L401:L406"/>
    <mergeCell ref="I407:I412"/>
    <mergeCell ref="J407:J412"/>
    <mergeCell ref="K407:K412"/>
    <mergeCell ref="L407:L412"/>
    <mergeCell ref="I413:I418"/>
    <mergeCell ref="J413:J418"/>
    <mergeCell ref="K413:K418"/>
    <mergeCell ref="L413:L418"/>
    <mergeCell ref="I419:I424"/>
    <mergeCell ref="J419:J424"/>
    <mergeCell ref="K419:K424"/>
    <mergeCell ref="L419:L424"/>
    <mergeCell ref="I425:I430"/>
    <mergeCell ref="J425:J430"/>
    <mergeCell ref="K425:K430"/>
    <mergeCell ref="L425:L430"/>
    <mergeCell ref="I455:I460"/>
    <mergeCell ref="J455:J460"/>
    <mergeCell ref="K455:K460"/>
    <mergeCell ref="L455:L460"/>
    <mergeCell ref="I461:I466"/>
    <mergeCell ref="J461:J466"/>
    <mergeCell ref="K461:K466"/>
    <mergeCell ref="L461:L466"/>
    <mergeCell ref="I467:I472"/>
    <mergeCell ref="J467:J472"/>
    <mergeCell ref="K467:K472"/>
    <mergeCell ref="L467:L472"/>
    <mergeCell ref="I473:I478"/>
    <mergeCell ref="J473:J478"/>
    <mergeCell ref="K473:K478"/>
    <mergeCell ref="L473:L478"/>
    <mergeCell ref="I479:I484"/>
    <mergeCell ref="J479:J484"/>
    <mergeCell ref="K479:K484"/>
    <mergeCell ref="L479:L484"/>
    <mergeCell ref="I491:I496"/>
    <mergeCell ref="J491:J496"/>
    <mergeCell ref="K491:K496"/>
    <mergeCell ref="L491:L496"/>
    <mergeCell ref="I497:I502"/>
    <mergeCell ref="J497:J502"/>
    <mergeCell ref="K497:K502"/>
    <mergeCell ref="L497:L502"/>
    <mergeCell ref="I503:I508"/>
    <mergeCell ref="J503:J508"/>
    <mergeCell ref="K503:K508"/>
    <mergeCell ref="L503:L508"/>
    <mergeCell ref="I509:I514"/>
    <mergeCell ref="J509:J514"/>
    <mergeCell ref="K509:K514"/>
    <mergeCell ref="L509:L514"/>
    <mergeCell ref="I515:I520"/>
    <mergeCell ref="J515:J520"/>
    <mergeCell ref="K515:K520"/>
    <mergeCell ref="L515:L520"/>
    <mergeCell ref="J551:J556"/>
    <mergeCell ref="K551:K556"/>
    <mergeCell ref="L551:L556"/>
    <mergeCell ref="J521:J526"/>
    <mergeCell ref="K521:K526"/>
    <mergeCell ref="L521:L526"/>
    <mergeCell ref="I527:I532"/>
    <mergeCell ref="J527:J532"/>
    <mergeCell ref="K527:K532"/>
    <mergeCell ref="L527:L532"/>
    <mergeCell ref="I533:I538"/>
    <mergeCell ref="J533:J538"/>
    <mergeCell ref="K533:K538"/>
    <mergeCell ref="L533:L538"/>
    <mergeCell ref="I539:I544"/>
    <mergeCell ref="J539:J544"/>
    <mergeCell ref="K539:K544"/>
    <mergeCell ref="L539:L544"/>
    <mergeCell ref="I545:I550"/>
    <mergeCell ref="J545:J550"/>
    <mergeCell ref="K545:K550"/>
    <mergeCell ref="L545:L550"/>
    <mergeCell ref="A49:A54"/>
    <mergeCell ref="AM73:AM74"/>
    <mergeCell ref="AN73:AN74"/>
    <mergeCell ref="AO73:AO74"/>
    <mergeCell ref="AP73:AP74"/>
    <mergeCell ref="AQ73:AQ74"/>
    <mergeCell ref="AR73:AR74"/>
    <mergeCell ref="A97:A106"/>
    <mergeCell ref="B97:B106"/>
    <mergeCell ref="C97:C106"/>
    <mergeCell ref="D97:D106"/>
    <mergeCell ref="E97:E106"/>
    <mergeCell ref="F97:F106"/>
    <mergeCell ref="G97:G106"/>
    <mergeCell ref="H97:H106"/>
    <mergeCell ref="I97:I106"/>
    <mergeCell ref="J97:J106"/>
    <mergeCell ref="K97:K106"/>
    <mergeCell ref="L97:L106"/>
    <mergeCell ref="M97:M106"/>
    <mergeCell ref="N97:N106"/>
    <mergeCell ref="O97:O106"/>
    <mergeCell ref="P97:P106"/>
    <mergeCell ref="Q97:Q106"/>
    <mergeCell ref="R97:R106"/>
    <mergeCell ref="T97:T106"/>
    <mergeCell ref="U97:U106"/>
    <mergeCell ref="V97:V106"/>
    <mergeCell ref="K49:K54"/>
    <mergeCell ref="L49:L54"/>
    <mergeCell ref="I55:I60"/>
    <mergeCell ref="J55:J60"/>
  </mergeCells>
  <conditionalFormatting sqref="P13 P19 P293 P299">
    <cfRule type="cellIs" dxfId="126" priority="1301" stopIfTrue="1" operator="equal">
      <formula>"Muy Alta"</formula>
    </cfRule>
    <cfRule type="cellIs" dxfId="125" priority="1302" stopIfTrue="1" operator="equal">
      <formula>"Alta"</formula>
    </cfRule>
    <cfRule type="cellIs" dxfId="124" priority="1303" stopIfTrue="1" operator="equal">
      <formula>"Media"</formula>
    </cfRule>
    <cfRule type="cellIs" dxfId="123" priority="1304" stopIfTrue="1" operator="equal">
      <formula>"Baja"</formula>
    </cfRule>
    <cfRule type="cellIs" dxfId="122" priority="1305" stopIfTrue="1" operator="equal">
      <formula>"Muy Baja"</formula>
    </cfRule>
  </conditionalFormatting>
  <conditionalFormatting sqref="AG13:AG568">
    <cfRule type="cellIs" dxfId="121" priority="1287" stopIfTrue="1" operator="equal">
      <formula>"Muy Alta"</formula>
    </cfRule>
    <cfRule type="cellIs" dxfId="120" priority="1288" stopIfTrue="1" operator="equal">
      <formula>"Alta"</formula>
    </cfRule>
    <cfRule type="cellIs" dxfId="119" priority="1289" stopIfTrue="1" operator="equal">
      <formula>"Media"</formula>
    </cfRule>
    <cfRule type="cellIs" dxfId="118" priority="1290" stopIfTrue="1" operator="equal">
      <formula>"Baja"</formula>
    </cfRule>
    <cfRule type="cellIs" dxfId="117" priority="1291" stopIfTrue="1" operator="equal">
      <formula>"Muy Baja"</formula>
    </cfRule>
  </conditionalFormatting>
  <conditionalFormatting sqref="AI13:AI568">
    <cfRule type="cellIs" dxfId="116" priority="1282" stopIfTrue="1" operator="equal">
      <formula>"Catastrófico"</formula>
    </cfRule>
    <cfRule type="cellIs" dxfId="115" priority="1283" stopIfTrue="1" operator="equal">
      <formula>"Mayor"</formula>
    </cfRule>
    <cfRule type="cellIs" dxfId="114" priority="1284" stopIfTrue="1" operator="equal">
      <formula>"Moderado"</formula>
    </cfRule>
    <cfRule type="cellIs" dxfId="113" priority="1285" stopIfTrue="1" operator="equal">
      <formula>"Menor"</formula>
    </cfRule>
    <cfRule type="cellIs" dxfId="112" priority="1286" stopIfTrue="1" operator="equal">
      <formula>"Leve"</formula>
    </cfRule>
  </conditionalFormatting>
  <conditionalFormatting sqref="AK13:AK568">
    <cfRule type="cellIs" dxfId="111" priority="1278" stopIfTrue="1" operator="equal">
      <formula>"Extremo"</formula>
    </cfRule>
    <cfRule type="cellIs" dxfId="110" priority="1279" stopIfTrue="1" operator="equal">
      <formula>"Alto"</formula>
    </cfRule>
    <cfRule type="cellIs" dxfId="109" priority="1280" stopIfTrue="1" operator="equal">
      <formula>"Moderado"</formula>
    </cfRule>
    <cfRule type="cellIs" dxfId="108" priority="1281" stopIfTrue="1" operator="equal">
      <formula>"Bajo"</formula>
    </cfRule>
  </conditionalFormatting>
  <conditionalFormatting sqref="P61 P341">
    <cfRule type="cellIs" dxfId="107" priority="1035" stopIfTrue="1" operator="equal">
      <formula>"Muy Alta"</formula>
    </cfRule>
    <cfRule type="cellIs" dxfId="106" priority="1036" stopIfTrue="1" operator="equal">
      <formula>"Alta"</formula>
    </cfRule>
    <cfRule type="cellIs" dxfId="105" priority="1037" stopIfTrue="1" operator="equal">
      <formula>"Media"</formula>
    </cfRule>
    <cfRule type="cellIs" dxfId="104" priority="1038" stopIfTrue="1" operator="equal">
      <formula>"Baja"</formula>
    </cfRule>
    <cfRule type="cellIs" dxfId="103" priority="1039" stopIfTrue="1" operator="equal">
      <formula>"Muy Baja"</formula>
    </cfRule>
  </conditionalFormatting>
  <conditionalFormatting sqref="P25 P305">
    <cfRule type="cellIs" dxfId="102" priority="1203" stopIfTrue="1" operator="equal">
      <formula>"Muy Alta"</formula>
    </cfRule>
    <cfRule type="cellIs" dxfId="101" priority="1204" stopIfTrue="1" operator="equal">
      <formula>"Alta"</formula>
    </cfRule>
    <cfRule type="cellIs" dxfId="100" priority="1205" stopIfTrue="1" operator="equal">
      <formula>"Media"</formula>
    </cfRule>
    <cfRule type="cellIs" dxfId="99" priority="1206" stopIfTrue="1" operator="equal">
      <formula>"Baja"</formula>
    </cfRule>
    <cfRule type="cellIs" dxfId="98" priority="1207" stopIfTrue="1" operator="equal">
      <formula>"Muy Baja"</formula>
    </cfRule>
  </conditionalFormatting>
  <conditionalFormatting sqref="P31 P311">
    <cfRule type="cellIs" dxfId="97" priority="1175" stopIfTrue="1" operator="equal">
      <formula>"Muy Alta"</formula>
    </cfRule>
    <cfRule type="cellIs" dxfId="96" priority="1176" stopIfTrue="1" operator="equal">
      <formula>"Alta"</formula>
    </cfRule>
    <cfRule type="cellIs" dxfId="95" priority="1177" stopIfTrue="1" operator="equal">
      <formula>"Media"</formula>
    </cfRule>
    <cfRule type="cellIs" dxfId="94" priority="1178" stopIfTrue="1" operator="equal">
      <formula>"Baja"</formula>
    </cfRule>
    <cfRule type="cellIs" dxfId="93" priority="1179" stopIfTrue="1" operator="equal">
      <formula>"Muy Baja"</formula>
    </cfRule>
  </conditionalFormatting>
  <conditionalFormatting sqref="P37 P317">
    <cfRule type="cellIs" dxfId="92" priority="1147" stopIfTrue="1" operator="equal">
      <formula>"Muy Alta"</formula>
    </cfRule>
    <cfRule type="cellIs" dxfId="91" priority="1148" stopIfTrue="1" operator="equal">
      <formula>"Alta"</formula>
    </cfRule>
    <cfRule type="cellIs" dxfId="90" priority="1149" stopIfTrue="1" operator="equal">
      <formula>"Media"</formula>
    </cfRule>
    <cfRule type="cellIs" dxfId="89" priority="1150" stopIfTrue="1" operator="equal">
      <formula>"Baja"</formula>
    </cfRule>
    <cfRule type="cellIs" dxfId="88" priority="1151" stopIfTrue="1" operator="equal">
      <formula>"Muy Baja"</formula>
    </cfRule>
  </conditionalFormatting>
  <conditionalFormatting sqref="P43 P323">
    <cfRule type="cellIs" dxfId="87" priority="1119" stopIfTrue="1" operator="equal">
      <formula>"Muy Alta"</formula>
    </cfRule>
    <cfRule type="cellIs" dxfId="86" priority="1120" stopIfTrue="1" operator="equal">
      <formula>"Alta"</formula>
    </cfRule>
    <cfRule type="cellIs" dxfId="85" priority="1121" stopIfTrue="1" operator="equal">
      <formula>"Media"</formula>
    </cfRule>
    <cfRule type="cellIs" dxfId="84" priority="1122" stopIfTrue="1" operator="equal">
      <formula>"Baja"</formula>
    </cfRule>
    <cfRule type="cellIs" dxfId="83" priority="1123" stopIfTrue="1" operator="equal">
      <formula>"Muy Baja"</formula>
    </cfRule>
  </conditionalFormatting>
  <conditionalFormatting sqref="P49 P329">
    <cfRule type="cellIs" dxfId="82" priority="1091" stopIfTrue="1" operator="equal">
      <formula>"Muy Alta"</formula>
    </cfRule>
    <cfRule type="cellIs" dxfId="81" priority="1092" stopIfTrue="1" operator="equal">
      <formula>"Alta"</formula>
    </cfRule>
    <cfRule type="cellIs" dxfId="80" priority="1093" stopIfTrue="1" operator="equal">
      <formula>"Media"</formula>
    </cfRule>
    <cfRule type="cellIs" dxfId="79" priority="1094" stopIfTrue="1" operator="equal">
      <formula>"Baja"</formula>
    </cfRule>
    <cfRule type="cellIs" dxfId="78" priority="1095" stopIfTrue="1" operator="equal">
      <formula>"Muy Baja"</formula>
    </cfRule>
  </conditionalFormatting>
  <conditionalFormatting sqref="P55 P335">
    <cfRule type="cellIs" dxfId="77" priority="1063" stopIfTrue="1" operator="equal">
      <formula>"Muy Alta"</formula>
    </cfRule>
    <cfRule type="cellIs" dxfId="76" priority="1064" stopIfTrue="1" operator="equal">
      <formula>"Alta"</formula>
    </cfRule>
    <cfRule type="cellIs" dxfId="75" priority="1065" stopIfTrue="1" operator="equal">
      <formula>"Media"</formula>
    </cfRule>
    <cfRule type="cellIs" dxfId="74" priority="1066" stopIfTrue="1" operator="equal">
      <formula>"Baja"</formula>
    </cfRule>
    <cfRule type="cellIs" dxfId="73" priority="1067" stopIfTrue="1" operator="equal">
      <formula>"Muy Baja"</formula>
    </cfRule>
  </conditionalFormatting>
  <conditionalFormatting sqref="P67 P73 P79 P85 P91 P107 P97 P113 P119 P125 P131 P137 P143 P149 P155 P161 P173 P167 P179 P185 P191 P197 P203 P209 P215 P221 P227 P233 P239 P245 P251 P257 P263 P269 P275 P281 P287 P347 P353 P359 P365 P371 P383 P377 P389 P395 P401 P407 P413 P419 P425 P431 P437 P449 P443 P455 P461 P467 P473 P479 P485 P491 P497 P503 P509 P515 P521 P527 P533 P539 P545 P551 P557 P563">
    <cfRule type="cellIs" dxfId="72" priority="1007" stopIfTrue="1" operator="equal">
      <formula>"Muy Alta"</formula>
    </cfRule>
    <cfRule type="cellIs" dxfId="71" priority="1008" stopIfTrue="1" operator="equal">
      <formula>"Alta"</formula>
    </cfRule>
    <cfRule type="cellIs" dxfId="70" priority="1009" stopIfTrue="1" operator="equal">
      <formula>"Media"</formula>
    </cfRule>
    <cfRule type="cellIs" dxfId="69" priority="1010" stopIfTrue="1" operator="equal">
      <formula>"Baja"</formula>
    </cfRule>
    <cfRule type="cellIs" dxfId="68" priority="1011" stopIfTrue="1" operator="equal">
      <formula>"Muy Baja"</formula>
    </cfRule>
  </conditionalFormatting>
  <conditionalFormatting sqref="S13:S568">
    <cfRule type="containsText" dxfId="67" priority="983" stopIfTrue="1" operator="containsText" text="❌">
      <formula>NOT(ISERROR(SEARCH("❌",S13)))</formula>
    </cfRule>
  </conditionalFormatting>
  <conditionalFormatting sqref="S13 S19 S25 S31 S37 S43 S49 S55 S61 S67 S73 S79 S85 S91 S97 S107 S113 S119 S125 S131 S137 S143 S149 S155 S161 S167 S173 S179 S185 S191 S197 S203 S209 S215 S221 S227 S233 S239 S245 S251 S257 S263 S269 S275 S281 S287 S293 S299 S305 S311 S317 S323 S329 S335 S341 S347 S353 S359 S365 S371 S377 S383 S389 S395 S401 S407 S413 S419 S425 S431 S437 S443 S449 S455 S461 S467 S473 S479 S485 S491 S497 S503 S509 S515 S521 S527 S533 S539 S545 S551 S557 S563">
    <cfRule type="cellIs" dxfId="66" priority="1300" stopIfTrue="1" operator="equal">
      <formula>"Leve"</formula>
    </cfRule>
  </conditionalFormatting>
  <conditionalFormatting sqref="T13 T19 T25 T31 T37 T43 T49 T55 T61 T67 T73 T79 T85 T91 T97 T107 T113 T119 T125 T131 T137 T143 T149 T155 T161 T167 T173 T179 T185 T191 T197 T203 T209 T215 T221 T227 T233 T239 T245 T251 T257 T263 T269 T275 T281 T287 T293 T299 T305 T311 T317 T323 T329 T335 T341 T347 T353 T359 T365 T371 T377 T383 T389 T395 T401 T407 T413 T419 T425 T431 T437 T443 T449 T455 T461 T467 T473 T479 T485 T491 T497 T503 T509 T515 T521 T527 T533 T539 T545 T551 T557 T563">
    <cfRule type="cellIs" dxfId="65" priority="841" stopIfTrue="1" operator="equal">
      <formula>"Catastrófico"</formula>
    </cfRule>
    <cfRule type="cellIs" dxfId="64" priority="842" stopIfTrue="1" operator="equal">
      <formula>"Mayor"</formula>
    </cfRule>
    <cfRule type="cellIs" dxfId="63" priority="843" stopIfTrue="1" operator="equal">
      <formula>"Moderado"</formula>
    </cfRule>
    <cfRule type="cellIs" dxfId="62" priority="844" stopIfTrue="1" operator="equal">
      <formula>"Menor"</formula>
    </cfRule>
    <cfRule type="cellIs" dxfId="61" priority="845" stopIfTrue="1" operator="equal">
      <formula>"Leve"</formula>
    </cfRule>
  </conditionalFormatting>
  <conditionalFormatting sqref="V13 V19 V25 V31 V37 V43 V49 V55 V61 V67 V73 V79 V85 V91 V97 V107 V113 V119 V125 V131 V137 V143 V149 V155 V161 V167 V173 V179 V185 V191 V197 V203 V209 V215 V221 V227 V233 V239 V245 V251 V257 V263 V269 V275 V281 V287 V293 V299 V305 V311 V317 V323 V329 V335 V341 V347 V353 V359 V365 V371 V377 V383 V389 V395 V401 V407 V413 V419 V425 V431 V437 V443 V449 V455 V461 V467 V473 V479 V485 V491 V497 V503 V509 V515 V521 V527 V533 V539 V545 V551 V557 V563">
    <cfRule type="cellIs" dxfId="60" priority="837" stopIfTrue="1" operator="equal">
      <formula>"Extremo"</formula>
    </cfRule>
    <cfRule type="cellIs" dxfId="59" priority="838" stopIfTrue="1" operator="equal">
      <formula>"Alto"</formula>
    </cfRule>
    <cfRule type="cellIs" dxfId="58" priority="839" stopIfTrue="1" operator="equal">
      <formula>"Moderado"</formula>
    </cfRule>
    <cfRule type="cellIs" dxfId="57" priority="840" stopIfTrue="1" operator="equal">
      <formula>"Bajo"</formula>
    </cfRule>
  </conditionalFormatting>
  <pageMargins left="0.7" right="0.7" top="0.75" bottom="0.75" header="0.3" footer="0.3"/>
  <pageSetup scale="10" orientation="portrait" r:id="rId1"/>
  <rowBreaks count="15" manualBreakCount="15">
    <brk id="42" max="43" man="1"/>
    <brk id="78" max="43" man="1"/>
    <brk id="118" max="43" man="1"/>
    <brk id="154" max="43" man="1"/>
    <brk id="190" max="43" man="1"/>
    <brk id="226" max="43" man="1"/>
    <brk id="262" max="43" man="1"/>
    <brk id="298" max="43" man="1"/>
    <brk id="334" max="43" man="1"/>
    <brk id="370" max="43" man="1"/>
    <brk id="406" max="43" man="1"/>
    <brk id="442" max="43" man="1"/>
    <brk id="478" max="43" man="1"/>
    <brk id="514" max="43" man="1"/>
    <brk id="550" max="43" man="1"/>
  </rowBreaks>
  <colBreaks count="2" manualBreakCount="2">
    <brk id="38" max="552" man="1"/>
    <brk id="44" max="1048575" man="1"/>
  </colBreaks>
  <ignoredErrors>
    <ignoredError sqref="AF19 AF25 AF31 AF37 AF43 AF49 AF55 AF61 AF67 AF73 AF79 AF85 AF91 AF97 AF107 AF113 AF119 AF125 AF131 AF137 AF143 AF149 AF155 AF161 AF167 AF173 AF179 AF185 AF191 AF197 AF203 AF209 AF215 AF221 AF227 AF233 AF239 AF245 AF251 AF257 AF263 AF269 AF275 AF281 AF287 AF293 AF299 AF305 AF311 AF317 AF323 AF329 AF335 AF341 AF347 AF353 AF359 AF365 AF371 AF377 AF383 AF389 AF395 AF401 AF407 AF413 AF419 AF425 AF431 AF437 AF443 AF449 AF455 AF461 AF467 AF473 AF479 AF485 AF491 AF497 AF503 AF509 AF515 AF521 AF527 AF533 AF539 AF545 AF551" formula="1"/>
  </ignoredErrors>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1373" id="{A09C5F6F-733E-40DA-9A0E-34C9FCA4D387}">
            <xm:f>M13='Opciones Tratamiento'!$C$11</xm:f>
            <x14:dxf>
              <fill>
                <patternFill patternType="darkGray"/>
              </fill>
            </x14:dxf>
          </x14:cfRule>
          <x14:cfRule type="expression" priority="1374" id="{46577976-4003-45B7-BD2C-6725E691A4CE}">
            <xm:f>M13='Opciones Tratamiento'!$C$10</xm:f>
            <x14:dxf>
              <fill>
                <patternFill patternType="darkGray"/>
              </fill>
            </x14:dxf>
          </x14:cfRule>
          <x14:cfRule type="expression" priority="1375" id="{49A353F6-ADF2-4B65-93C6-4AE97D972ED8}">
            <xm:f>M13='Opciones Tratamiento'!$C$7</xm:f>
            <x14:dxf>
              <fill>
                <patternFill patternType="darkGray"/>
              </fill>
            </x14:dxf>
          </x14:cfRule>
          <x14:cfRule type="expression" priority="1376" id="{23AF7F7E-8614-4ED6-96C9-4FA7C6421417}">
            <xm:f>M13='Opciones Tratamiento'!$C$6</xm:f>
            <x14:dxf>
              <fill>
                <patternFill patternType="darkGray"/>
              </fill>
            </x14:dxf>
          </x14:cfRule>
          <x14:cfRule type="expression" priority="1377" id="{A7F83DCF-1DAC-450F-9729-979E83F33745}">
            <xm:f>M13='Opciones Tratamiento'!$C$9</xm:f>
            <x14:dxf>
              <fill>
                <patternFill patternType="darkGray"/>
              </fill>
            </x14:dxf>
          </x14:cfRule>
          <x14:cfRule type="expression" priority="1378" id="{DC1A034C-4F1B-4EF9-A785-817A9B34E74A}">
            <xm:f>M13='Opciones Tratamiento'!$C$8</xm:f>
            <x14:dxf>
              <fill>
                <patternFill patternType="darkGray"/>
              </fill>
            </x14:dxf>
          </x14:cfRule>
          <x14:cfRule type="expression" priority="1379" id="{A57A189D-FAB6-4DE0-A123-BAC3D8B8E036}">
            <xm:f>M13='Opciones Tratamiento'!$C$5</xm:f>
            <x14:dxf>
              <fill>
                <patternFill patternType="darkGray"/>
              </fill>
            </x14:dxf>
          </x14:cfRule>
          <xm:sqref>N13:N54 N79:N102 N107:N568</xm:sqref>
        </x14:conditionalFormatting>
        <x14:conditionalFormatting xmlns:xm="http://schemas.microsoft.com/office/excel/2006/main">
          <x14:cfRule type="expression" priority="1380" id="{B522B72E-FB29-4C71-A6FD-C3693F9D0912}">
            <xm:f>M13='Opciones Tratamiento'!$C$12</xm:f>
            <x14:dxf>
              <fill>
                <patternFill patternType="darkGray">
                  <bgColor auto="1"/>
                </patternFill>
              </fill>
            </x14:dxf>
          </x14:cfRule>
          <xm:sqref>N13:N54 N79:N102 N107:N568</xm:sqref>
        </x14:conditionalFormatting>
        <x14:conditionalFormatting xmlns:xm="http://schemas.microsoft.com/office/excel/2006/main">
          <x14:cfRule type="expression" priority="39" id="{8CE4DD0D-FB0C-4382-937F-A39C5A4B4166}">
            <xm:f>M13='Opciones Tratamiento'!$C$18</xm:f>
            <x14:dxf>
              <fill>
                <patternFill patternType="darkGray"/>
              </fill>
            </x14:dxf>
          </x14:cfRule>
          <x14:cfRule type="expression" priority="40" id="{8B8E0C80-AA9C-4F6D-93EB-3C9181B404E5}">
            <xm:f>M13='Opciones Tratamiento'!$C$17</xm:f>
            <x14:dxf>
              <fill>
                <patternFill patternType="darkGray"/>
              </fill>
            </x14:dxf>
          </x14:cfRule>
          <x14:cfRule type="expression" priority="41" id="{CE3DBFEB-3F94-4BEA-851A-A062EE4F1804}">
            <xm:f>M13='Opciones Tratamiento'!$C$16</xm:f>
            <x14:dxf>
              <fill>
                <patternFill patternType="darkGray"/>
              </fill>
            </x14:dxf>
          </x14:cfRule>
          <x14:cfRule type="expression" priority="42" id="{E0DB60F0-8B95-480A-ABA7-09DB8FAFDB82}">
            <xm:f>M13='Opciones Tratamiento'!$C$15</xm:f>
            <x14:dxf>
              <fill>
                <patternFill patternType="darkGray"/>
              </fill>
            </x14:dxf>
          </x14:cfRule>
          <x14:cfRule type="expression" priority="43" id="{63593A40-61ED-49E1-A345-DE2A1C9F728B}">
            <xm:f>M13='Opciones Tratamiento'!$C$14</xm:f>
            <x14:dxf>
              <fill>
                <patternFill patternType="darkGray"/>
              </fill>
            </x14:dxf>
          </x14:cfRule>
          <x14:cfRule type="expression" priority="44" id="{B53650AD-C0C1-4A2F-BE44-26F5BD6C26D3}">
            <xm:f>M13='Opciones Tratamiento'!$C$13</xm:f>
            <x14:dxf>
              <fill>
                <patternFill patternType="darkGray"/>
              </fill>
            </x14:dxf>
          </x14:cfRule>
          <xm:sqref>N13:N54 N79:N102 N107:N568</xm:sqref>
        </x14:conditionalFormatting>
        <x14:conditionalFormatting xmlns:xm="http://schemas.microsoft.com/office/excel/2006/main">
          <x14:cfRule type="expression" priority="31" id="{02F55451-7AE7-4899-A6D8-30CB74F56DE7}">
            <xm:f>M55='[MR_Tecnologías_de_la_información_2024.xlsx]Opciones Tratamiento'!#REF!</xm:f>
            <x14:dxf>
              <fill>
                <patternFill patternType="darkGray"/>
              </fill>
            </x14:dxf>
          </x14:cfRule>
          <x14:cfRule type="expression" priority="32" id="{D3FA1C27-262B-4858-869F-0B18247CEF0C}">
            <xm:f>M55='[MR_Tecnologías_de_la_información_2024.xlsx]Opciones Tratamiento'!#REF!</xm:f>
            <x14:dxf>
              <fill>
                <patternFill patternType="darkGray"/>
              </fill>
            </x14:dxf>
          </x14:cfRule>
          <x14:cfRule type="expression" priority="33" id="{1DB62160-5D1C-4C7F-8CCE-310A928E7456}">
            <xm:f>M55='[MR_Tecnologías_de_la_información_2024.xlsx]Opciones Tratamiento'!#REF!</xm:f>
            <x14:dxf>
              <fill>
                <patternFill patternType="darkGray"/>
              </fill>
            </x14:dxf>
          </x14:cfRule>
          <x14:cfRule type="expression" priority="34" id="{BA405024-2A2A-48C3-A7F2-CB1317093C83}">
            <xm:f>M55='[MR_Tecnologías_de_la_información_2024.xlsx]Opciones Tratamiento'!#REF!</xm:f>
            <x14:dxf>
              <fill>
                <patternFill patternType="darkGray"/>
              </fill>
            </x14:dxf>
          </x14:cfRule>
          <x14:cfRule type="expression" priority="35" id="{94BC175C-1BFA-416E-A737-0A577918E9B9}">
            <xm:f>M55='[MR_Tecnologías_de_la_información_2024.xlsx]Opciones Tratamiento'!#REF!</xm:f>
            <x14:dxf>
              <fill>
                <patternFill patternType="darkGray"/>
              </fill>
            </x14:dxf>
          </x14:cfRule>
          <x14:cfRule type="expression" priority="36" id="{1013E2C3-7987-4BC1-89DD-DBA955EFE04A}">
            <xm:f>M55='[MR_Tecnologías_de_la_información_2024.xlsx]Opciones Tratamiento'!#REF!</xm:f>
            <x14:dxf>
              <fill>
                <patternFill patternType="darkGray"/>
              </fill>
            </x14:dxf>
          </x14:cfRule>
          <x14:cfRule type="expression" priority="37" id="{9B6D3B9A-F8F2-4321-BA39-A76A442BB2DA}">
            <xm:f>M55='[MR_Tecnologías_de_la_información_2024.xlsx]Opciones Tratamiento'!#REF!</xm:f>
            <x14:dxf>
              <fill>
                <patternFill patternType="darkGray"/>
              </fill>
            </x14:dxf>
          </x14:cfRule>
          <xm:sqref>N55:N60</xm:sqref>
        </x14:conditionalFormatting>
        <x14:conditionalFormatting xmlns:xm="http://schemas.microsoft.com/office/excel/2006/main">
          <x14:cfRule type="expression" priority="38" id="{195ACEBE-5FD6-4DB3-84E6-9A7CBE1CDA46}">
            <xm:f>M55='[MR_Tecnologías_de_la_información_2024.xlsx]Opciones Tratamiento'!#REF!</xm:f>
            <x14:dxf>
              <fill>
                <patternFill patternType="darkGray">
                  <bgColor auto="1"/>
                </patternFill>
              </fill>
            </x14:dxf>
          </x14:cfRule>
          <xm:sqref>N55:N60</xm:sqref>
        </x14:conditionalFormatting>
        <x14:conditionalFormatting xmlns:xm="http://schemas.microsoft.com/office/excel/2006/main">
          <x14:cfRule type="expression" priority="25" id="{CAD6FA93-B1B0-460A-ADE1-963DC7AB42B0}">
            <xm:f>M55='[MR_Tecnologías_de_la_información_2024.xlsx]Opciones Tratamiento'!#REF!</xm:f>
            <x14:dxf>
              <fill>
                <patternFill patternType="darkGray"/>
              </fill>
            </x14:dxf>
          </x14:cfRule>
          <x14:cfRule type="expression" priority="26" id="{D5A53E1A-D484-47BF-854F-FD39C5B7D299}">
            <xm:f>M55='[MR_Tecnologías_de_la_información_2024.xlsx]Opciones Tratamiento'!#REF!</xm:f>
            <x14:dxf>
              <fill>
                <patternFill patternType="darkGray"/>
              </fill>
            </x14:dxf>
          </x14:cfRule>
          <x14:cfRule type="expression" priority="27" id="{BFC9FC19-362D-462F-8B27-FD2AE3CEDF29}">
            <xm:f>M55='[MR_Tecnologías_de_la_información_2024.xlsx]Opciones Tratamiento'!#REF!</xm:f>
            <x14:dxf>
              <fill>
                <patternFill patternType="darkGray"/>
              </fill>
            </x14:dxf>
          </x14:cfRule>
          <x14:cfRule type="expression" priority="28" id="{BE04C893-E075-4F9E-8248-54076C79B96E}">
            <xm:f>M55='[MR_Tecnologías_de_la_información_2024.xlsx]Opciones Tratamiento'!#REF!</xm:f>
            <x14:dxf>
              <fill>
                <patternFill patternType="darkGray"/>
              </fill>
            </x14:dxf>
          </x14:cfRule>
          <x14:cfRule type="expression" priority="29" id="{C7A7ECCF-773D-4965-B9D0-14BD42A2C054}">
            <xm:f>M55='[MR_Tecnologías_de_la_información_2024.xlsx]Opciones Tratamiento'!#REF!</xm:f>
            <x14:dxf>
              <fill>
                <patternFill patternType="darkGray"/>
              </fill>
            </x14:dxf>
          </x14:cfRule>
          <x14:cfRule type="expression" priority="30" id="{7733531A-461C-4C51-BBFF-19F62758DA6F}">
            <xm:f>M55='[MR_Tecnologías_de_la_información_2024.xlsx]Opciones Tratamiento'!#REF!</xm:f>
            <x14:dxf>
              <fill>
                <patternFill patternType="darkGray"/>
              </fill>
            </x14:dxf>
          </x14:cfRule>
          <xm:sqref>N55:N60</xm:sqref>
        </x14:conditionalFormatting>
        <x14:conditionalFormatting xmlns:xm="http://schemas.microsoft.com/office/excel/2006/main">
          <x14:cfRule type="expression" priority="24" id="{B85F2A6A-737F-4DC5-B06F-6D55070BB6C4}">
            <xm:f>M61='\Users\nicolas.corredor\OneDrive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N61:N66</xm:sqref>
        </x14:conditionalFormatting>
        <x14:conditionalFormatting xmlns:xm="http://schemas.microsoft.com/office/excel/2006/main">
          <x14:cfRule type="expression" priority="17" id="{20F10899-E487-4B9D-AA2F-578D98295B3D}">
            <xm:f>M61='\Users\nicolas.corredor\OneDrive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8" id="{6EF100F9-E69B-4CB8-9F7B-ED81C36F2A2C}">
            <xm:f>M61='\Users\nicolas.corredor\OneDrive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9" id="{D96C9B48-7416-4522-9568-343556674F2E}">
            <xm:f>M61='\Users\nicolas.corredor\OneDrive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0" id="{B4D01437-B772-4A4A-9636-A6D4AFA541BA}">
            <xm:f>M61='\Users\nicolas.corredor\OneDrive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1" id="{03B9EBBE-51D7-4013-B5D0-E9B10DE91068}">
            <xm:f>M61='\Users\nicolas.corredor\OneDrive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2" id="{3FC8F8E6-0288-4800-99E6-14347722F7B3}">
            <xm:f>M61='\Users\nicolas.corredor\OneDrive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3" id="{FA672467-34A8-4D61-A128-FB665B876991}">
            <xm:f>M61='\Users\nicolas.corredor\OneDrive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N61:N66</xm:sqref>
        </x14:conditionalFormatting>
        <x14:conditionalFormatting xmlns:xm="http://schemas.microsoft.com/office/excel/2006/main">
          <x14:cfRule type="expression" priority="16" id="{8EB8CE42-39B2-4CFC-9E39-FB959660A89B}">
            <xm:f>M67='\Users\nicolas.corredor\OneDrive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N67:N72</xm:sqref>
        </x14:conditionalFormatting>
        <x14:conditionalFormatting xmlns:xm="http://schemas.microsoft.com/office/excel/2006/main">
          <x14:cfRule type="expression" priority="9" id="{4BC4EFF4-E784-4B4A-9A04-E2C1447C319B}">
            <xm:f>M67='\Users\nicolas.corredor\OneDrive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0" id="{A1DAAF7C-B1D7-4E17-95F0-CF0A498451BB}">
            <xm:f>M67='\Users\nicolas.corredor\OneDrive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1" id="{2F8D885E-1089-4BE8-B5F7-1C0A2FA099C6}">
            <xm:f>M67='\Users\nicolas.corredor\OneDrive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2" id="{0EEC9957-3304-4162-92AF-4B231EF803C5}">
            <xm:f>M67='\Users\nicolas.corredor\OneDrive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3" id="{88EFEF1B-A945-40C6-AC8F-0B34FF9E7DA7}">
            <xm:f>M67='\Users\nicolas.corredor\OneDrive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4" id="{FA6DBACB-D279-4AF3-AD49-EE3272F3EE4C}">
            <xm:f>M67='\Users\nicolas.corredor\OneDrive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5" id="{F4DDF6F2-2AAD-4FD5-BF9C-8B5717859A5C}">
            <xm:f>M67='\Users\nicolas.corredor\OneDrive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N67:N72</xm:sqref>
        </x14:conditionalFormatting>
        <x14:conditionalFormatting xmlns:xm="http://schemas.microsoft.com/office/excel/2006/main">
          <x14:cfRule type="expression" priority="8" id="{12B18AC1-A5DE-466E-99D4-299637CCEC83}">
            <xm:f>M73='\Users\nicolas.corredor\OneDrive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N73:N78</xm:sqref>
        </x14:conditionalFormatting>
        <x14:conditionalFormatting xmlns:xm="http://schemas.microsoft.com/office/excel/2006/main">
          <x14:cfRule type="expression" priority="1" id="{9093778C-F869-433F-9B59-64179F6CBB66}">
            <xm:f>M73='\Users\nicolas.corredor\OneDrive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2" id="{30B70CC1-3BFA-44D2-9716-D4F4CBADFB90}">
            <xm:f>M73='\Users\nicolas.corredor\OneDrive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3" id="{2709769F-9D7D-4713-B0B8-C85CBE70AB32}">
            <xm:f>M73='\Users\nicolas.corredor\OneDrive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4" id="{38DF5C2C-21F7-4D3D-9834-B3E9853E006E}">
            <xm:f>M73='\Users\nicolas.corredor\OneDrive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5" id="{8F3EE6E1-9AD7-41E1-B746-0EE791FCC974}">
            <xm:f>M73='\Users\nicolas.corredor\OneDrive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6" id="{48037C68-BC57-43B2-93FF-2A4D54FAC2E3}">
            <xm:f>M73='\Users\nicolas.corredor\OneDrive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7" id="{95E32C80-4E3A-46DB-8180-0F17F20A505F}">
            <xm:f>M73='\Users\nicolas.corredor\OneDrive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N73:N78</xm:sqref>
        </x14:conditionalFormatting>
      </x14:conditionalFormattings>
    </ext>
    <ext xmlns:x14="http://schemas.microsoft.com/office/spreadsheetml/2009/9/main" uri="{CCE6A557-97BC-4b89-ADB6-D9C93CAAB3DF}">
      <x14:dataValidations xmlns:xm="http://schemas.microsoft.com/office/excel/2006/main" count="67">
        <x14:dataValidation type="list" allowBlank="1" showInputMessage="1" showErrorMessage="1">
          <x14:formula1>
            <xm:f>'Opciones Tratamiento'!$B$4:$B$7</xm:f>
          </x14:formula1>
          <xm:sqref>E97:E102</xm:sqref>
        </x14:dataValidation>
        <x14:dataValidation type="list" allowBlank="1" showInputMessage="1" showErrorMessage="1">
          <x14:formula1>
            <xm:f>'Opciones Tratamiento'!$D$4:$D$17</xm:f>
          </x14:formula1>
          <xm:sqref>R13:R102 R107:R568</xm:sqref>
        </x14:dataValidation>
        <x14:dataValidation type="list" allowBlank="1" showInputMessage="1" showErrorMessage="1">
          <x14:formula1>
            <xm:f>'Tabla Valoración controles'!$D$4:$D$6</xm:f>
          </x14:formula1>
          <xm:sqref>Z15:Z18 Z21:Z24 Z28:Z30 Z33:Z36 Z40:Z42 Z45:Z48 Z51:Z54 Z59:Z60 Z69:Z72 Z75:Z78 Z80:Z84 Z86:Z90 Z92:Z96 Z110:Z112 Z116:Z118 Z121:Z124 Z130 Z133:Z136 Z139:Z142 Z146:Z148 Z150:Z154 Z157:Z160 Z164:Z166 Z169:Z172 Z175:Z178 Z180:Z184 Z186:Z190 Z192:Z196 Z198:Z202 Z204:Z208 Z210:Z214 Z217:Z220 Z223:Z226 Z228:Z232 Z234:Z238 Z241:Z244 Z247:Z250 Z253:Z256 Z259:Z262 Z267:Z268 Z270:Z274 Z276:Z280 Z282:Z286 Z290:Z292 Z297:Z298 Z303:Z304 Z308:Z310 Z313:Z316 Z318:Z322 Z325:Z328 Z331:Z334 Z336:Z340 Z343:Z346 Z349:Z352 Z355:Z358 Z361:Z364 Z368:Z370 Z373:Z376 Z379:Z382 Z385:Z388 Z392:Z394 Z398:Z400 Z402:Z406 Z412 Z417:Z418 Z421:Z424 Z429:Z430 Z440:Z442 Z447:Z448 Z453:Z454 Z457:Z460 Z464:Z466 Z471:Z472 Z477:Z478 Z484 Z487:Z490 Z494:Z496 Z502 Z507:Z508 Z510:Z514 Z517:Z520 Z523:Z526 Z529:Z532 Z535:Z538 Z540:Z544 Z546:Z550 Z553:Z556 Z558:Z562 Z565:Z568</xm:sqref>
        </x14:dataValidation>
        <x14:dataValidation type="list" allowBlank="1" showInputMessage="1" showErrorMessage="1">
          <x14:formula1>
            <xm:f>'Tabla Valoración controles'!$D$7:$D$8</xm:f>
          </x14:formula1>
          <xm:sqref>AA15:AA18 AA21:AA24 AA28:AA30 AA33:AA36 AA40:AA42 AA45:AA48 AA51:AA54 AA59:AA60 AA69:AA72 AA75:AA78 AA80:AA84 AA86:AA90 AA92:AA96 AA110:AA112 AA116:AA118 AA121:AA124 AA130 AA133:AA136 AA139:AA142 AA146:AA148 AA150:AA154 AA157:AA160 AA164:AA166 AA169:AA172 AA175:AA178 AA180:AA184 AA186:AA190 AA192:AA196 AA198:AA202 AA204:AA208 AA210:AA214 AA217:AA220 AA223:AA226 AA228:AA232 AA234:AA238 AA241:AA244 AA247:AA250 AA253:AA256 AA259:AA262 AA267:AA268 AA270:AA274 AA276:AA280 AA282:AA286 AA290:AA292 AA297:AA298 AA303:AA304 AA308:AA310 AA313:AA316 AA318:AA322 AA325:AA328 AA331:AA334 AA336:AA340 AA343:AA346 AA349:AA352 AA355:AA358 AA361:AA364 AA368:AA370 AA373:AA376 AA379:AA382 AA385:AA388 AA392:AA394 AA398:AA400 AA402:AA406 AA412 AA417:AA418 AA421:AA424 AA429:AA430 AA440:AA442 AA447:AA448 AA453:AA454 AA457:AA460 AA464:AA466 AA471:AA472 AA477:AA478 AA484 AA487:AA490 AA494:AA496 AA502 AA507:AA508 AA510:AA514 AA517:AA520 AA523:AA526 AA529:AA532 AA535:AA538 AA540:AA544 AA546:AA550 AA553:AA556 AA558:AA562 AA565:AA568</xm:sqref>
        </x14:dataValidation>
        <x14:dataValidation type="list" allowBlank="1" showInputMessage="1" showErrorMessage="1">
          <x14:formula1>
            <xm:f>'Tabla Valoración controles'!$D$9:$D$10</xm:f>
          </x14:formula1>
          <xm:sqref>AC15:AC18 AC21:AC24 AC28:AC30 AC33:AC36 AC40:AC42 AC45:AC48 AC51:AC54 AC59:AC60 AC69:AC72 AC75:AC78 AC80:AC84 AC86:AC90 AC92:AC96 AC110:AC112 AC116:AC118 AC121:AC124 AC130 AC133:AC136 AC139:AC142 AC146:AC148 AC150:AC154 AC157:AC160 AC164:AC166 AC169:AC172 AC175:AC178 AC180:AC184 AC186:AC190 AC192:AC196 AC198:AC202 AC204:AC208 AC210:AC214 AC217:AC220 AC223:AC226 AC228:AC232 AC234:AC238 AC241:AC244 AC247:AC250 AC253:AC256 AC259:AC262 AC267:AC268 AC270:AC274 AC276:AC280 AC282:AC286 AC290:AC292 AC297:AC298 AC303:AC304 AC308:AC310 AC313:AC316 AC318:AC322 AC325:AC328 AC331:AC334 AC336:AC340 AC343:AC346 AC349:AC352 AC355:AC358 AC361:AC364 AC368:AC370 AC373:AC376 AC379:AC382 AC385:AC388 AC392:AC394 AC398:AC400 AC402:AC406 AC412 AC417:AC418 AC421:AC424 AC429:AC430 AC440:AC442 AC447:AC448 AC453:AC454 AC457:AC460 AC464:AC466 AC471:AC472 AC477:AC478 AC484 AC487:AC490 AC494:AC496 AC502 AC507:AC508 AC510:AC514 AC517:AC520 AC523:AC526 AC529:AC532 AC535:AC538 AC540:AC544 AC546:AC550 AC553:AC556 AC558:AC562 AC565:AC568</xm:sqref>
        </x14:dataValidation>
        <x14:dataValidation type="list" allowBlank="1" showInputMessage="1" showErrorMessage="1">
          <x14:formula1>
            <xm:f>'Tabla Valoración controles'!$D$11:$D$12</xm:f>
          </x14:formula1>
          <xm:sqref>AD15:AD18 AD21:AD24 AD28:AD30 AD33:AD36 AD40:AD42 AD45:AD48 AD51:AD54 AD59:AD60 AD69:AD72 AD75:AD78 AD80:AD84 AD86:AD90 AD92:AD96 AD110:AD112 AD116:AD118 AD121:AD124 AD130 AD133:AD136 AD139:AD142 AD146:AD148 AD150:AD154 AD157:AD160 AD164:AD166 AD169:AD172 AD175:AD178 AD180:AD184 AD186:AD190 AD192:AD196 AD198:AD202 AD204:AD208 AD210:AD214 AD217:AD220 AD223:AD226 AD228:AD232 AD234:AD238 AD241:AD244 AD247:AD250 AD253:AD256 AD259:AD262 AD267:AD268 AD270:AD274 AD276:AD280 AD282:AD286 AD290:AD292 AD297:AD298 AD303:AD304 AD308:AD310 AD313:AD316 AD318:AD322 AD325:AD328 AD331:AD334 AD336:AD340 AD343:AD346 AD349:AD352 AD355:AD358 AD361:AD364 AD368:AD370 AD373:AD376 AD379:AD382 AD385:AD388 AD392:AD394 AD398:AD400 AD402:AD406 AD412 AD417:AD418 AD421:AD424 AD429:AD430 AD440:AD442 AD447:AD448 AD453:AD454 AD457:AD460 AD464:AD466 AD471:AD472 AD477:AD478 AD484 AD487:AD490 AD494:AD496 AD502 AD507:AD508 AD510:AD514 AD517:AD520 AD523:AD526 AD529:AD532 AD535:AD538 AD540:AD544 AD546:AD550 AD553:AD556 AD558:AD562 AD565:AD568</xm:sqref>
        </x14:dataValidation>
        <x14:dataValidation type="list" allowBlank="1" showInputMessage="1" showErrorMessage="1">
          <x14:formula1>
            <xm:f>'Tabla Valoración controles'!$D$13:$D$14</xm:f>
          </x14:formula1>
          <xm:sqref>AE15:AE18 AE21:AE24 AE28:AE30 AE33:AE36 AE40:AE42 AE45:AE48 AE51:AE54 AE59:AE60 AE69:AE72 AE75:AE78 AE80:AE84 AE86:AE90 AE92:AE96 AE110:AE112 AE116:AE118 AE121:AE124 AE130 AE133:AE136 AE139:AE142 AE146:AE148 AE150:AE154 AE157:AE160 AE164:AE166 AE169:AE172 AE175:AE178 AE180:AE184 AE186:AE190 AE192:AE196 AE198:AE202 AE204:AE208 AE210:AE214 AE217:AE220 AE223:AE226 AE228:AE232 AE234:AE238 AE241:AE244 AE247:AE250 AE253:AE256 AE259:AE262 AE267:AE268 AE270:AE274 AE276:AE280 AE282:AE286 AE290:AE292 AE297:AE298 AE303:AE304 AE308:AE310 AE313:AE316 AE318:AE322 AE325:AE328 AE331:AE334 AE336:AE340 AE343:AE346 AE349:AE352 AE355:AE358 AE361:AE364 AE368:AE370 AE373:AE376 AE379:AE382 AE385:AE388 AE392:AE394 AE398:AE400 AE402:AE406 AE412 AE417:AE418 AE421:AE424 AE429:AE430 AE440:AE442 AE447:AE448 AE453:AE454 AE457:AE460 AE464:AE466 AE471:AE472 AE477:AE478 AE484 AE487:AE490 AE494:AE496 AE502 AE507:AE508 AE510:AE514 AE517:AE520 AE523:AE526 AE529:AE532 AE535:AE538 AE540:AE544 AE546:AE550 AE553:AE556 AE558:AE562 AE565:AE568</xm:sqref>
        </x14:dataValidation>
        <x14:dataValidation type="list" allowBlank="1" showInputMessage="1" showErrorMessage="1">
          <x14:formula1>
            <xm:f>'Opciones Tratamiento'!$B$34:$B$49</xm:f>
          </x14:formula1>
          <xm:sqref>C97:C102</xm:sqref>
        </x14:dataValidation>
        <x14:dataValidation type="list" allowBlank="1" showInputMessage="1" showErrorMessage="1">
          <x14:formula1>
            <xm:f>'Opciones Tratamiento'!$B$27:$B$31</xm:f>
          </x14:formula1>
          <xm:sqref>AL13:AL568</xm:sqref>
        </x14:dataValidation>
        <x14:dataValidation type="list" allowBlank="1" showInputMessage="1" showErrorMessage="1">
          <x14:formula1>
            <xm:f>'Opciones Tratamiento'!$C$27:$C$29</xm:f>
          </x14:formula1>
          <xm:sqref>AR13:AR24 AR27:AR36 AR40:AR60 AR63:AR66 AR73 AR75:AR299 AR303:AR305 AR308:AR341 AR343:AR425 AR429:AR430 AR437:AR442 AR447:AR448 AR453:AR460 AR464:AR514 AR517:AR562 AR565:AR568</xm:sqref>
        </x14:dataValidation>
        <x14:dataValidation type="list" allowBlank="1" showInputMessage="1" showErrorMessage="1">
          <x14:formula1>
            <xm:f>'Opciones Tratamiento'!$C$4:$C$23</xm:f>
          </x14:formula1>
          <xm:sqref>M13:M102 M107:M568</xm:sqref>
        </x14:dataValidation>
        <x14:dataValidation type="list" allowBlank="1" showInputMessage="1" showErrorMessage="1">
          <x14:formula1>
            <xm:f>'[1]Opciones Tratamiento'!#REF!</xm:f>
          </x14:formula1>
          <xm:sqref>AR25:AR26 AR37 C13:C54 E13:E49 E167:E232 C167:C232 E131:E154 C131:C154 E79:E96 C79:C96</xm:sqref>
        </x14:dataValidation>
        <x14:dataValidation type="list" allowBlank="1" showInputMessage="1" showErrorMessage="1">
          <x14:formula1>
            <xm:f>'[4]Tabla Valoración controles'!#REF!</xm:f>
          </x14:formula1>
          <xm:sqref>Z13:AA14 AC13:AE14</xm:sqref>
        </x14:dataValidation>
        <x14:dataValidation type="list" allowBlank="1" showInputMessage="1" showErrorMessage="1">
          <x14:formula1>
            <xm:f>'[1]Tabla Valoración controles'!#REF!</xm:f>
          </x14:formula1>
          <xm:sqref>Z19:AA20 AC19:AE20 Z25:AA27 AC25:AE27 Z31:AA32 AC31:AE32 Z37:AA39 AC37:AE39 Z43:AA44 AC43:AE44 Z49:AA50 AC49:AE50 Z203:AA203 AC203:AE203 Z209:AA209 AC209:AE209 Z215:AA216 AC215:AE216 Z221:AA222 AC221:AE222 Z227:AA227 AC227:AE227 Z167:AA168 AC167:AE168 Z173:AA174 AC173:AE174 Z179:AA179 AC179:AE179 Z185:AA185 AC185:AE185 Z191:AA191 AC191:AE191 Z197:AA197 AC197:AE197 Z131:AA132 AC131:AE132 Z137:AA138 AC137:AE138 Z143:AA145 AC143:AE145 Z113:AA115 Z119:AA120 Z149:AA149 Z155:AA156 AC113:AE115 AC119:AE120 AC149:AE149 AC155:AE156 Z79:AA79 AC79:AE79 Z85:AA85 AC85:AE85 Z91:AA91 AC91:AE91</xm:sqref>
        </x14:dataValidation>
        <x14:dataValidation type="list" allowBlank="1" showInputMessage="1" showErrorMessage="1">
          <x14:formula1>
            <xm:f>'[3]Opciones Tratamiento'!#REF!</xm:f>
          </x14:formula1>
          <xm:sqref>E55:E78 C55:C78 AR61:AR62 AR67:AR68</xm:sqref>
        </x14:dataValidation>
        <x14:dataValidation type="list" allowBlank="1" showInputMessage="1" showErrorMessage="1">
          <x14:formula1>
            <xm:f>'[3]Tabla Valoración controles'!#REF!</xm:f>
          </x14:formula1>
          <xm:sqref>Z55:AA58 AC55:AE58 Z61:AA68 AC61:AE68 Z73:AA74 AC73:AE74</xm:sqref>
        </x14:dataValidation>
        <x14:dataValidation type="list" allowBlank="1" showInputMessage="1" showErrorMessage="1">
          <x14:formula1>
            <xm:f>'[2]Opciones Tratamiento'!#REF!</xm:f>
          </x14:formula1>
          <xm:sqref>AR69:AR72</xm:sqref>
        </x14:dataValidation>
        <x14:dataValidation type="list" allowBlank="1" showInputMessage="1" showErrorMessage="1">
          <x14:formula1>
            <xm:f>'[5]Tabla Valoración controles'!#REF!</xm:f>
          </x14:formula1>
          <xm:sqref>Z97:AA109 AC97:AE109 Z125:AA129 AC125:AE129 Z161:AA163 AC161:AE163</xm:sqref>
        </x14:dataValidation>
        <x14:dataValidation type="list" allowBlank="1" showInputMessage="1" showErrorMessage="1">
          <x14:formula1>
            <xm:f>'[5]Opciones Tratamiento'!#REF!</xm:f>
          </x14:formula1>
          <xm:sqref>E107:E130 C107:C130 E155:E166 C155:C166</xm:sqref>
        </x14:dataValidation>
        <x14:dataValidation type="list" allowBlank="1" showInputMessage="1" showErrorMessage="1">
          <x14:formula1>
            <xm:f>'[1]Opciones Tratamiento'!#REF!</xm:f>
          </x14:formula1>
          <xm:sqref>E233:E262 C233:C262</xm:sqref>
        </x14:dataValidation>
        <x14:dataValidation type="list" allowBlank="1" showInputMessage="1" showErrorMessage="1">
          <x14:formula1>
            <xm:f>'[1]Tabla Valoración controles'!#REF!</xm:f>
          </x14:formula1>
          <xm:sqref>Z233:AA233 AC233:AE233 Z239:AA240 AC239:AE240 Z245:AA246 AC245:AE246 Z251:AA252 AC251:AE252 Z257:AA258 AC257:AE258</xm:sqref>
        </x14:dataValidation>
        <x14:dataValidation type="list" allowBlank="1" showInputMessage="1" showErrorMessage="1">
          <x14:formula1>
            <xm:f>'[1]Opciones Tratamiento'!#REF!</xm:f>
          </x14:formula1>
          <xm:sqref>E263:E310 C263:C310</xm:sqref>
        </x14:dataValidation>
        <x14:dataValidation type="list" allowBlank="1" showInputMessage="1" showErrorMessage="1">
          <x14:formula1>
            <xm:f>'[6]Tabla Valoración controles'!#REF!</xm:f>
          </x14:formula1>
          <xm:sqref>AE263:AE266 AE269 AE275 AE281 AE287:AE289 AE293:AE296 AE299:AE302 AE305:AE307</xm:sqref>
        </x14:dataValidation>
        <x14:dataValidation type="list" allowBlank="1" showInputMessage="1" showErrorMessage="1">
          <x14:formula1>
            <xm:f>'[6]Tabla Valoración controles'!#REF!</xm:f>
          </x14:formula1>
          <xm:sqref>AD263:AD266 AD269 AD275 AD281 AD287:AD289 AD293:AD296 AD299:AD302 AD305:AD307</xm:sqref>
        </x14:dataValidation>
        <x14:dataValidation type="list" allowBlank="1" showInputMessage="1" showErrorMessage="1">
          <x14:formula1>
            <xm:f>'[6]Tabla Valoración controles'!#REF!</xm:f>
          </x14:formula1>
          <xm:sqref>AC263:AC266 AC269 AC275 AC281 AC287:AC289 AC293:AC296 AC299:AC302 AC305:AC307</xm:sqref>
        </x14:dataValidation>
        <x14:dataValidation type="list" allowBlank="1" showInputMessage="1" showErrorMessage="1">
          <x14:formula1>
            <xm:f>'[6]Tabla Valoración controles'!#REF!</xm:f>
          </x14:formula1>
          <xm:sqref>AA263:AA266 AA269 AA275 AA281 AA287:AA289 AA293:AA296 AA299:AA302 AA305:AA307</xm:sqref>
        </x14:dataValidation>
        <x14:dataValidation type="list" allowBlank="1" showInputMessage="1" showErrorMessage="1">
          <x14:formula1>
            <xm:f>'[6]Tabla Valoración controles'!#REF!</xm:f>
          </x14:formula1>
          <xm:sqref>Z263:Z266 Z269 Z275 Z281 Z287:Z289 Z293:Z296 Z299:Z302 Z305:Z307</xm:sqref>
        </x14:dataValidation>
        <x14:dataValidation type="list" allowBlank="1" showInputMessage="1" showErrorMessage="1">
          <x14:formula1>
            <xm:f>'[1]Opciones Tratamiento'!#REF!</xm:f>
          </x14:formula1>
          <xm:sqref>E311:E322 C311:C322 E425:E460 C425:C460</xm:sqref>
        </x14:dataValidation>
        <x14:dataValidation type="list" allowBlank="1" showInputMessage="1" showErrorMessage="1">
          <x14:formula1>
            <xm:f>'[7]Tabla Valoración controles'!#REF!</xm:f>
          </x14:formula1>
          <xm:sqref>AE311:AE312 AE317</xm:sqref>
        </x14:dataValidation>
        <x14:dataValidation type="list" allowBlank="1" showInputMessage="1" showErrorMessage="1">
          <x14:formula1>
            <xm:f>'[7]Tabla Valoración controles'!#REF!</xm:f>
          </x14:formula1>
          <xm:sqref>AD311:AD312 AD317</xm:sqref>
        </x14:dataValidation>
        <x14:dataValidation type="list" allowBlank="1" showInputMessage="1" showErrorMessage="1">
          <x14:formula1>
            <xm:f>'[7]Tabla Valoración controles'!#REF!</xm:f>
          </x14:formula1>
          <xm:sqref>AC311:AC312 AC317</xm:sqref>
        </x14:dataValidation>
        <x14:dataValidation type="list" allowBlank="1" showInputMessage="1" showErrorMessage="1">
          <x14:formula1>
            <xm:f>'[7]Tabla Valoración controles'!#REF!</xm:f>
          </x14:formula1>
          <xm:sqref>AA311:AA312 AA317</xm:sqref>
        </x14:dataValidation>
        <x14:dataValidation type="list" allowBlank="1" showInputMessage="1" showErrorMessage="1">
          <x14:formula1>
            <xm:f>'[7]Tabla Valoración controles'!#REF!</xm:f>
          </x14:formula1>
          <xm:sqref>Z311:Z312 Z317</xm:sqref>
        </x14:dataValidation>
        <x14:dataValidation type="list" allowBlank="1" showInputMessage="1" showErrorMessage="1">
          <x14:formula1>
            <xm:f>'[8]Opciones Tratamiento'!#REF!</xm:f>
          </x14:formula1>
          <xm:sqref>E323:E424 C323:C424</xm:sqref>
        </x14:dataValidation>
        <x14:dataValidation type="list" allowBlank="1" showInputMessage="1" showErrorMessage="1">
          <x14:formula1>
            <xm:f>'[9]Tabla Valoración controles'!#REF!</xm:f>
          </x14:formula1>
          <xm:sqref>AE323:AE324 AE329:AE330 AE335 AE341:AE342 AE347:AE348 AE353:AE354 AE359:AE360 AE365:AE367 AE371:AE372 AE377:AE378 AE383:AE384 AE389:AE391 AE395:AE397 AE401 AE407:AE411 AE413:AE416 AE419:AE420</xm:sqref>
        </x14:dataValidation>
        <x14:dataValidation type="list" allowBlank="1" showInputMessage="1" showErrorMessage="1">
          <x14:formula1>
            <xm:f>'[9]Tabla Valoración controles'!#REF!</xm:f>
          </x14:formula1>
          <xm:sqref>AD323:AD324 AD329:AD330 AD335 AD341:AD342 AD347:AD348 AD353:AD354 AD359:AD360 AD365:AD367 AD371:AD372 AD377:AD378 AD383:AD384 AD389:AD391 AD395:AD397 AD401 AD407:AD411 AD413:AD416 AD419:AD420</xm:sqref>
        </x14:dataValidation>
        <x14:dataValidation type="list" allowBlank="1" showInputMessage="1" showErrorMessage="1">
          <x14:formula1>
            <xm:f>'[9]Tabla Valoración controles'!#REF!</xm:f>
          </x14:formula1>
          <xm:sqref>AC323:AC324 AC329:AC330 AC335 AC341:AC342 AC347:AC348 AC353:AC354 AC359:AC360 AC365:AC367 AC371:AC372 AC377:AC378 AC383:AC384 AC389:AC391 AC395:AC397 AC401 AC407:AC411 AC413:AC416 AC419:AC420</xm:sqref>
        </x14:dataValidation>
        <x14:dataValidation type="list" allowBlank="1" showInputMessage="1" showErrorMessage="1">
          <x14:formula1>
            <xm:f>'[9]Tabla Valoración controles'!#REF!</xm:f>
          </x14:formula1>
          <xm:sqref>AA323:AA324 AA329:AA330 AA335 AA341:AA342 AA347:AA348 AA353:AA354 AA359:AA360 AA365:AA367 AA371:AA372 AA377:AA378 AA383:AA384 AA389:AA391 AA395:AA397 AA401 AA407:AA411 AA413:AA416 AA419:AA420</xm:sqref>
        </x14:dataValidation>
        <x14:dataValidation type="list" allowBlank="1" showInputMessage="1" showErrorMessage="1">
          <x14:formula1>
            <xm:f>'[9]Tabla Valoración controles'!#REF!</xm:f>
          </x14:formula1>
          <xm:sqref>Z323:Z324 Z329:Z330 Z335 Z341:Z342 Z347:Z348 Z353:Z354 Z359:Z360 Z365:Z367 Z371:Z372 Z377:Z378 Z383:Z384 Z389:Z391 Z395:Z397 Z401 Z407:Z411 Z413:Z416 Z419:Z420</xm:sqref>
        </x14:dataValidation>
        <x14:dataValidation type="list" allowBlank="1" showInputMessage="1" showErrorMessage="1">
          <x14:formula1>
            <xm:f>'[10]Tabla Valoración controles'!#REF!</xm:f>
          </x14:formula1>
          <xm:sqref>AE425:AE428 AE431:AE439 AE443:AE446</xm:sqref>
        </x14:dataValidation>
        <x14:dataValidation type="list" allowBlank="1" showInputMessage="1" showErrorMessage="1">
          <x14:formula1>
            <xm:f>'[10]Tabla Valoración controles'!#REF!</xm:f>
          </x14:formula1>
          <xm:sqref>AD425:AD428 AD431:AD439 AD443:AD446</xm:sqref>
        </x14:dataValidation>
        <x14:dataValidation type="list" allowBlank="1" showInputMessage="1" showErrorMessage="1">
          <x14:formula1>
            <xm:f>'[10]Tabla Valoración controles'!#REF!</xm:f>
          </x14:formula1>
          <xm:sqref>AC425:AC428 AC431:AC439 AC443:AC446</xm:sqref>
        </x14:dataValidation>
        <x14:dataValidation type="list" allowBlank="1" showInputMessage="1" showErrorMessage="1">
          <x14:formula1>
            <xm:f>'[10]Tabla Valoración controles'!#REF!</xm:f>
          </x14:formula1>
          <xm:sqref>AA425:AA428 AA431:AA439 AA443:AA446</xm:sqref>
        </x14:dataValidation>
        <x14:dataValidation type="list" allowBlank="1" showInputMessage="1" showErrorMessage="1">
          <x14:formula1>
            <xm:f>'[10]Tabla Valoración controles'!#REF!</xm:f>
          </x14:formula1>
          <xm:sqref>Z425:Z428 Z431:Z439 Z443:Z446</xm:sqref>
        </x14:dataValidation>
        <x14:dataValidation type="list" allowBlank="1" showInputMessage="1" showErrorMessage="1">
          <x14:formula1>
            <xm:f>'[11]Opciones Tratamiento'!#REF!</xm:f>
          </x14:formula1>
          <xm:sqref>AR431 AR443 AR449</xm:sqref>
        </x14:dataValidation>
        <x14:dataValidation type="list" allowBlank="1" showInputMessage="1" showErrorMessage="1">
          <x14:formula1>
            <xm:f>'[1]Tabla Valoración controles'!#REF!</xm:f>
          </x14:formula1>
          <xm:sqref>Z449:AA452 AC449:AE452 Z455:AA456 AC455:AE456</xm:sqref>
        </x14:dataValidation>
        <x14:dataValidation type="list" allowBlank="1" showInputMessage="1" showErrorMessage="1">
          <x14:formula1>
            <xm:f>'[12]Opciones Tratamiento'!#REF!</xm:f>
          </x14:formula1>
          <xm:sqref>E461:E520 C461:C520</xm:sqref>
        </x14:dataValidation>
        <x14:dataValidation type="list" allowBlank="1" showInputMessage="1" showErrorMessage="1">
          <x14:formula1>
            <xm:f>'[12]Tabla Valoración controles'!#REF!</xm:f>
          </x14:formula1>
          <xm:sqref>Z461:AA461 Z467:AA467 AC473:AE476 Z473:AA476 AC479:AE481 Z479:AA481 AC485:AE486 Z485:AA486 AC491:AE493 Z491:AA493 AC497:AE501 Z497:AA501 AC503:AE506 Z503:AA506 AC509:AE509 Z509:AA509</xm:sqref>
        </x14:dataValidation>
        <x14:dataValidation type="list" allowBlank="1" showInputMessage="1" showErrorMessage="1">
          <x14:formula1>
            <xm:f>'[13]Tabla Valoración controles'!#REF!</xm:f>
          </x14:formula1>
          <xm:sqref>AE461:AE463 AE467:AE470 AE482:AE483 AE515:AE516</xm:sqref>
        </x14:dataValidation>
        <x14:dataValidation type="list" allowBlank="1" showInputMessage="1" showErrorMessage="1">
          <x14:formula1>
            <xm:f>'[13]Tabla Valoración controles'!#REF!</xm:f>
          </x14:formula1>
          <xm:sqref>AD461:AD463 AD467:AD470 AD482:AD483 AD515:AD516</xm:sqref>
        </x14:dataValidation>
        <x14:dataValidation type="list" allowBlank="1" showInputMessage="1" showErrorMessage="1">
          <x14:formula1>
            <xm:f>'[13]Tabla Valoración controles'!#REF!</xm:f>
          </x14:formula1>
          <xm:sqref>AC461:AC463 AC467:AC470 AC482:AC483 AC515:AC516</xm:sqref>
        </x14:dataValidation>
        <x14:dataValidation type="list" allowBlank="1" showInputMessage="1" showErrorMessage="1">
          <x14:formula1>
            <xm:f>'[13]Tabla Valoración controles'!#REF!</xm:f>
          </x14:formula1>
          <xm:sqref>AA462:AA463 AA468:AA470 AA482:AA483 AA515:AA516</xm:sqref>
        </x14:dataValidation>
        <x14:dataValidation type="list" allowBlank="1" showInputMessage="1" showErrorMessage="1">
          <x14:formula1>
            <xm:f>'[13]Tabla Valoración controles'!#REF!</xm:f>
          </x14:formula1>
          <xm:sqref>Z462:Z463 Z468:Z470 Z482:Z483 Z515:Z516</xm:sqref>
        </x14:dataValidation>
        <x14:dataValidation type="list" allowBlank="1" showInputMessage="1" showErrorMessage="1">
          <x14:formula1>
            <xm:f>'[13]Opciones Tratamiento'!#REF!</xm:f>
          </x14:formula1>
          <xm:sqref>AR461 AR515</xm:sqref>
        </x14:dataValidation>
        <x14:dataValidation type="list" allowBlank="1" showInputMessage="1" showErrorMessage="1">
          <x14:formula1>
            <xm:f>'[1]Opciones Tratamiento'!#REF!</xm:f>
          </x14:formula1>
          <xm:sqref>E521:E544 C521:C544</xm:sqref>
        </x14:dataValidation>
        <x14:dataValidation type="list" allowBlank="1" showInputMessage="1" showErrorMessage="1">
          <x14:formula1>
            <xm:f>'[14]Tabla Valoración controles'!#REF!</xm:f>
          </x14:formula1>
          <xm:sqref>AE521:AE522 AE527:AE528 AE533:AE534 AE539</xm:sqref>
        </x14:dataValidation>
        <x14:dataValidation type="list" allowBlank="1" showInputMessage="1" showErrorMessage="1">
          <x14:formula1>
            <xm:f>'[14]Tabla Valoración controles'!#REF!</xm:f>
          </x14:formula1>
          <xm:sqref>AD521:AD522 AD527:AD528 AD533:AD534 AD539</xm:sqref>
        </x14:dataValidation>
        <x14:dataValidation type="list" allowBlank="1" showInputMessage="1" showErrorMessage="1">
          <x14:formula1>
            <xm:f>'[14]Tabla Valoración controles'!#REF!</xm:f>
          </x14:formula1>
          <xm:sqref>AC521:AC522 AC527:AC528 AC533:AC534 AC539</xm:sqref>
        </x14:dataValidation>
        <x14:dataValidation type="list" allowBlank="1" showInputMessage="1" showErrorMessage="1">
          <x14:formula1>
            <xm:f>'[14]Tabla Valoración controles'!#REF!</xm:f>
          </x14:formula1>
          <xm:sqref>AA521:AA522 AA527:AA528 AA533:AA534 AA539</xm:sqref>
        </x14:dataValidation>
        <x14:dataValidation type="list" allowBlank="1" showInputMessage="1" showErrorMessage="1">
          <x14:formula1>
            <xm:f>'[14]Tabla Valoración controles'!#REF!</xm:f>
          </x14:formula1>
          <xm:sqref>Z521:Z522 Z527:Z528 Z533:Z534 Z539</xm:sqref>
        </x14:dataValidation>
        <x14:dataValidation type="list" allowBlank="1" showInputMessage="1" showErrorMessage="1">
          <x14:formula1>
            <xm:f>'[1]Opciones Tratamiento'!#REF!</xm:f>
          </x14:formula1>
          <xm:sqref>E545:E568 C545:C568</xm:sqref>
        </x14:dataValidation>
        <x14:dataValidation type="list" allowBlank="1" showInputMessage="1" showErrorMessage="1">
          <x14:formula1>
            <xm:f>'[15]Tabla Valoración controles'!#REF!</xm:f>
          </x14:formula1>
          <xm:sqref>AE545 AE551:AE552 AE557 AE563:AE564</xm:sqref>
        </x14:dataValidation>
        <x14:dataValidation type="list" allowBlank="1" showInputMessage="1" showErrorMessage="1">
          <x14:formula1>
            <xm:f>'[15]Tabla Valoración controles'!#REF!</xm:f>
          </x14:formula1>
          <xm:sqref>AD545 AD551:AD552 AD557 AD563:AD564</xm:sqref>
        </x14:dataValidation>
        <x14:dataValidation type="list" allowBlank="1" showInputMessage="1" showErrorMessage="1">
          <x14:formula1>
            <xm:f>'[15]Tabla Valoración controles'!#REF!</xm:f>
          </x14:formula1>
          <xm:sqref>AC545 AC551:AC552 AC557 AC563:AC564</xm:sqref>
        </x14:dataValidation>
        <x14:dataValidation type="list" allowBlank="1" showInputMessage="1" showErrorMessage="1">
          <x14:formula1>
            <xm:f>'[15]Tabla Valoración controles'!#REF!</xm:f>
          </x14:formula1>
          <xm:sqref>AA545 AA551:AA552 AA557 AA563:AA564</xm:sqref>
        </x14:dataValidation>
        <x14:dataValidation type="list" allowBlank="1" showInputMessage="1" showErrorMessage="1">
          <x14:formula1>
            <xm:f>'[15]Tabla Valoración controles'!#REF!</xm:f>
          </x14:formula1>
          <xm:sqref>Z545 Z551:Z552 Z557 Z563:Z564</xm:sqref>
        </x14:dataValidation>
        <x14:dataValidation type="list" allowBlank="1" showInputMessage="1" showErrorMessage="1">
          <x14:formula1>
            <xm:f>'[15]Opciones Tratamiento'!#REF!</xm:f>
          </x14:formula1>
          <xm:sqref>AR563:AR564</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dimension ref="A1:BR71"/>
  <sheetViews>
    <sheetView view="pageBreakPreview" topLeftCell="A6" zoomScale="40" zoomScaleNormal="40" zoomScaleSheetLayoutView="40" workbookViewId="0">
      <selection activeCell="A10" sqref="A10:A11"/>
    </sheetView>
  </sheetViews>
  <sheetFormatPr baseColWidth="10" defaultColWidth="11.42578125" defaultRowHeight="16.5" x14ac:dyDescent="0.3"/>
  <cols>
    <col min="1" max="1" width="81.42578125" style="172" customWidth="1"/>
    <col min="2" max="2" width="20.5703125" style="172" customWidth="1"/>
    <col min="3" max="4" width="90.5703125" style="172" customWidth="1"/>
    <col min="5" max="5" width="42.28515625" style="172" customWidth="1"/>
    <col min="6" max="6" width="91" style="172" customWidth="1"/>
    <col min="7" max="8" width="48.140625" style="172" customWidth="1"/>
    <col min="9" max="10" width="90.85546875" style="172" customWidth="1"/>
    <col min="11" max="11" width="48.28515625" style="172" customWidth="1"/>
    <col min="12" max="12" width="35.42578125" style="172" customWidth="1"/>
    <col min="13" max="13" width="68.85546875" style="172" customWidth="1"/>
    <col min="14" max="14" width="20.42578125" style="172" customWidth="1"/>
    <col min="15" max="15" width="35.85546875" style="172" customWidth="1"/>
    <col min="16" max="16384" width="11.42578125" style="172"/>
  </cols>
  <sheetData>
    <row r="1" spans="1:70" s="165" customFormat="1" ht="24" thickBot="1" x14ac:dyDescent="0.4">
      <c r="A1" s="173"/>
      <c r="B1" s="173"/>
      <c r="C1" s="173"/>
      <c r="D1" s="173"/>
      <c r="E1" s="173"/>
      <c r="F1" s="173"/>
      <c r="G1" s="173"/>
      <c r="H1" s="173"/>
      <c r="I1" s="173"/>
      <c r="J1" s="173"/>
      <c r="K1" s="173"/>
      <c r="L1" s="173"/>
      <c r="M1" s="173"/>
      <c r="N1" s="164"/>
      <c r="O1" s="164"/>
      <c r="P1" s="164"/>
      <c r="Q1" s="164"/>
      <c r="R1" s="164"/>
      <c r="S1" s="164"/>
      <c r="T1" s="164"/>
      <c r="U1" s="164"/>
      <c r="V1" s="164"/>
      <c r="W1" s="164"/>
      <c r="X1" s="164"/>
      <c r="Y1" s="164"/>
      <c r="Z1" s="164"/>
      <c r="AA1" s="164"/>
      <c r="AB1" s="164"/>
      <c r="AC1" s="164"/>
      <c r="AD1" s="164"/>
      <c r="AE1" s="164"/>
      <c r="AF1" s="164"/>
      <c r="AG1" s="164"/>
      <c r="AH1" s="164"/>
      <c r="AI1" s="164"/>
      <c r="AJ1" s="164"/>
      <c r="AK1" s="164"/>
      <c r="AL1" s="164"/>
      <c r="AM1" s="164"/>
      <c r="AN1" s="164"/>
      <c r="AO1" s="164"/>
      <c r="AP1" s="164"/>
      <c r="AQ1" s="164"/>
      <c r="AR1" s="164"/>
      <c r="AS1" s="164"/>
      <c r="AT1" s="164"/>
      <c r="AU1" s="164"/>
      <c r="AV1" s="164"/>
      <c r="AW1" s="164"/>
      <c r="AX1" s="164"/>
      <c r="AY1" s="164"/>
      <c r="AZ1" s="164"/>
      <c r="BA1" s="164"/>
      <c r="BB1" s="164"/>
      <c r="BC1" s="164"/>
      <c r="BD1" s="164"/>
      <c r="BE1" s="164"/>
      <c r="BF1" s="164"/>
      <c r="BG1" s="164"/>
      <c r="BH1" s="164"/>
      <c r="BI1" s="164"/>
      <c r="BJ1" s="164"/>
      <c r="BK1" s="164"/>
      <c r="BL1" s="164"/>
      <c r="BM1" s="164"/>
      <c r="BN1" s="164"/>
      <c r="BO1" s="164"/>
      <c r="BP1" s="164"/>
      <c r="BQ1" s="164"/>
      <c r="BR1" s="164"/>
    </row>
    <row r="2" spans="1:70" s="165" customFormat="1" ht="70.5" customHeight="1" x14ac:dyDescent="0.35">
      <c r="A2" s="284" t="s">
        <v>60</v>
      </c>
      <c r="B2" s="285"/>
      <c r="C2" s="285"/>
      <c r="D2" s="302" t="s">
        <v>109</v>
      </c>
      <c r="E2" s="303"/>
      <c r="F2" s="303"/>
      <c r="G2" s="303"/>
      <c r="H2" s="303"/>
      <c r="I2" s="303"/>
      <c r="J2" s="303"/>
      <c r="K2" s="303"/>
      <c r="L2" s="304"/>
      <c r="M2" s="286" t="s">
        <v>110</v>
      </c>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row>
    <row r="3" spans="1:70" s="165" customFormat="1" ht="34.5" customHeight="1" x14ac:dyDescent="0.35">
      <c r="A3" s="288"/>
      <c r="B3" s="289"/>
      <c r="C3" s="289"/>
      <c r="D3" s="296" t="s">
        <v>63</v>
      </c>
      <c r="E3" s="297"/>
      <c r="F3" s="297"/>
      <c r="G3" s="297"/>
      <c r="H3" s="297"/>
      <c r="I3" s="297"/>
      <c r="J3" s="297"/>
      <c r="K3" s="297"/>
      <c r="L3" s="298"/>
      <c r="M3" s="287"/>
      <c r="N3" s="166"/>
      <c r="O3" s="166"/>
      <c r="P3" s="166"/>
      <c r="Q3" s="166"/>
      <c r="R3" s="166"/>
      <c r="S3" s="166"/>
      <c r="T3" s="166"/>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row>
    <row r="4" spans="1:70" s="165" customFormat="1" ht="34.5" customHeight="1" x14ac:dyDescent="0.35">
      <c r="A4" s="288"/>
      <c r="B4" s="289"/>
      <c r="C4" s="289"/>
      <c r="D4" s="299"/>
      <c r="E4" s="300"/>
      <c r="F4" s="300"/>
      <c r="G4" s="300"/>
      <c r="H4" s="300"/>
      <c r="I4" s="300"/>
      <c r="J4" s="300"/>
      <c r="K4" s="300"/>
      <c r="L4" s="301"/>
      <c r="M4" s="174" t="s">
        <v>64</v>
      </c>
      <c r="N4" s="164"/>
      <c r="P4" s="167"/>
      <c r="Q4" s="167"/>
      <c r="R4" s="167"/>
      <c r="S4" s="167"/>
      <c r="T4" s="167"/>
      <c r="U4" s="167"/>
      <c r="V4" s="167"/>
      <c r="W4" s="167"/>
      <c r="X4" s="164"/>
      <c r="Y4" s="164"/>
      <c r="Z4" s="164"/>
      <c r="AA4" s="164"/>
      <c r="AB4" s="164"/>
      <c r="AC4" s="164"/>
      <c r="AD4" s="164"/>
      <c r="AE4" s="164"/>
      <c r="AF4" s="164"/>
      <c r="AG4" s="164"/>
      <c r="AH4" s="164"/>
      <c r="AI4" s="164"/>
      <c r="AJ4" s="164"/>
      <c r="AK4" s="164"/>
      <c r="AL4" s="164"/>
      <c r="AM4" s="164"/>
      <c r="AN4" s="164"/>
      <c r="AO4" s="164"/>
      <c r="AP4" s="164"/>
      <c r="AQ4" s="164"/>
      <c r="AR4" s="164"/>
      <c r="AS4" s="164"/>
      <c r="AT4" s="164"/>
      <c r="AU4" s="164"/>
      <c r="AV4" s="164"/>
      <c r="AW4" s="164"/>
      <c r="AX4" s="164"/>
      <c r="AY4" s="164"/>
      <c r="AZ4" s="164"/>
      <c r="BA4" s="164"/>
      <c r="BB4" s="164"/>
      <c r="BC4" s="164"/>
      <c r="BD4" s="164"/>
      <c r="BE4" s="164"/>
      <c r="BF4" s="164"/>
      <c r="BG4" s="164"/>
      <c r="BH4" s="164"/>
      <c r="BI4" s="164"/>
      <c r="BJ4" s="164"/>
      <c r="BK4" s="164"/>
      <c r="BL4" s="164"/>
      <c r="BM4" s="164"/>
      <c r="BN4" s="164"/>
      <c r="BO4" s="164"/>
      <c r="BP4" s="164"/>
      <c r="BQ4" s="164"/>
      <c r="BR4" s="164"/>
    </row>
    <row r="5" spans="1:70" s="165" customFormat="1" ht="34.5" customHeight="1" x14ac:dyDescent="0.35">
      <c r="A5" s="288"/>
      <c r="B5" s="289"/>
      <c r="C5" s="289"/>
      <c r="D5" s="308" t="s">
        <v>65</v>
      </c>
      <c r="E5" s="309"/>
      <c r="F5" s="309"/>
      <c r="G5" s="309"/>
      <c r="H5" s="309"/>
      <c r="I5" s="309"/>
      <c r="J5" s="309"/>
      <c r="K5" s="309"/>
      <c r="L5" s="310"/>
      <c r="M5" s="174" t="s">
        <v>111</v>
      </c>
      <c r="N5" s="164"/>
      <c r="P5" s="167"/>
      <c r="Q5" s="167"/>
      <c r="R5" s="167"/>
      <c r="S5" s="167"/>
      <c r="T5" s="167"/>
      <c r="U5" s="167"/>
      <c r="V5" s="167"/>
      <c r="W5" s="167"/>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c r="AW5" s="164"/>
      <c r="AX5" s="164"/>
      <c r="AY5" s="164"/>
      <c r="AZ5" s="164"/>
      <c r="BA5" s="164"/>
      <c r="BB5" s="164"/>
      <c r="BC5" s="164"/>
      <c r="BD5" s="164"/>
      <c r="BE5" s="164"/>
      <c r="BF5" s="164"/>
      <c r="BG5" s="164"/>
      <c r="BH5" s="164"/>
      <c r="BI5" s="164"/>
      <c r="BJ5" s="164"/>
      <c r="BK5" s="164"/>
      <c r="BL5" s="164"/>
      <c r="BM5" s="164"/>
      <c r="BN5" s="164"/>
      <c r="BO5" s="164"/>
      <c r="BP5" s="164"/>
      <c r="BQ5" s="164"/>
      <c r="BR5" s="164"/>
    </row>
    <row r="6" spans="1:70" s="165" customFormat="1" ht="34.5" customHeight="1" x14ac:dyDescent="0.35">
      <c r="A6" s="288"/>
      <c r="B6" s="289"/>
      <c r="C6" s="289"/>
      <c r="D6" s="305" t="s">
        <v>67</v>
      </c>
      <c r="E6" s="306"/>
      <c r="F6" s="306"/>
      <c r="G6" s="306"/>
      <c r="H6" s="306"/>
      <c r="I6" s="306"/>
      <c r="J6" s="306"/>
      <c r="K6" s="306"/>
      <c r="L6" s="307"/>
      <c r="M6" s="174" t="s">
        <v>68</v>
      </c>
      <c r="N6" s="164"/>
      <c r="P6" s="168"/>
      <c r="Q6" s="168"/>
      <c r="R6" s="168"/>
      <c r="S6" s="168"/>
      <c r="T6" s="168"/>
      <c r="U6" s="168"/>
      <c r="V6" s="168"/>
      <c r="W6" s="168"/>
      <c r="X6" s="164"/>
      <c r="Y6" s="164"/>
      <c r="Z6" s="164"/>
      <c r="AA6" s="164"/>
      <c r="AB6" s="164"/>
      <c r="AC6" s="164"/>
      <c r="AD6" s="164"/>
      <c r="AE6" s="164"/>
      <c r="AF6" s="164"/>
      <c r="AG6" s="164"/>
      <c r="AH6" s="164"/>
      <c r="AI6" s="164"/>
      <c r="AJ6" s="164"/>
      <c r="AK6" s="164"/>
      <c r="AL6" s="164"/>
      <c r="AM6" s="164"/>
      <c r="AN6" s="164"/>
      <c r="AO6" s="164"/>
      <c r="AP6" s="164"/>
      <c r="AQ6" s="164"/>
      <c r="AR6" s="164"/>
      <c r="AS6" s="164"/>
      <c r="AT6" s="164"/>
      <c r="AU6" s="164"/>
      <c r="AV6" s="164"/>
      <c r="AW6" s="164"/>
      <c r="AX6" s="164"/>
      <c r="AY6" s="164"/>
      <c r="AZ6" s="164"/>
      <c r="BA6" s="164"/>
      <c r="BB6" s="164"/>
      <c r="BC6" s="164"/>
      <c r="BD6" s="164"/>
      <c r="BE6" s="164"/>
      <c r="BF6" s="164"/>
      <c r="BG6" s="164"/>
      <c r="BH6" s="164"/>
      <c r="BI6" s="164"/>
      <c r="BJ6" s="164"/>
      <c r="BK6" s="164"/>
      <c r="BL6" s="164"/>
      <c r="BM6" s="164"/>
      <c r="BN6" s="164"/>
      <c r="BO6" s="164"/>
      <c r="BP6" s="164"/>
      <c r="BQ6" s="164"/>
      <c r="BR6" s="164"/>
    </row>
    <row r="7" spans="1:70" s="165" customFormat="1" ht="33" customHeight="1" thickBot="1" x14ac:dyDescent="0.4">
      <c r="A7" s="290"/>
      <c r="B7" s="291"/>
      <c r="C7" s="291"/>
      <c r="D7" s="291"/>
      <c r="E7" s="291"/>
      <c r="F7" s="291"/>
      <c r="G7" s="291"/>
      <c r="H7" s="291"/>
      <c r="I7" s="291"/>
      <c r="J7" s="291"/>
      <c r="K7" s="291"/>
      <c r="L7" s="291"/>
      <c r="M7" s="292"/>
      <c r="N7" s="164"/>
      <c r="O7" s="168"/>
      <c r="P7" s="168"/>
      <c r="Q7" s="168"/>
      <c r="R7" s="168"/>
      <c r="S7" s="168"/>
      <c r="T7" s="168"/>
      <c r="U7" s="168"/>
      <c r="V7" s="168"/>
      <c r="W7" s="168"/>
      <c r="X7" s="164"/>
      <c r="Y7" s="164"/>
      <c r="Z7" s="164"/>
      <c r="AA7" s="164"/>
      <c r="AB7" s="164"/>
      <c r="AC7" s="164"/>
      <c r="AD7" s="164"/>
      <c r="AE7" s="164"/>
      <c r="AF7" s="164"/>
      <c r="AG7" s="164"/>
      <c r="AH7" s="164"/>
      <c r="AI7" s="164"/>
      <c r="AJ7" s="164"/>
      <c r="AK7" s="164"/>
      <c r="AL7" s="164"/>
      <c r="AM7" s="164"/>
      <c r="AN7" s="164"/>
      <c r="AO7" s="164"/>
      <c r="AP7" s="164"/>
      <c r="AQ7" s="164"/>
      <c r="AR7" s="164"/>
      <c r="AS7" s="164"/>
      <c r="AT7" s="164"/>
      <c r="AU7" s="164"/>
      <c r="AV7" s="164"/>
      <c r="AW7" s="164"/>
      <c r="AX7" s="164"/>
      <c r="AY7" s="164"/>
      <c r="AZ7" s="164"/>
      <c r="BA7" s="164"/>
      <c r="BB7" s="164"/>
      <c r="BC7" s="164"/>
      <c r="BD7" s="164"/>
      <c r="BE7" s="164"/>
      <c r="BF7" s="164"/>
      <c r="BG7" s="164"/>
      <c r="BH7" s="164"/>
      <c r="BI7" s="164"/>
      <c r="BJ7" s="164"/>
      <c r="BK7" s="164"/>
      <c r="BL7" s="164"/>
      <c r="BM7" s="164"/>
      <c r="BN7" s="164"/>
      <c r="BO7" s="164"/>
      <c r="BP7" s="164"/>
      <c r="BQ7" s="164"/>
      <c r="BR7" s="164"/>
    </row>
    <row r="8" spans="1:70" s="165" customFormat="1" ht="29.25" customHeight="1" x14ac:dyDescent="0.35">
      <c r="A8" s="175"/>
      <c r="B8" s="176"/>
      <c r="C8" s="177"/>
      <c r="D8" s="177"/>
      <c r="E8" s="177"/>
      <c r="F8" s="177"/>
      <c r="G8" s="177"/>
      <c r="H8" s="177"/>
      <c r="I8" s="177"/>
      <c r="J8" s="177"/>
      <c r="K8" s="177"/>
      <c r="L8" s="177"/>
      <c r="M8" s="177"/>
      <c r="N8" s="164"/>
      <c r="O8" s="164"/>
      <c r="P8" s="164"/>
      <c r="Q8" s="164"/>
      <c r="R8" s="164"/>
      <c r="S8" s="164"/>
      <c r="T8" s="164"/>
      <c r="U8" s="164"/>
      <c r="V8" s="164"/>
      <c r="W8" s="164"/>
      <c r="X8" s="164"/>
      <c r="Y8" s="164"/>
      <c r="Z8" s="164"/>
      <c r="AA8" s="164"/>
      <c r="AB8" s="164"/>
      <c r="AC8" s="164"/>
      <c r="AD8" s="164"/>
      <c r="AE8" s="164"/>
      <c r="AF8" s="164"/>
      <c r="AG8" s="164"/>
      <c r="AH8" s="164"/>
      <c r="AI8" s="164"/>
      <c r="AJ8" s="164"/>
      <c r="AK8" s="164"/>
      <c r="AL8" s="164"/>
      <c r="AM8" s="164"/>
      <c r="AN8" s="164"/>
      <c r="AO8" s="164"/>
      <c r="AP8" s="164"/>
      <c r="AQ8" s="164"/>
      <c r="AR8" s="164"/>
      <c r="AS8" s="164"/>
      <c r="AT8" s="164"/>
      <c r="AU8" s="164"/>
      <c r="AV8" s="164"/>
      <c r="AW8" s="164"/>
      <c r="AX8" s="164"/>
      <c r="AY8" s="164"/>
      <c r="AZ8" s="164"/>
      <c r="BA8" s="164"/>
      <c r="BB8" s="164"/>
      <c r="BC8" s="164"/>
      <c r="BD8" s="164"/>
      <c r="BE8" s="164"/>
      <c r="BF8" s="164"/>
      <c r="BG8" s="164"/>
      <c r="BH8" s="164"/>
      <c r="BI8" s="164"/>
      <c r="BJ8" s="164"/>
      <c r="BK8" s="164"/>
      <c r="BL8" s="164"/>
      <c r="BM8" s="164"/>
      <c r="BN8" s="164"/>
      <c r="BO8" s="164"/>
      <c r="BP8" s="164"/>
      <c r="BQ8" s="164"/>
      <c r="BR8" s="164"/>
    </row>
    <row r="9" spans="1:70" s="165" customFormat="1" ht="177" customHeight="1" x14ac:dyDescent="0.35">
      <c r="A9" s="293" t="s">
        <v>1184</v>
      </c>
      <c r="B9" s="294"/>
      <c r="C9" s="294"/>
      <c r="D9" s="294"/>
      <c r="E9" s="294"/>
      <c r="F9" s="294"/>
      <c r="G9" s="294"/>
      <c r="H9" s="294"/>
      <c r="I9" s="294"/>
      <c r="J9" s="294"/>
      <c r="K9" s="294"/>
      <c r="L9" s="294"/>
      <c r="M9" s="294"/>
      <c r="N9" s="164"/>
      <c r="O9" s="164"/>
      <c r="P9" s="164"/>
      <c r="Q9" s="164"/>
      <c r="R9" s="164"/>
      <c r="S9" s="164"/>
      <c r="T9" s="164"/>
      <c r="U9" s="164"/>
      <c r="V9" s="164"/>
      <c r="W9" s="164"/>
      <c r="X9" s="164"/>
      <c r="Y9" s="164"/>
      <c r="Z9" s="164"/>
      <c r="AA9" s="164"/>
      <c r="AB9" s="164"/>
      <c r="AC9" s="164"/>
      <c r="AD9" s="164"/>
      <c r="AE9" s="164"/>
      <c r="AF9" s="164"/>
      <c r="AG9" s="164"/>
      <c r="AH9" s="164"/>
      <c r="AI9" s="164"/>
      <c r="AJ9" s="164"/>
      <c r="AK9" s="164"/>
      <c r="AL9" s="164"/>
      <c r="AM9" s="164"/>
      <c r="AN9" s="164"/>
      <c r="AO9" s="164"/>
      <c r="AP9" s="164"/>
      <c r="AQ9" s="164"/>
      <c r="AR9" s="164"/>
      <c r="AS9" s="164"/>
      <c r="AT9" s="164"/>
      <c r="AU9" s="164"/>
      <c r="AV9" s="164"/>
      <c r="AW9" s="164"/>
      <c r="AX9" s="164"/>
      <c r="AY9" s="164"/>
      <c r="AZ9" s="164"/>
      <c r="BA9" s="164"/>
      <c r="BB9" s="164"/>
      <c r="BC9" s="164"/>
      <c r="BD9" s="164"/>
      <c r="BE9" s="164"/>
      <c r="BF9" s="164"/>
      <c r="BG9" s="164"/>
      <c r="BH9" s="164"/>
      <c r="BI9" s="164"/>
      <c r="BJ9" s="164"/>
      <c r="BK9" s="164"/>
      <c r="BL9" s="164"/>
      <c r="BM9" s="164"/>
      <c r="BN9" s="164"/>
      <c r="BO9" s="164"/>
      <c r="BP9" s="164"/>
      <c r="BQ9" s="164"/>
      <c r="BR9" s="164"/>
    </row>
    <row r="10" spans="1:70" s="165" customFormat="1" ht="106.5" customHeight="1" x14ac:dyDescent="0.35">
      <c r="A10" s="295" t="s">
        <v>112</v>
      </c>
      <c r="B10" s="295" t="s">
        <v>113</v>
      </c>
      <c r="C10" s="295"/>
      <c r="D10" s="295" t="s">
        <v>114</v>
      </c>
      <c r="E10" s="295" t="s">
        <v>115</v>
      </c>
      <c r="F10" s="295" t="s">
        <v>116</v>
      </c>
      <c r="G10" s="295"/>
      <c r="H10" s="295"/>
      <c r="I10" s="295"/>
      <c r="J10" s="295"/>
      <c r="K10" s="295"/>
      <c r="L10" s="295"/>
      <c r="M10" s="295"/>
      <c r="N10" s="164"/>
      <c r="O10" s="164"/>
      <c r="P10" s="164"/>
      <c r="Q10" s="164"/>
      <c r="R10" s="164"/>
      <c r="S10" s="164"/>
      <c r="T10" s="164"/>
      <c r="U10" s="164"/>
      <c r="V10" s="164"/>
      <c r="W10" s="164"/>
      <c r="X10" s="164"/>
      <c r="Y10" s="164"/>
      <c r="Z10" s="164"/>
      <c r="AA10" s="164"/>
      <c r="AB10" s="164"/>
      <c r="AC10" s="164"/>
      <c r="AD10" s="164"/>
      <c r="AE10" s="164"/>
      <c r="AF10" s="164"/>
      <c r="AG10" s="164"/>
      <c r="AH10" s="164"/>
      <c r="AI10" s="164"/>
      <c r="AJ10" s="164"/>
      <c r="AK10" s="164"/>
      <c r="AL10" s="164"/>
      <c r="AM10" s="164"/>
      <c r="AN10" s="164"/>
      <c r="AO10" s="164"/>
      <c r="AP10" s="164"/>
      <c r="AQ10" s="164"/>
      <c r="AR10" s="164"/>
      <c r="AS10" s="164"/>
      <c r="AT10" s="164"/>
      <c r="AU10" s="164"/>
      <c r="AV10" s="164"/>
      <c r="AW10" s="164"/>
      <c r="AX10" s="164"/>
      <c r="AY10" s="164"/>
      <c r="AZ10" s="164"/>
      <c r="BA10" s="164"/>
      <c r="BB10" s="164"/>
      <c r="BC10" s="164"/>
      <c r="BD10" s="164"/>
      <c r="BE10" s="164"/>
      <c r="BF10" s="164"/>
      <c r="BG10" s="164"/>
      <c r="BH10" s="164"/>
      <c r="BI10" s="164"/>
      <c r="BJ10" s="164"/>
      <c r="BK10" s="164"/>
      <c r="BL10" s="164"/>
      <c r="BM10" s="164"/>
      <c r="BN10" s="164"/>
      <c r="BO10" s="164"/>
      <c r="BP10" s="164"/>
      <c r="BQ10" s="164"/>
      <c r="BR10" s="164"/>
    </row>
    <row r="11" spans="1:70" s="165" customFormat="1" ht="206.25" customHeight="1" x14ac:dyDescent="0.35">
      <c r="A11" s="295"/>
      <c r="B11" s="178" t="s">
        <v>117</v>
      </c>
      <c r="C11" s="178" t="s">
        <v>21</v>
      </c>
      <c r="D11" s="295"/>
      <c r="E11" s="295"/>
      <c r="F11" s="178" t="s">
        <v>118</v>
      </c>
      <c r="G11" s="178" t="s">
        <v>119</v>
      </c>
      <c r="H11" s="178" t="s">
        <v>120</v>
      </c>
      <c r="I11" s="178" t="s">
        <v>121</v>
      </c>
      <c r="J11" s="178" t="s">
        <v>122</v>
      </c>
      <c r="K11" s="178" t="s">
        <v>95</v>
      </c>
      <c r="L11" s="178" t="s">
        <v>123</v>
      </c>
      <c r="M11" s="178" t="s">
        <v>124</v>
      </c>
      <c r="N11" s="164"/>
      <c r="O11" s="164"/>
      <c r="P11" s="164"/>
      <c r="Q11" s="164"/>
      <c r="R11" s="164"/>
      <c r="S11" s="164"/>
      <c r="T11" s="164"/>
      <c r="U11" s="164"/>
      <c r="V11" s="164"/>
      <c r="W11" s="164"/>
      <c r="X11" s="164"/>
      <c r="Y11" s="164"/>
      <c r="Z11" s="164"/>
      <c r="AA11" s="164"/>
      <c r="AB11" s="164"/>
      <c r="AC11" s="164"/>
      <c r="AD11" s="164"/>
      <c r="AE11" s="164"/>
      <c r="AF11" s="164"/>
      <c r="AG11" s="164"/>
      <c r="AH11" s="164"/>
      <c r="AI11" s="164"/>
      <c r="AJ11" s="164"/>
      <c r="AK11" s="164"/>
      <c r="AL11" s="164"/>
      <c r="AM11" s="164"/>
      <c r="AN11" s="164"/>
      <c r="AO11" s="164"/>
      <c r="AP11" s="164"/>
      <c r="AQ11" s="164"/>
      <c r="AR11" s="164"/>
      <c r="AS11" s="164"/>
      <c r="AT11" s="164"/>
      <c r="AU11" s="164"/>
      <c r="AV11" s="164"/>
      <c r="AW11" s="164"/>
      <c r="AX11" s="164"/>
      <c r="AY11" s="164"/>
      <c r="AZ11" s="164"/>
      <c r="BA11" s="164"/>
      <c r="BB11" s="164"/>
      <c r="BC11" s="164"/>
      <c r="BD11" s="164"/>
      <c r="BE11" s="164"/>
      <c r="BF11" s="164"/>
      <c r="BG11" s="164"/>
      <c r="BH11" s="164"/>
      <c r="BI11" s="164"/>
      <c r="BJ11" s="164"/>
      <c r="BK11" s="164"/>
      <c r="BL11" s="164"/>
      <c r="BM11" s="164"/>
      <c r="BN11" s="164"/>
      <c r="BO11" s="164"/>
      <c r="BP11" s="164"/>
      <c r="BQ11" s="164"/>
      <c r="BR11" s="164"/>
    </row>
    <row r="12" spans="1:70" s="170" customFormat="1" ht="48.75" customHeight="1" x14ac:dyDescent="0.3">
      <c r="A12" s="311" t="str">
        <f>A9</f>
        <v>MATRIZ DE MONITOREO DE RIESGOS I TRIMESTRE
(ENERO - MARZO)</v>
      </c>
      <c r="B12" s="281"/>
      <c r="C12" s="282"/>
      <c r="D12" s="283"/>
      <c r="E12" s="283"/>
      <c r="F12" s="280" t="str">
        <f t="shared" ref="F12:M12" si="0">IFERROR(IF($E12="","No",IF($E12="No","No"," "))," ")</f>
        <v>No</v>
      </c>
      <c r="G12" s="280" t="str">
        <f t="shared" si="0"/>
        <v>No</v>
      </c>
      <c r="H12" s="280" t="str">
        <f t="shared" si="0"/>
        <v>No</v>
      </c>
      <c r="I12" s="280" t="str">
        <f t="shared" si="0"/>
        <v>No</v>
      </c>
      <c r="J12" s="280" t="str">
        <f t="shared" si="0"/>
        <v>No</v>
      </c>
      <c r="K12" s="280" t="str">
        <f t="shared" si="0"/>
        <v>No</v>
      </c>
      <c r="L12" s="280" t="str">
        <f t="shared" si="0"/>
        <v>No</v>
      </c>
      <c r="M12" s="280" t="str">
        <f t="shared" si="0"/>
        <v>No</v>
      </c>
      <c r="N12" s="169"/>
      <c r="O12" s="169"/>
      <c r="P12" s="169"/>
      <c r="Q12" s="169"/>
      <c r="R12" s="169"/>
      <c r="S12" s="169"/>
      <c r="T12" s="169"/>
      <c r="U12" s="169"/>
      <c r="V12" s="169"/>
      <c r="W12" s="169"/>
      <c r="X12" s="169"/>
      <c r="Y12" s="169"/>
      <c r="Z12" s="169"/>
      <c r="AA12" s="169"/>
      <c r="AB12" s="169"/>
      <c r="AC12" s="169"/>
      <c r="AD12" s="169"/>
      <c r="AE12" s="169"/>
      <c r="AF12" s="169"/>
      <c r="AG12" s="169"/>
      <c r="AH12" s="169"/>
      <c r="AI12" s="169"/>
      <c r="AJ12" s="169"/>
      <c r="AK12" s="169"/>
      <c r="AL12" s="169"/>
      <c r="AM12" s="169"/>
      <c r="AN12" s="169"/>
      <c r="AO12" s="169"/>
      <c r="AP12" s="169"/>
      <c r="AQ12" s="169"/>
      <c r="AR12" s="169"/>
      <c r="AS12" s="169"/>
      <c r="AT12" s="169"/>
      <c r="AU12" s="169"/>
      <c r="AV12" s="169"/>
      <c r="AW12" s="169"/>
      <c r="AX12" s="169"/>
      <c r="AY12" s="169"/>
      <c r="AZ12" s="169"/>
      <c r="BA12" s="169"/>
      <c r="BB12" s="169"/>
      <c r="BC12" s="169"/>
      <c r="BD12" s="169"/>
      <c r="BE12" s="169"/>
      <c r="BF12" s="169"/>
      <c r="BG12" s="169"/>
      <c r="BH12" s="169"/>
      <c r="BI12" s="169"/>
      <c r="BJ12" s="169"/>
      <c r="BK12" s="169"/>
      <c r="BL12" s="169"/>
      <c r="BM12" s="169"/>
      <c r="BN12" s="169"/>
      <c r="BO12" s="169"/>
      <c r="BP12" s="169"/>
      <c r="BQ12" s="169"/>
      <c r="BR12" s="169"/>
    </row>
    <row r="13" spans="1:70" s="170" customFormat="1" ht="48.75" customHeight="1" x14ac:dyDescent="0.3">
      <c r="A13" s="311"/>
      <c r="B13" s="281"/>
      <c r="C13" s="282"/>
      <c r="D13" s="283"/>
      <c r="E13" s="283"/>
      <c r="F13" s="280"/>
      <c r="G13" s="280"/>
      <c r="H13" s="280"/>
      <c r="I13" s="280"/>
      <c r="J13" s="280"/>
      <c r="K13" s="280"/>
      <c r="L13" s="280"/>
      <c r="M13" s="280"/>
      <c r="N13" s="169"/>
      <c r="O13" s="169"/>
      <c r="P13" s="169"/>
      <c r="Q13" s="169"/>
      <c r="R13" s="169"/>
      <c r="S13" s="169"/>
      <c r="T13" s="169"/>
      <c r="U13" s="169"/>
      <c r="V13" s="169"/>
      <c r="W13" s="169"/>
      <c r="X13" s="169"/>
      <c r="Y13" s="169"/>
      <c r="Z13" s="169"/>
      <c r="AA13" s="169"/>
      <c r="AB13" s="169"/>
      <c r="AC13" s="169"/>
      <c r="AD13" s="169"/>
      <c r="AE13" s="169"/>
      <c r="AF13" s="169"/>
      <c r="AG13" s="169"/>
      <c r="AH13" s="169"/>
      <c r="AI13" s="169"/>
      <c r="AJ13" s="169"/>
      <c r="AK13" s="169"/>
      <c r="AL13" s="169"/>
      <c r="AM13" s="169"/>
      <c r="AN13" s="169"/>
      <c r="AO13" s="169"/>
      <c r="AP13" s="169"/>
      <c r="AQ13" s="169"/>
      <c r="AR13" s="169"/>
      <c r="AS13" s="169"/>
      <c r="AT13" s="169"/>
      <c r="AU13" s="169"/>
      <c r="AV13" s="169"/>
      <c r="AW13" s="169"/>
      <c r="AX13" s="169"/>
      <c r="AY13" s="169"/>
      <c r="AZ13" s="169"/>
      <c r="BA13" s="169"/>
      <c r="BB13" s="169"/>
      <c r="BC13" s="169"/>
      <c r="BD13" s="169"/>
      <c r="BE13" s="169"/>
      <c r="BF13" s="169"/>
      <c r="BG13" s="169"/>
      <c r="BH13" s="169"/>
      <c r="BI13" s="169"/>
      <c r="BJ13" s="169"/>
      <c r="BK13" s="169"/>
      <c r="BL13" s="169"/>
      <c r="BM13" s="169"/>
      <c r="BN13" s="169"/>
      <c r="BO13" s="169"/>
      <c r="BP13" s="169"/>
      <c r="BQ13" s="169"/>
      <c r="BR13" s="169"/>
    </row>
    <row r="14" spans="1:70" s="170" customFormat="1" ht="48.75" customHeight="1" x14ac:dyDescent="0.3">
      <c r="A14" s="311"/>
      <c r="B14" s="281"/>
      <c r="C14" s="282"/>
      <c r="D14" s="283"/>
      <c r="E14" s="283"/>
      <c r="F14" s="280"/>
      <c r="G14" s="280"/>
      <c r="H14" s="280"/>
      <c r="I14" s="280"/>
      <c r="J14" s="280"/>
      <c r="K14" s="280"/>
      <c r="L14" s="280"/>
      <c r="M14" s="280"/>
      <c r="N14" s="169"/>
      <c r="O14" s="169"/>
      <c r="P14" s="169"/>
      <c r="Q14" s="169"/>
      <c r="R14" s="169"/>
      <c r="S14" s="169"/>
      <c r="T14" s="169"/>
      <c r="U14" s="169"/>
      <c r="V14" s="169"/>
      <c r="W14" s="169"/>
      <c r="X14" s="169"/>
      <c r="Y14" s="169"/>
      <c r="Z14" s="169"/>
      <c r="AA14" s="169"/>
      <c r="AB14" s="169"/>
      <c r="AC14" s="169"/>
      <c r="AD14" s="169"/>
      <c r="AE14" s="169"/>
      <c r="AF14" s="169"/>
      <c r="AG14" s="169"/>
      <c r="AH14" s="169"/>
      <c r="AI14" s="169"/>
      <c r="AJ14" s="169"/>
      <c r="AK14" s="169"/>
      <c r="AL14" s="169"/>
      <c r="AM14" s="169"/>
      <c r="AN14" s="169"/>
      <c r="AO14" s="169"/>
      <c r="AP14" s="169"/>
      <c r="AQ14" s="169"/>
      <c r="AR14" s="169"/>
      <c r="AS14" s="169"/>
      <c r="AT14" s="169"/>
      <c r="AU14" s="169"/>
      <c r="AV14" s="169"/>
      <c r="AW14" s="169"/>
      <c r="AX14" s="169"/>
      <c r="AY14" s="169"/>
      <c r="AZ14" s="169"/>
      <c r="BA14" s="169"/>
      <c r="BB14" s="169"/>
      <c r="BC14" s="169"/>
      <c r="BD14" s="169"/>
      <c r="BE14" s="169"/>
      <c r="BF14" s="169"/>
      <c r="BG14" s="169"/>
      <c r="BH14" s="169"/>
      <c r="BI14" s="169"/>
      <c r="BJ14" s="169"/>
      <c r="BK14" s="169"/>
      <c r="BL14" s="169"/>
      <c r="BM14" s="169"/>
      <c r="BN14" s="169"/>
      <c r="BO14" s="169"/>
      <c r="BP14" s="169"/>
      <c r="BQ14" s="169"/>
      <c r="BR14" s="169"/>
    </row>
    <row r="15" spans="1:70" s="170" customFormat="1" ht="48.75" customHeight="1" x14ac:dyDescent="0.3">
      <c r="A15" s="311"/>
      <c r="B15" s="281"/>
      <c r="C15" s="282"/>
      <c r="D15" s="283"/>
      <c r="E15" s="283"/>
      <c r="F15" s="280" t="str">
        <f t="shared" ref="F15:M39" si="1">IFERROR(IF($E15="","No",IF($E15="No","No"," "))," ")</f>
        <v>No</v>
      </c>
      <c r="G15" s="280" t="str">
        <f t="shared" si="1"/>
        <v>No</v>
      </c>
      <c r="H15" s="280" t="str">
        <f t="shared" si="1"/>
        <v>No</v>
      </c>
      <c r="I15" s="280" t="str">
        <f t="shared" si="1"/>
        <v>No</v>
      </c>
      <c r="J15" s="280" t="str">
        <f t="shared" si="1"/>
        <v>No</v>
      </c>
      <c r="K15" s="280" t="str">
        <f t="shared" si="1"/>
        <v>No</v>
      </c>
      <c r="L15" s="280" t="str">
        <f t="shared" si="1"/>
        <v>No</v>
      </c>
      <c r="M15" s="280" t="str">
        <f t="shared" si="1"/>
        <v>No</v>
      </c>
      <c r="N15" s="169"/>
      <c r="O15" s="169"/>
      <c r="P15" s="169"/>
      <c r="Q15" s="169"/>
      <c r="R15" s="169"/>
      <c r="S15" s="169"/>
      <c r="T15" s="169"/>
      <c r="U15" s="169"/>
      <c r="V15" s="169"/>
      <c r="W15" s="169"/>
      <c r="X15" s="169"/>
      <c r="Y15" s="169"/>
      <c r="Z15" s="169"/>
      <c r="AA15" s="169"/>
      <c r="AB15" s="169"/>
      <c r="AC15" s="169"/>
      <c r="AD15" s="169"/>
      <c r="AE15" s="169"/>
      <c r="AF15" s="169"/>
      <c r="AG15" s="169"/>
      <c r="AH15" s="169"/>
      <c r="AI15" s="169"/>
      <c r="AJ15" s="169"/>
      <c r="AK15" s="169"/>
      <c r="AL15" s="169"/>
      <c r="AM15" s="169"/>
      <c r="AN15" s="169"/>
      <c r="AO15" s="169"/>
      <c r="AP15" s="169"/>
      <c r="AQ15" s="169"/>
      <c r="AR15" s="169"/>
      <c r="AS15" s="169"/>
      <c r="AT15" s="169"/>
      <c r="AU15" s="169"/>
      <c r="AV15" s="169"/>
      <c r="AW15" s="169"/>
      <c r="AX15" s="169"/>
      <c r="AY15" s="169"/>
      <c r="AZ15" s="169"/>
      <c r="BA15" s="169"/>
      <c r="BB15" s="169"/>
      <c r="BC15" s="169"/>
      <c r="BD15" s="169"/>
      <c r="BE15" s="169"/>
      <c r="BF15" s="169"/>
      <c r="BG15" s="169"/>
      <c r="BH15" s="169"/>
      <c r="BI15" s="169"/>
      <c r="BJ15" s="169"/>
      <c r="BK15" s="169"/>
      <c r="BL15" s="169"/>
      <c r="BM15" s="169"/>
      <c r="BN15" s="169"/>
      <c r="BO15" s="169"/>
      <c r="BP15" s="169"/>
      <c r="BQ15" s="169"/>
      <c r="BR15" s="169"/>
    </row>
    <row r="16" spans="1:70" s="170" customFormat="1" ht="48.75" customHeight="1" x14ac:dyDescent="0.3">
      <c r="A16" s="311"/>
      <c r="B16" s="281"/>
      <c r="C16" s="282"/>
      <c r="D16" s="283"/>
      <c r="E16" s="283"/>
      <c r="F16" s="280"/>
      <c r="G16" s="280"/>
      <c r="H16" s="280"/>
      <c r="I16" s="280"/>
      <c r="J16" s="280"/>
      <c r="K16" s="280"/>
      <c r="L16" s="280"/>
      <c r="M16" s="280"/>
      <c r="N16" s="169"/>
      <c r="O16" s="169"/>
      <c r="P16" s="169"/>
      <c r="Q16" s="169"/>
      <c r="R16" s="169"/>
      <c r="S16" s="169"/>
      <c r="T16" s="169"/>
      <c r="U16" s="169"/>
      <c r="V16" s="169"/>
      <c r="W16" s="169"/>
      <c r="X16" s="169"/>
      <c r="Y16" s="169"/>
      <c r="Z16" s="169"/>
      <c r="AA16" s="169"/>
      <c r="AB16" s="169"/>
      <c r="AC16" s="169"/>
      <c r="AD16" s="169"/>
      <c r="AE16" s="169"/>
      <c r="AF16" s="169"/>
      <c r="AG16" s="169"/>
      <c r="AH16" s="169"/>
      <c r="AI16" s="169"/>
      <c r="AJ16" s="169"/>
      <c r="AK16" s="169"/>
      <c r="AL16" s="169"/>
      <c r="AM16" s="169"/>
      <c r="AN16" s="169"/>
      <c r="AO16" s="169"/>
      <c r="AP16" s="169"/>
      <c r="AQ16" s="169"/>
      <c r="AR16" s="169"/>
      <c r="AS16" s="169"/>
      <c r="AT16" s="169"/>
      <c r="AU16" s="169"/>
      <c r="AV16" s="169"/>
      <c r="AW16" s="169"/>
      <c r="AX16" s="169"/>
      <c r="AY16" s="169"/>
      <c r="AZ16" s="169"/>
      <c r="BA16" s="169"/>
      <c r="BB16" s="169"/>
      <c r="BC16" s="169"/>
      <c r="BD16" s="169"/>
      <c r="BE16" s="169"/>
      <c r="BF16" s="169"/>
      <c r="BG16" s="169"/>
      <c r="BH16" s="169"/>
      <c r="BI16" s="169"/>
      <c r="BJ16" s="169"/>
      <c r="BK16" s="169"/>
      <c r="BL16" s="169"/>
      <c r="BM16" s="169"/>
      <c r="BN16" s="169"/>
      <c r="BO16" s="169"/>
      <c r="BP16" s="169"/>
      <c r="BQ16" s="169"/>
      <c r="BR16" s="169"/>
    </row>
    <row r="17" spans="1:70" s="170" customFormat="1" ht="48.75" customHeight="1" x14ac:dyDescent="0.3">
      <c r="A17" s="311"/>
      <c r="B17" s="281"/>
      <c r="C17" s="282"/>
      <c r="D17" s="283"/>
      <c r="E17" s="283"/>
      <c r="F17" s="280"/>
      <c r="G17" s="280"/>
      <c r="H17" s="280"/>
      <c r="I17" s="280"/>
      <c r="J17" s="280"/>
      <c r="K17" s="280"/>
      <c r="L17" s="280"/>
      <c r="M17" s="280"/>
      <c r="N17" s="169"/>
      <c r="O17" s="169"/>
      <c r="P17" s="169"/>
      <c r="Q17" s="169"/>
      <c r="R17" s="169"/>
      <c r="S17" s="169"/>
      <c r="T17" s="169"/>
      <c r="U17" s="169"/>
      <c r="V17" s="169"/>
      <c r="W17" s="169"/>
      <c r="X17" s="169"/>
      <c r="Y17" s="169"/>
      <c r="Z17" s="169"/>
      <c r="AA17" s="169"/>
      <c r="AB17" s="169"/>
      <c r="AC17" s="169"/>
      <c r="AD17" s="169"/>
      <c r="AE17" s="169"/>
      <c r="AF17" s="169"/>
      <c r="AG17" s="169"/>
      <c r="AH17" s="169"/>
      <c r="AI17" s="169"/>
      <c r="AJ17" s="169"/>
      <c r="AK17" s="169"/>
      <c r="AL17" s="169"/>
      <c r="AM17" s="169"/>
      <c r="AN17" s="169"/>
      <c r="AO17" s="169"/>
      <c r="AP17" s="169"/>
      <c r="AQ17" s="169"/>
      <c r="AR17" s="169"/>
      <c r="AS17" s="169"/>
      <c r="AT17" s="169"/>
      <c r="AU17" s="169"/>
      <c r="AV17" s="169"/>
      <c r="AW17" s="169"/>
      <c r="AX17" s="169"/>
      <c r="AY17" s="169"/>
      <c r="AZ17" s="169"/>
      <c r="BA17" s="169"/>
      <c r="BB17" s="169"/>
      <c r="BC17" s="169"/>
      <c r="BD17" s="169"/>
      <c r="BE17" s="169"/>
      <c r="BF17" s="169"/>
      <c r="BG17" s="169"/>
      <c r="BH17" s="169"/>
      <c r="BI17" s="169"/>
      <c r="BJ17" s="169"/>
      <c r="BK17" s="169"/>
      <c r="BL17" s="169"/>
      <c r="BM17" s="169"/>
      <c r="BN17" s="169"/>
      <c r="BO17" s="169"/>
      <c r="BP17" s="169"/>
      <c r="BQ17" s="169"/>
      <c r="BR17" s="169"/>
    </row>
    <row r="18" spans="1:70" s="170" customFormat="1" ht="48.75" customHeight="1" x14ac:dyDescent="0.3">
      <c r="A18" s="311"/>
      <c r="B18" s="281"/>
      <c r="C18" s="282"/>
      <c r="D18" s="283"/>
      <c r="E18" s="283"/>
      <c r="F18" s="280" t="str">
        <f t="shared" si="1"/>
        <v>No</v>
      </c>
      <c r="G18" s="280" t="str">
        <f t="shared" si="1"/>
        <v>No</v>
      </c>
      <c r="H18" s="280" t="str">
        <f t="shared" si="1"/>
        <v>No</v>
      </c>
      <c r="I18" s="280" t="str">
        <f t="shared" si="1"/>
        <v>No</v>
      </c>
      <c r="J18" s="280" t="str">
        <f t="shared" si="1"/>
        <v>No</v>
      </c>
      <c r="K18" s="280" t="str">
        <f t="shared" si="1"/>
        <v>No</v>
      </c>
      <c r="L18" s="280" t="str">
        <f t="shared" si="1"/>
        <v>No</v>
      </c>
      <c r="M18" s="280" t="str">
        <f t="shared" si="1"/>
        <v>No</v>
      </c>
      <c r="N18" s="169"/>
      <c r="O18" s="169"/>
      <c r="P18" s="169"/>
      <c r="Q18" s="169"/>
      <c r="R18" s="169"/>
      <c r="S18" s="169"/>
      <c r="T18" s="169"/>
      <c r="U18" s="169"/>
      <c r="V18" s="169"/>
      <c r="W18" s="169"/>
      <c r="X18" s="169"/>
      <c r="Y18" s="169"/>
      <c r="Z18" s="169"/>
      <c r="AA18" s="169"/>
      <c r="AB18" s="169"/>
      <c r="AC18" s="169"/>
      <c r="AD18" s="169"/>
      <c r="AE18" s="169"/>
      <c r="AF18" s="169"/>
      <c r="AG18" s="169"/>
      <c r="AH18" s="169"/>
      <c r="AI18" s="169"/>
      <c r="AJ18" s="169"/>
      <c r="AK18" s="169"/>
      <c r="AL18" s="169"/>
      <c r="AM18" s="169"/>
      <c r="AN18" s="169"/>
      <c r="AO18" s="169"/>
      <c r="AP18" s="169"/>
      <c r="AQ18" s="169"/>
      <c r="AR18" s="169"/>
      <c r="AS18" s="169"/>
      <c r="AT18" s="169"/>
      <c r="AU18" s="169"/>
      <c r="AV18" s="169"/>
      <c r="AW18" s="169"/>
      <c r="AX18" s="169"/>
      <c r="AY18" s="169"/>
      <c r="AZ18" s="169"/>
      <c r="BA18" s="169"/>
      <c r="BB18" s="169"/>
      <c r="BC18" s="169"/>
      <c r="BD18" s="169"/>
      <c r="BE18" s="169"/>
      <c r="BF18" s="169"/>
      <c r="BG18" s="169"/>
      <c r="BH18" s="169"/>
      <c r="BI18" s="169"/>
      <c r="BJ18" s="169"/>
      <c r="BK18" s="169"/>
      <c r="BL18" s="169"/>
      <c r="BM18" s="169"/>
      <c r="BN18" s="169"/>
      <c r="BO18" s="169"/>
      <c r="BP18" s="169"/>
      <c r="BQ18" s="169"/>
      <c r="BR18" s="169"/>
    </row>
    <row r="19" spans="1:70" s="170" customFormat="1" ht="48.75" customHeight="1" x14ac:dyDescent="0.3">
      <c r="A19" s="311"/>
      <c r="B19" s="281"/>
      <c r="C19" s="282"/>
      <c r="D19" s="283"/>
      <c r="E19" s="283"/>
      <c r="F19" s="280"/>
      <c r="G19" s="280"/>
      <c r="H19" s="280"/>
      <c r="I19" s="280"/>
      <c r="J19" s="280"/>
      <c r="K19" s="280"/>
      <c r="L19" s="280"/>
      <c r="M19" s="280"/>
      <c r="N19" s="169"/>
      <c r="O19" s="169"/>
      <c r="P19" s="169"/>
      <c r="Q19" s="169"/>
      <c r="R19" s="169"/>
      <c r="S19" s="169"/>
      <c r="T19" s="169"/>
      <c r="U19" s="169"/>
      <c r="V19" s="169"/>
      <c r="W19" s="169"/>
      <c r="X19" s="169"/>
      <c r="Y19" s="169"/>
      <c r="Z19" s="169"/>
      <c r="AA19" s="169"/>
      <c r="AB19" s="169"/>
      <c r="AC19" s="169"/>
      <c r="AD19" s="169"/>
      <c r="AE19" s="169"/>
      <c r="AF19" s="169"/>
      <c r="AG19" s="169"/>
      <c r="AH19" s="169"/>
      <c r="AI19" s="169"/>
      <c r="AJ19" s="169"/>
      <c r="AK19" s="169"/>
      <c r="AL19" s="169"/>
      <c r="AM19" s="169"/>
      <c r="AN19" s="169"/>
      <c r="AO19" s="169"/>
      <c r="AP19" s="169"/>
      <c r="AQ19" s="169"/>
      <c r="AR19" s="169"/>
      <c r="AS19" s="169"/>
      <c r="AT19" s="169"/>
      <c r="AU19" s="169"/>
      <c r="AV19" s="169"/>
      <c r="AW19" s="169"/>
      <c r="AX19" s="169"/>
      <c r="AY19" s="169"/>
      <c r="AZ19" s="169"/>
      <c r="BA19" s="169"/>
      <c r="BB19" s="169"/>
      <c r="BC19" s="169"/>
      <c r="BD19" s="169"/>
      <c r="BE19" s="169"/>
      <c r="BF19" s="169"/>
      <c r="BG19" s="169"/>
      <c r="BH19" s="169"/>
      <c r="BI19" s="169"/>
      <c r="BJ19" s="169"/>
      <c r="BK19" s="169"/>
      <c r="BL19" s="169"/>
      <c r="BM19" s="169"/>
      <c r="BN19" s="169"/>
      <c r="BO19" s="169"/>
      <c r="BP19" s="169"/>
      <c r="BQ19" s="169"/>
      <c r="BR19" s="169"/>
    </row>
    <row r="20" spans="1:70" s="170" customFormat="1" ht="48.75" customHeight="1" x14ac:dyDescent="0.3">
      <c r="A20" s="311"/>
      <c r="B20" s="281"/>
      <c r="C20" s="282"/>
      <c r="D20" s="283"/>
      <c r="E20" s="283"/>
      <c r="F20" s="280"/>
      <c r="G20" s="280"/>
      <c r="H20" s="280"/>
      <c r="I20" s="280"/>
      <c r="J20" s="280"/>
      <c r="K20" s="280"/>
      <c r="L20" s="280"/>
      <c r="M20" s="280"/>
      <c r="N20" s="169"/>
      <c r="O20" s="169"/>
      <c r="P20" s="169"/>
      <c r="Q20" s="169"/>
      <c r="R20" s="169"/>
      <c r="S20" s="169"/>
      <c r="T20" s="169"/>
      <c r="U20" s="169"/>
      <c r="V20" s="169"/>
      <c r="W20" s="169"/>
      <c r="X20" s="169"/>
      <c r="Y20" s="169"/>
      <c r="Z20" s="169"/>
      <c r="AA20" s="169"/>
      <c r="AB20" s="169"/>
      <c r="AC20" s="169"/>
      <c r="AD20" s="169"/>
      <c r="AE20" s="169"/>
      <c r="AF20" s="169"/>
      <c r="AG20" s="169"/>
      <c r="AH20" s="169"/>
      <c r="AI20" s="169"/>
      <c r="AJ20" s="169"/>
      <c r="AK20" s="169"/>
      <c r="AL20" s="169"/>
      <c r="AM20" s="169"/>
      <c r="AN20" s="169"/>
      <c r="AO20" s="169"/>
      <c r="AP20" s="169"/>
      <c r="AQ20" s="169"/>
      <c r="AR20" s="169"/>
      <c r="AS20" s="169"/>
      <c r="AT20" s="169"/>
      <c r="AU20" s="169"/>
      <c r="AV20" s="169"/>
      <c r="AW20" s="169"/>
      <c r="AX20" s="169"/>
      <c r="AY20" s="169"/>
      <c r="AZ20" s="169"/>
      <c r="BA20" s="169"/>
      <c r="BB20" s="169"/>
      <c r="BC20" s="169"/>
      <c r="BD20" s="169"/>
      <c r="BE20" s="169"/>
      <c r="BF20" s="169"/>
      <c r="BG20" s="169"/>
      <c r="BH20" s="169"/>
      <c r="BI20" s="169"/>
      <c r="BJ20" s="169"/>
      <c r="BK20" s="169"/>
      <c r="BL20" s="169"/>
      <c r="BM20" s="169"/>
      <c r="BN20" s="169"/>
      <c r="BO20" s="169"/>
      <c r="BP20" s="169"/>
      <c r="BQ20" s="169"/>
      <c r="BR20" s="169"/>
    </row>
    <row r="21" spans="1:70" s="170" customFormat="1" ht="48.75" customHeight="1" x14ac:dyDescent="0.3">
      <c r="A21" s="311"/>
      <c r="B21" s="281"/>
      <c r="C21" s="282"/>
      <c r="D21" s="283"/>
      <c r="E21" s="283"/>
      <c r="F21" s="280" t="str">
        <f t="shared" si="1"/>
        <v>No</v>
      </c>
      <c r="G21" s="280" t="str">
        <f t="shared" si="1"/>
        <v>No</v>
      </c>
      <c r="H21" s="280" t="str">
        <f t="shared" si="1"/>
        <v>No</v>
      </c>
      <c r="I21" s="280" t="str">
        <f t="shared" si="1"/>
        <v>No</v>
      </c>
      <c r="J21" s="280" t="str">
        <f t="shared" si="1"/>
        <v>No</v>
      </c>
      <c r="K21" s="280" t="str">
        <f t="shared" si="1"/>
        <v>No</v>
      </c>
      <c r="L21" s="280" t="str">
        <f t="shared" si="1"/>
        <v>No</v>
      </c>
      <c r="M21" s="280" t="str">
        <f t="shared" si="1"/>
        <v>No</v>
      </c>
      <c r="N21" s="169"/>
      <c r="O21" s="169"/>
      <c r="P21" s="169"/>
      <c r="Q21" s="169"/>
      <c r="R21" s="169"/>
      <c r="S21" s="169"/>
      <c r="T21" s="169"/>
      <c r="U21" s="169"/>
      <c r="V21" s="169"/>
      <c r="W21" s="169"/>
      <c r="X21" s="169"/>
      <c r="Y21" s="169"/>
      <c r="Z21" s="169"/>
      <c r="AA21" s="169"/>
      <c r="AB21" s="169"/>
      <c r="AC21" s="169"/>
      <c r="AD21" s="169"/>
      <c r="AE21" s="169"/>
      <c r="AF21" s="169"/>
      <c r="AG21" s="169"/>
      <c r="AH21" s="169"/>
      <c r="AI21" s="169"/>
      <c r="AJ21" s="169"/>
      <c r="AK21" s="169"/>
      <c r="AL21" s="169"/>
      <c r="AM21" s="169"/>
      <c r="AN21" s="169"/>
      <c r="AO21" s="169"/>
      <c r="AP21" s="169"/>
      <c r="AQ21" s="169"/>
      <c r="AR21" s="169"/>
      <c r="AS21" s="169"/>
      <c r="AT21" s="169"/>
      <c r="AU21" s="169"/>
      <c r="AV21" s="169"/>
      <c r="AW21" s="169"/>
      <c r="AX21" s="169"/>
      <c r="AY21" s="169"/>
      <c r="AZ21" s="169"/>
      <c r="BA21" s="169"/>
      <c r="BB21" s="169"/>
      <c r="BC21" s="169"/>
      <c r="BD21" s="169"/>
      <c r="BE21" s="169"/>
      <c r="BF21" s="169"/>
      <c r="BG21" s="169"/>
      <c r="BH21" s="169"/>
      <c r="BI21" s="169"/>
      <c r="BJ21" s="169"/>
      <c r="BK21" s="169"/>
      <c r="BL21" s="169"/>
      <c r="BM21" s="169"/>
      <c r="BN21" s="169"/>
      <c r="BO21" s="169"/>
      <c r="BP21" s="169"/>
      <c r="BQ21" s="169"/>
      <c r="BR21" s="169"/>
    </row>
    <row r="22" spans="1:70" s="170" customFormat="1" ht="48.75" customHeight="1" x14ac:dyDescent="0.3">
      <c r="A22" s="311"/>
      <c r="B22" s="281"/>
      <c r="C22" s="282"/>
      <c r="D22" s="283"/>
      <c r="E22" s="283"/>
      <c r="F22" s="280"/>
      <c r="G22" s="280"/>
      <c r="H22" s="280"/>
      <c r="I22" s="280"/>
      <c r="J22" s="280"/>
      <c r="K22" s="280"/>
      <c r="L22" s="280"/>
      <c r="M22" s="280"/>
      <c r="N22" s="169"/>
      <c r="O22" s="169"/>
      <c r="P22" s="169"/>
      <c r="Q22" s="169"/>
      <c r="R22" s="169"/>
      <c r="S22" s="169"/>
      <c r="T22" s="169"/>
      <c r="U22" s="169"/>
      <c r="V22" s="169"/>
      <c r="W22" s="169"/>
      <c r="X22" s="169"/>
      <c r="Y22" s="169"/>
      <c r="Z22" s="169"/>
      <c r="AA22" s="169"/>
      <c r="AB22" s="169"/>
      <c r="AC22" s="169"/>
      <c r="AD22" s="169"/>
      <c r="AE22" s="169"/>
      <c r="AF22" s="169"/>
      <c r="AG22" s="169"/>
      <c r="AH22" s="169"/>
      <c r="AI22" s="169"/>
      <c r="AJ22" s="169"/>
      <c r="AK22" s="169"/>
      <c r="AL22" s="169"/>
      <c r="AM22" s="169"/>
      <c r="AN22" s="169"/>
      <c r="AO22" s="169"/>
      <c r="AP22" s="169"/>
      <c r="AQ22" s="169"/>
      <c r="AR22" s="169"/>
      <c r="AS22" s="169"/>
      <c r="AT22" s="169"/>
      <c r="AU22" s="169"/>
      <c r="AV22" s="169"/>
      <c r="AW22" s="169"/>
      <c r="AX22" s="169"/>
      <c r="AY22" s="169"/>
      <c r="AZ22" s="169"/>
      <c r="BA22" s="169"/>
      <c r="BB22" s="169"/>
      <c r="BC22" s="169"/>
      <c r="BD22" s="169"/>
      <c r="BE22" s="169"/>
      <c r="BF22" s="169"/>
      <c r="BG22" s="169"/>
      <c r="BH22" s="169"/>
      <c r="BI22" s="169"/>
      <c r="BJ22" s="169"/>
      <c r="BK22" s="169"/>
      <c r="BL22" s="169"/>
      <c r="BM22" s="169"/>
      <c r="BN22" s="169"/>
      <c r="BO22" s="169"/>
      <c r="BP22" s="169"/>
      <c r="BQ22" s="169"/>
      <c r="BR22" s="169"/>
    </row>
    <row r="23" spans="1:70" s="170" customFormat="1" ht="48.75" customHeight="1" x14ac:dyDescent="0.3">
      <c r="A23" s="311"/>
      <c r="B23" s="281"/>
      <c r="C23" s="282"/>
      <c r="D23" s="283"/>
      <c r="E23" s="283"/>
      <c r="F23" s="280"/>
      <c r="G23" s="280"/>
      <c r="H23" s="280"/>
      <c r="I23" s="280"/>
      <c r="J23" s="280"/>
      <c r="K23" s="280"/>
      <c r="L23" s="280"/>
      <c r="M23" s="280"/>
      <c r="N23" s="169"/>
      <c r="O23" s="169"/>
      <c r="P23" s="169"/>
      <c r="Q23" s="169"/>
      <c r="R23" s="169"/>
      <c r="S23" s="169"/>
      <c r="T23" s="169"/>
      <c r="U23" s="169"/>
      <c r="V23" s="169"/>
      <c r="W23" s="169"/>
      <c r="X23" s="169"/>
      <c r="Y23" s="169"/>
      <c r="Z23" s="169"/>
      <c r="AA23" s="169"/>
      <c r="AB23" s="169"/>
      <c r="AC23" s="169"/>
      <c r="AD23" s="169"/>
      <c r="AE23" s="169"/>
      <c r="AF23" s="169"/>
      <c r="AG23" s="169"/>
      <c r="AH23" s="169"/>
      <c r="AI23" s="169"/>
      <c r="AJ23" s="169"/>
      <c r="AK23" s="169"/>
      <c r="AL23" s="169"/>
      <c r="AM23" s="169"/>
      <c r="AN23" s="169"/>
      <c r="AO23" s="169"/>
      <c r="AP23" s="169"/>
      <c r="AQ23" s="169"/>
      <c r="AR23" s="169"/>
      <c r="AS23" s="169"/>
      <c r="AT23" s="169"/>
      <c r="AU23" s="169"/>
      <c r="AV23" s="169"/>
      <c r="AW23" s="169"/>
      <c r="AX23" s="169"/>
      <c r="AY23" s="169"/>
      <c r="AZ23" s="169"/>
      <c r="BA23" s="169"/>
      <c r="BB23" s="169"/>
      <c r="BC23" s="169"/>
      <c r="BD23" s="169"/>
      <c r="BE23" s="169"/>
      <c r="BF23" s="169"/>
      <c r="BG23" s="169"/>
      <c r="BH23" s="169"/>
      <c r="BI23" s="169"/>
      <c r="BJ23" s="169"/>
      <c r="BK23" s="169"/>
      <c r="BL23" s="169"/>
      <c r="BM23" s="169"/>
      <c r="BN23" s="169"/>
      <c r="BO23" s="169"/>
      <c r="BP23" s="169"/>
      <c r="BQ23" s="169"/>
      <c r="BR23" s="169"/>
    </row>
    <row r="24" spans="1:70" s="170" customFormat="1" ht="48.75" customHeight="1" x14ac:dyDescent="0.3">
      <c r="A24" s="311"/>
      <c r="B24" s="281"/>
      <c r="C24" s="282"/>
      <c r="D24" s="283"/>
      <c r="E24" s="283"/>
      <c r="F24" s="280" t="str">
        <f t="shared" si="1"/>
        <v>No</v>
      </c>
      <c r="G24" s="280" t="str">
        <f t="shared" si="1"/>
        <v>No</v>
      </c>
      <c r="H24" s="280" t="str">
        <f t="shared" si="1"/>
        <v>No</v>
      </c>
      <c r="I24" s="280" t="str">
        <f t="shared" si="1"/>
        <v>No</v>
      </c>
      <c r="J24" s="280" t="str">
        <f t="shared" si="1"/>
        <v>No</v>
      </c>
      <c r="K24" s="280" t="str">
        <f t="shared" si="1"/>
        <v>No</v>
      </c>
      <c r="L24" s="280" t="str">
        <f t="shared" si="1"/>
        <v>No</v>
      </c>
      <c r="M24" s="280" t="str">
        <f t="shared" si="1"/>
        <v>No</v>
      </c>
      <c r="N24" s="169"/>
      <c r="O24" s="169"/>
      <c r="P24" s="169"/>
      <c r="Q24" s="169"/>
      <c r="R24" s="169"/>
      <c r="S24" s="169"/>
      <c r="T24" s="169"/>
      <c r="U24" s="169"/>
      <c r="V24" s="169"/>
      <c r="W24" s="169"/>
      <c r="X24" s="169"/>
      <c r="Y24" s="169"/>
      <c r="Z24" s="169"/>
      <c r="AA24" s="169"/>
      <c r="AB24" s="169"/>
      <c r="AC24" s="169"/>
      <c r="AD24" s="169"/>
      <c r="AE24" s="169"/>
      <c r="AF24" s="169"/>
      <c r="AG24" s="169"/>
      <c r="AH24" s="169"/>
      <c r="AI24" s="169"/>
      <c r="AJ24" s="169"/>
      <c r="AK24" s="169"/>
      <c r="AL24" s="169"/>
      <c r="AM24" s="169"/>
      <c r="AN24" s="169"/>
      <c r="AO24" s="169"/>
      <c r="AP24" s="169"/>
      <c r="AQ24" s="169"/>
      <c r="AR24" s="169"/>
      <c r="AS24" s="169"/>
      <c r="AT24" s="169"/>
      <c r="AU24" s="169"/>
      <c r="AV24" s="169"/>
      <c r="AW24" s="169"/>
      <c r="AX24" s="169"/>
      <c r="AY24" s="169"/>
      <c r="AZ24" s="169"/>
      <c r="BA24" s="169"/>
      <c r="BB24" s="169"/>
      <c r="BC24" s="169"/>
      <c r="BD24" s="169"/>
      <c r="BE24" s="169"/>
      <c r="BF24" s="169"/>
      <c r="BG24" s="169"/>
      <c r="BH24" s="169"/>
      <c r="BI24" s="169"/>
      <c r="BJ24" s="169"/>
      <c r="BK24" s="169"/>
      <c r="BL24" s="169"/>
      <c r="BM24" s="169"/>
      <c r="BN24" s="169"/>
      <c r="BO24" s="169"/>
      <c r="BP24" s="169"/>
      <c r="BQ24" s="169"/>
      <c r="BR24" s="169"/>
    </row>
    <row r="25" spans="1:70" s="170" customFormat="1" ht="48.75" customHeight="1" x14ac:dyDescent="0.3">
      <c r="A25" s="311"/>
      <c r="B25" s="281"/>
      <c r="C25" s="282"/>
      <c r="D25" s="283"/>
      <c r="E25" s="283"/>
      <c r="F25" s="280"/>
      <c r="G25" s="280"/>
      <c r="H25" s="280"/>
      <c r="I25" s="280"/>
      <c r="J25" s="280"/>
      <c r="K25" s="280"/>
      <c r="L25" s="280"/>
      <c r="M25" s="280"/>
      <c r="N25" s="169"/>
      <c r="O25" s="169"/>
      <c r="P25" s="169"/>
      <c r="Q25" s="169"/>
      <c r="R25" s="169"/>
      <c r="S25" s="169"/>
      <c r="T25" s="169"/>
      <c r="U25" s="169"/>
      <c r="V25" s="169"/>
      <c r="W25" s="169"/>
      <c r="X25" s="169"/>
      <c r="Y25" s="169"/>
      <c r="Z25" s="169"/>
      <c r="AA25" s="169"/>
      <c r="AB25" s="169"/>
      <c r="AC25" s="169"/>
      <c r="AD25" s="169"/>
      <c r="AE25" s="169"/>
      <c r="AF25" s="169"/>
      <c r="AG25" s="169"/>
      <c r="AH25" s="169"/>
      <c r="AI25" s="169"/>
      <c r="AJ25" s="169"/>
      <c r="AK25" s="169"/>
      <c r="AL25" s="169"/>
      <c r="AM25" s="169"/>
      <c r="AN25" s="169"/>
      <c r="AO25" s="169"/>
      <c r="AP25" s="169"/>
      <c r="AQ25" s="169"/>
      <c r="AR25" s="169"/>
      <c r="AS25" s="169"/>
      <c r="AT25" s="169"/>
      <c r="AU25" s="169"/>
      <c r="AV25" s="169"/>
      <c r="AW25" s="169"/>
      <c r="AX25" s="169"/>
      <c r="AY25" s="169"/>
      <c r="AZ25" s="169"/>
      <c r="BA25" s="169"/>
      <c r="BB25" s="169"/>
      <c r="BC25" s="169"/>
      <c r="BD25" s="169"/>
      <c r="BE25" s="169"/>
      <c r="BF25" s="169"/>
      <c r="BG25" s="169"/>
      <c r="BH25" s="169"/>
      <c r="BI25" s="169"/>
      <c r="BJ25" s="169"/>
      <c r="BK25" s="169"/>
      <c r="BL25" s="169"/>
      <c r="BM25" s="169"/>
      <c r="BN25" s="169"/>
      <c r="BO25" s="169"/>
      <c r="BP25" s="169"/>
      <c r="BQ25" s="169"/>
      <c r="BR25" s="169"/>
    </row>
    <row r="26" spans="1:70" s="170" customFormat="1" ht="48.75" customHeight="1" x14ac:dyDescent="0.3">
      <c r="A26" s="311"/>
      <c r="B26" s="281"/>
      <c r="C26" s="282"/>
      <c r="D26" s="283"/>
      <c r="E26" s="283"/>
      <c r="F26" s="280"/>
      <c r="G26" s="280"/>
      <c r="H26" s="280"/>
      <c r="I26" s="280"/>
      <c r="J26" s="280"/>
      <c r="K26" s="280"/>
      <c r="L26" s="280"/>
      <c r="M26" s="280"/>
      <c r="N26" s="169"/>
      <c r="O26" s="169"/>
      <c r="P26" s="169"/>
      <c r="Q26" s="169"/>
      <c r="R26" s="169"/>
      <c r="S26" s="169"/>
      <c r="T26" s="169"/>
      <c r="U26" s="169"/>
      <c r="V26" s="169"/>
      <c r="W26" s="169"/>
      <c r="X26" s="169"/>
      <c r="Y26" s="169"/>
      <c r="Z26" s="169"/>
      <c r="AA26" s="169"/>
      <c r="AB26" s="169"/>
      <c r="AC26" s="169"/>
      <c r="AD26" s="169"/>
      <c r="AE26" s="169"/>
      <c r="AF26" s="169"/>
      <c r="AG26" s="169"/>
      <c r="AH26" s="169"/>
      <c r="AI26" s="169"/>
      <c r="AJ26" s="169"/>
      <c r="AK26" s="169"/>
      <c r="AL26" s="169"/>
      <c r="AM26" s="169"/>
      <c r="AN26" s="169"/>
      <c r="AO26" s="169"/>
      <c r="AP26" s="169"/>
      <c r="AQ26" s="169"/>
      <c r="AR26" s="169"/>
      <c r="AS26" s="169"/>
      <c r="AT26" s="169"/>
      <c r="AU26" s="169"/>
      <c r="AV26" s="169"/>
      <c r="AW26" s="169"/>
      <c r="AX26" s="169"/>
      <c r="AY26" s="169"/>
      <c r="AZ26" s="169"/>
      <c r="BA26" s="169"/>
      <c r="BB26" s="169"/>
      <c r="BC26" s="169"/>
      <c r="BD26" s="169"/>
      <c r="BE26" s="169"/>
      <c r="BF26" s="169"/>
      <c r="BG26" s="169"/>
      <c r="BH26" s="169"/>
      <c r="BI26" s="169"/>
      <c r="BJ26" s="169"/>
      <c r="BK26" s="169"/>
      <c r="BL26" s="169"/>
      <c r="BM26" s="169"/>
      <c r="BN26" s="169"/>
      <c r="BO26" s="169"/>
      <c r="BP26" s="169"/>
      <c r="BQ26" s="169"/>
      <c r="BR26" s="169"/>
    </row>
    <row r="27" spans="1:70" s="170" customFormat="1" ht="48.75" customHeight="1" x14ac:dyDescent="0.3">
      <c r="A27" s="311"/>
      <c r="B27" s="281"/>
      <c r="C27" s="282"/>
      <c r="D27" s="283"/>
      <c r="E27" s="283"/>
      <c r="F27" s="280" t="str">
        <f t="shared" si="1"/>
        <v>No</v>
      </c>
      <c r="G27" s="280" t="str">
        <f t="shared" si="1"/>
        <v>No</v>
      </c>
      <c r="H27" s="280" t="str">
        <f t="shared" si="1"/>
        <v>No</v>
      </c>
      <c r="I27" s="280" t="str">
        <f t="shared" si="1"/>
        <v>No</v>
      </c>
      <c r="J27" s="280" t="str">
        <f t="shared" si="1"/>
        <v>No</v>
      </c>
      <c r="K27" s="280" t="str">
        <f t="shared" si="1"/>
        <v>No</v>
      </c>
      <c r="L27" s="280" t="str">
        <f t="shared" si="1"/>
        <v>No</v>
      </c>
      <c r="M27" s="280" t="str">
        <f t="shared" si="1"/>
        <v>No</v>
      </c>
      <c r="N27" s="169"/>
      <c r="O27" s="169"/>
      <c r="P27" s="169"/>
      <c r="Q27" s="169"/>
      <c r="R27" s="169"/>
      <c r="S27" s="169"/>
      <c r="T27" s="169"/>
      <c r="U27" s="169"/>
      <c r="V27" s="169"/>
      <c r="W27" s="169"/>
      <c r="X27" s="169"/>
      <c r="Y27" s="169"/>
      <c r="Z27" s="169"/>
      <c r="AA27" s="169"/>
      <c r="AB27" s="169"/>
      <c r="AC27" s="169"/>
      <c r="AD27" s="169"/>
      <c r="AE27" s="169"/>
      <c r="AF27" s="169"/>
      <c r="AG27" s="169"/>
      <c r="AH27" s="169"/>
      <c r="AI27" s="169"/>
      <c r="AJ27" s="169"/>
      <c r="AK27" s="169"/>
      <c r="AL27" s="169"/>
      <c r="AM27" s="169"/>
      <c r="AN27" s="169"/>
      <c r="AO27" s="169"/>
      <c r="AP27" s="169"/>
      <c r="AQ27" s="169"/>
      <c r="AR27" s="169"/>
      <c r="AS27" s="169"/>
      <c r="AT27" s="169"/>
      <c r="AU27" s="169"/>
      <c r="AV27" s="169"/>
      <c r="AW27" s="169"/>
      <c r="AX27" s="169"/>
      <c r="AY27" s="169"/>
      <c r="AZ27" s="169"/>
      <c r="BA27" s="169"/>
      <c r="BB27" s="169"/>
      <c r="BC27" s="169"/>
      <c r="BD27" s="169"/>
      <c r="BE27" s="169"/>
      <c r="BF27" s="169"/>
      <c r="BG27" s="169"/>
      <c r="BH27" s="169"/>
      <c r="BI27" s="169"/>
      <c r="BJ27" s="169"/>
      <c r="BK27" s="169"/>
      <c r="BL27" s="169"/>
      <c r="BM27" s="169"/>
      <c r="BN27" s="169"/>
      <c r="BO27" s="169"/>
      <c r="BP27" s="169"/>
      <c r="BQ27" s="169"/>
      <c r="BR27" s="169"/>
    </row>
    <row r="28" spans="1:70" s="170" customFormat="1" ht="48.75" customHeight="1" x14ac:dyDescent="0.3">
      <c r="A28" s="311"/>
      <c r="B28" s="281"/>
      <c r="C28" s="282"/>
      <c r="D28" s="283"/>
      <c r="E28" s="283"/>
      <c r="F28" s="280"/>
      <c r="G28" s="280"/>
      <c r="H28" s="280"/>
      <c r="I28" s="280"/>
      <c r="J28" s="280"/>
      <c r="K28" s="280"/>
      <c r="L28" s="280"/>
      <c r="M28" s="280"/>
      <c r="N28" s="169"/>
      <c r="O28" s="169"/>
      <c r="P28" s="169"/>
      <c r="Q28" s="169"/>
      <c r="R28" s="169"/>
      <c r="S28" s="169"/>
      <c r="T28" s="169"/>
      <c r="U28" s="169"/>
      <c r="V28" s="169"/>
      <c r="W28" s="169"/>
      <c r="X28" s="169"/>
      <c r="Y28" s="169"/>
      <c r="Z28" s="169"/>
      <c r="AA28" s="169"/>
      <c r="AB28" s="169"/>
      <c r="AC28" s="169"/>
      <c r="AD28" s="169"/>
      <c r="AE28" s="169"/>
      <c r="AF28" s="169"/>
      <c r="AG28" s="169"/>
      <c r="AH28" s="169"/>
      <c r="AI28" s="169"/>
      <c r="AJ28" s="169"/>
      <c r="AK28" s="169"/>
      <c r="AL28" s="169"/>
      <c r="AM28" s="169"/>
      <c r="AN28" s="169"/>
      <c r="AO28" s="169"/>
      <c r="AP28" s="169"/>
      <c r="AQ28" s="169"/>
      <c r="AR28" s="169"/>
      <c r="AS28" s="169"/>
      <c r="AT28" s="169"/>
      <c r="AU28" s="169"/>
      <c r="AV28" s="169"/>
      <c r="AW28" s="169"/>
      <c r="AX28" s="169"/>
      <c r="AY28" s="169"/>
      <c r="AZ28" s="169"/>
      <c r="BA28" s="169"/>
      <c r="BB28" s="169"/>
      <c r="BC28" s="169"/>
      <c r="BD28" s="169"/>
      <c r="BE28" s="169"/>
      <c r="BF28" s="169"/>
      <c r="BG28" s="169"/>
      <c r="BH28" s="169"/>
      <c r="BI28" s="169"/>
      <c r="BJ28" s="169"/>
      <c r="BK28" s="169"/>
      <c r="BL28" s="169"/>
      <c r="BM28" s="169"/>
      <c r="BN28" s="169"/>
      <c r="BO28" s="169"/>
      <c r="BP28" s="169"/>
      <c r="BQ28" s="169"/>
      <c r="BR28" s="169"/>
    </row>
    <row r="29" spans="1:70" s="170" customFormat="1" ht="48.75" customHeight="1" x14ac:dyDescent="0.3">
      <c r="A29" s="311"/>
      <c r="B29" s="281"/>
      <c r="C29" s="282"/>
      <c r="D29" s="283"/>
      <c r="E29" s="283"/>
      <c r="F29" s="280"/>
      <c r="G29" s="280"/>
      <c r="H29" s="280"/>
      <c r="I29" s="280"/>
      <c r="J29" s="280"/>
      <c r="K29" s="280"/>
      <c r="L29" s="280"/>
      <c r="M29" s="280"/>
      <c r="N29" s="169"/>
      <c r="O29" s="169"/>
      <c r="P29" s="169"/>
      <c r="Q29" s="169"/>
      <c r="R29" s="169"/>
      <c r="S29" s="169"/>
      <c r="T29" s="169"/>
      <c r="U29" s="169"/>
      <c r="V29" s="169"/>
      <c r="W29" s="169"/>
      <c r="X29" s="169"/>
      <c r="Y29" s="169"/>
      <c r="Z29" s="169"/>
      <c r="AA29" s="169"/>
      <c r="AB29" s="169"/>
      <c r="AC29" s="169"/>
      <c r="AD29" s="169"/>
      <c r="AE29" s="169"/>
      <c r="AF29" s="169"/>
      <c r="AG29" s="169"/>
      <c r="AH29" s="169"/>
      <c r="AI29" s="169"/>
      <c r="AJ29" s="169"/>
      <c r="AK29" s="169"/>
      <c r="AL29" s="169"/>
      <c r="AM29" s="169"/>
      <c r="AN29" s="169"/>
      <c r="AO29" s="169"/>
      <c r="AP29" s="169"/>
      <c r="AQ29" s="169"/>
      <c r="AR29" s="169"/>
      <c r="AS29" s="169"/>
      <c r="AT29" s="169"/>
      <c r="AU29" s="169"/>
      <c r="AV29" s="169"/>
      <c r="AW29" s="169"/>
      <c r="AX29" s="169"/>
      <c r="AY29" s="169"/>
      <c r="AZ29" s="169"/>
      <c r="BA29" s="169"/>
      <c r="BB29" s="169"/>
      <c r="BC29" s="169"/>
      <c r="BD29" s="169"/>
      <c r="BE29" s="169"/>
      <c r="BF29" s="169"/>
      <c r="BG29" s="169"/>
      <c r="BH29" s="169"/>
      <c r="BI29" s="169"/>
      <c r="BJ29" s="169"/>
      <c r="BK29" s="169"/>
      <c r="BL29" s="169"/>
      <c r="BM29" s="169"/>
      <c r="BN29" s="169"/>
      <c r="BO29" s="169"/>
      <c r="BP29" s="169"/>
      <c r="BQ29" s="169"/>
      <c r="BR29" s="169"/>
    </row>
    <row r="30" spans="1:70" s="170" customFormat="1" ht="48.75" customHeight="1" x14ac:dyDescent="0.3">
      <c r="A30" s="311"/>
      <c r="B30" s="281"/>
      <c r="C30" s="282"/>
      <c r="D30" s="283"/>
      <c r="E30" s="283"/>
      <c r="F30" s="280" t="str">
        <f t="shared" si="1"/>
        <v>No</v>
      </c>
      <c r="G30" s="280" t="str">
        <f t="shared" si="1"/>
        <v>No</v>
      </c>
      <c r="H30" s="280" t="str">
        <f t="shared" si="1"/>
        <v>No</v>
      </c>
      <c r="I30" s="280" t="str">
        <f t="shared" si="1"/>
        <v>No</v>
      </c>
      <c r="J30" s="280" t="str">
        <f t="shared" si="1"/>
        <v>No</v>
      </c>
      <c r="K30" s="280" t="str">
        <f t="shared" si="1"/>
        <v>No</v>
      </c>
      <c r="L30" s="280" t="str">
        <f t="shared" si="1"/>
        <v>No</v>
      </c>
      <c r="M30" s="280" t="str">
        <f t="shared" si="1"/>
        <v>No</v>
      </c>
      <c r="N30" s="169"/>
      <c r="O30" s="169"/>
      <c r="P30" s="169"/>
      <c r="Q30" s="169"/>
      <c r="R30" s="169"/>
      <c r="S30" s="169"/>
      <c r="T30" s="169"/>
      <c r="U30" s="169"/>
      <c r="V30" s="169"/>
      <c r="W30" s="169"/>
      <c r="X30" s="169"/>
      <c r="Y30" s="169"/>
      <c r="Z30" s="169"/>
      <c r="AA30" s="169"/>
      <c r="AB30" s="169"/>
      <c r="AC30" s="169"/>
      <c r="AD30" s="169"/>
      <c r="AE30" s="169"/>
      <c r="AF30" s="169"/>
      <c r="AG30" s="169"/>
      <c r="AH30" s="169"/>
      <c r="AI30" s="169"/>
      <c r="AJ30" s="169"/>
      <c r="AK30" s="169"/>
      <c r="AL30" s="169"/>
      <c r="AM30" s="169"/>
      <c r="AN30" s="169"/>
      <c r="AO30" s="169"/>
      <c r="AP30" s="169"/>
      <c r="AQ30" s="169"/>
      <c r="AR30" s="169"/>
      <c r="AS30" s="169"/>
      <c r="AT30" s="169"/>
      <c r="AU30" s="169"/>
      <c r="AV30" s="169"/>
      <c r="AW30" s="169"/>
      <c r="AX30" s="169"/>
      <c r="AY30" s="169"/>
      <c r="AZ30" s="169"/>
      <c r="BA30" s="169"/>
      <c r="BB30" s="169"/>
      <c r="BC30" s="169"/>
      <c r="BD30" s="169"/>
      <c r="BE30" s="169"/>
      <c r="BF30" s="169"/>
      <c r="BG30" s="169"/>
      <c r="BH30" s="169"/>
      <c r="BI30" s="169"/>
      <c r="BJ30" s="169"/>
      <c r="BK30" s="169"/>
      <c r="BL30" s="169"/>
      <c r="BM30" s="169"/>
      <c r="BN30" s="169"/>
      <c r="BO30" s="169"/>
      <c r="BP30" s="169"/>
      <c r="BQ30" s="169"/>
      <c r="BR30" s="169"/>
    </row>
    <row r="31" spans="1:70" s="170" customFormat="1" ht="48.75" customHeight="1" x14ac:dyDescent="0.3">
      <c r="A31" s="311"/>
      <c r="B31" s="281"/>
      <c r="C31" s="282"/>
      <c r="D31" s="283"/>
      <c r="E31" s="283"/>
      <c r="F31" s="280"/>
      <c r="G31" s="280"/>
      <c r="H31" s="280"/>
      <c r="I31" s="280"/>
      <c r="J31" s="280"/>
      <c r="K31" s="280"/>
      <c r="L31" s="280"/>
      <c r="M31" s="280"/>
      <c r="N31" s="169"/>
      <c r="O31" s="169"/>
      <c r="P31" s="169"/>
      <c r="Q31" s="169"/>
      <c r="R31" s="169"/>
      <c r="S31" s="169"/>
      <c r="T31" s="169"/>
      <c r="U31" s="169"/>
      <c r="V31" s="169"/>
      <c r="W31" s="169"/>
      <c r="X31" s="169"/>
      <c r="Y31" s="169"/>
      <c r="Z31" s="169"/>
      <c r="AA31" s="169"/>
      <c r="AB31" s="169"/>
      <c r="AC31" s="169"/>
      <c r="AD31" s="169"/>
      <c r="AE31" s="169"/>
      <c r="AF31" s="169"/>
      <c r="AG31" s="169"/>
      <c r="AH31" s="169"/>
      <c r="AI31" s="169"/>
      <c r="AJ31" s="169"/>
      <c r="AK31" s="169"/>
      <c r="AL31" s="169"/>
      <c r="AM31" s="169"/>
      <c r="AN31" s="169"/>
      <c r="AO31" s="169"/>
      <c r="AP31" s="169"/>
      <c r="AQ31" s="169"/>
      <c r="AR31" s="169"/>
      <c r="AS31" s="169"/>
      <c r="AT31" s="169"/>
      <c r="AU31" s="169"/>
      <c r="AV31" s="169"/>
      <c r="AW31" s="169"/>
      <c r="AX31" s="169"/>
      <c r="AY31" s="169"/>
      <c r="AZ31" s="169"/>
      <c r="BA31" s="169"/>
      <c r="BB31" s="169"/>
      <c r="BC31" s="169"/>
      <c r="BD31" s="169"/>
      <c r="BE31" s="169"/>
      <c r="BF31" s="169"/>
      <c r="BG31" s="169"/>
      <c r="BH31" s="169"/>
      <c r="BI31" s="169"/>
      <c r="BJ31" s="169"/>
      <c r="BK31" s="169"/>
      <c r="BL31" s="169"/>
      <c r="BM31" s="169"/>
      <c r="BN31" s="169"/>
      <c r="BO31" s="169"/>
      <c r="BP31" s="169"/>
      <c r="BQ31" s="169"/>
      <c r="BR31" s="169"/>
    </row>
    <row r="32" spans="1:70" s="170" customFormat="1" ht="48.75" customHeight="1" x14ac:dyDescent="0.3">
      <c r="A32" s="311"/>
      <c r="B32" s="281"/>
      <c r="C32" s="282"/>
      <c r="D32" s="283"/>
      <c r="E32" s="283"/>
      <c r="F32" s="280"/>
      <c r="G32" s="280"/>
      <c r="H32" s="280"/>
      <c r="I32" s="280"/>
      <c r="J32" s="280"/>
      <c r="K32" s="280"/>
      <c r="L32" s="280"/>
      <c r="M32" s="280"/>
      <c r="N32" s="169"/>
      <c r="O32" s="169"/>
      <c r="P32" s="169"/>
      <c r="Q32" s="169"/>
      <c r="R32" s="169"/>
      <c r="S32" s="169"/>
      <c r="T32" s="169"/>
      <c r="U32" s="169"/>
      <c r="V32" s="169"/>
      <c r="W32" s="169"/>
      <c r="X32" s="169"/>
      <c r="Y32" s="169"/>
      <c r="Z32" s="169"/>
      <c r="AA32" s="169"/>
      <c r="AB32" s="169"/>
      <c r="AC32" s="169"/>
      <c r="AD32" s="169"/>
      <c r="AE32" s="169"/>
      <c r="AF32" s="169"/>
      <c r="AG32" s="169"/>
      <c r="AH32" s="169"/>
      <c r="AI32" s="169"/>
      <c r="AJ32" s="169"/>
      <c r="AK32" s="169"/>
      <c r="AL32" s="169"/>
      <c r="AM32" s="169"/>
      <c r="AN32" s="169"/>
      <c r="AO32" s="169"/>
      <c r="AP32" s="169"/>
      <c r="AQ32" s="169"/>
      <c r="AR32" s="169"/>
      <c r="AS32" s="169"/>
      <c r="AT32" s="169"/>
      <c r="AU32" s="169"/>
      <c r="AV32" s="169"/>
      <c r="AW32" s="169"/>
      <c r="AX32" s="169"/>
      <c r="AY32" s="169"/>
      <c r="AZ32" s="169"/>
      <c r="BA32" s="169"/>
      <c r="BB32" s="169"/>
      <c r="BC32" s="169"/>
      <c r="BD32" s="169"/>
      <c r="BE32" s="169"/>
      <c r="BF32" s="169"/>
      <c r="BG32" s="169"/>
      <c r="BH32" s="169"/>
      <c r="BI32" s="169"/>
      <c r="BJ32" s="169"/>
      <c r="BK32" s="169"/>
      <c r="BL32" s="169"/>
      <c r="BM32" s="169"/>
      <c r="BN32" s="169"/>
      <c r="BO32" s="169"/>
      <c r="BP32" s="169"/>
      <c r="BQ32" s="169"/>
      <c r="BR32" s="169"/>
    </row>
    <row r="33" spans="1:70" s="170" customFormat="1" ht="48.75" customHeight="1" x14ac:dyDescent="0.3">
      <c r="A33" s="311"/>
      <c r="B33" s="281"/>
      <c r="C33" s="282"/>
      <c r="D33" s="283"/>
      <c r="E33" s="283"/>
      <c r="F33" s="280" t="str">
        <f t="shared" si="1"/>
        <v>No</v>
      </c>
      <c r="G33" s="280" t="str">
        <f t="shared" si="1"/>
        <v>No</v>
      </c>
      <c r="H33" s="280" t="str">
        <f t="shared" si="1"/>
        <v>No</v>
      </c>
      <c r="I33" s="280" t="str">
        <f t="shared" si="1"/>
        <v>No</v>
      </c>
      <c r="J33" s="280" t="str">
        <f t="shared" si="1"/>
        <v>No</v>
      </c>
      <c r="K33" s="280" t="str">
        <f t="shared" si="1"/>
        <v>No</v>
      </c>
      <c r="L33" s="280" t="str">
        <f t="shared" si="1"/>
        <v>No</v>
      </c>
      <c r="M33" s="280" t="str">
        <f t="shared" si="1"/>
        <v>No</v>
      </c>
      <c r="N33" s="169"/>
      <c r="O33" s="169"/>
      <c r="P33" s="169"/>
      <c r="Q33" s="169"/>
      <c r="R33" s="169"/>
      <c r="S33" s="169"/>
      <c r="T33" s="169"/>
      <c r="U33" s="169"/>
      <c r="V33" s="169"/>
      <c r="W33" s="169"/>
      <c r="X33" s="169"/>
      <c r="Y33" s="169"/>
      <c r="Z33" s="169"/>
      <c r="AA33" s="169"/>
      <c r="AB33" s="169"/>
      <c r="AC33" s="169"/>
      <c r="AD33" s="169"/>
      <c r="AE33" s="169"/>
      <c r="AF33" s="169"/>
      <c r="AG33" s="169"/>
      <c r="AH33" s="169"/>
      <c r="AI33" s="169"/>
      <c r="AJ33" s="169"/>
      <c r="AK33" s="169"/>
      <c r="AL33" s="169"/>
      <c r="AM33" s="169"/>
      <c r="AN33" s="169"/>
      <c r="AO33" s="169"/>
      <c r="AP33" s="169"/>
      <c r="AQ33" s="169"/>
      <c r="AR33" s="169"/>
      <c r="AS33" s="169"/>
      <c r="AT33" s="169"/>
      <c r="AU33" s="169"/>
      <c r="AV33" s="169"/>
      <c r="AW33" s="169"/>
      <c r="AX33" s="169"/>
      <c r="AY33" s="169"/>
      <c r="AZ33" s="169"/>
      <c r="BA33" s="169"/>
      <c r="BB33" s="169"/>
      <c r="BC33" s="169"/>
      <c r="BD33" s="169"/>
      <c r="BE33" s="169"/>
      <c r="BF33" s="169"/>
      <c r="BG33" s="169"/>
      <c r="BH33" s="169"/>
      <c r="BI33" s="169"/>
      <c r="BJ33" s="169"/>
      <c r="BK33" s="169"/>
      <c r="BL33" s="169"/>
      <c r="BM33" s="169"/>
      <c r="BN33" s="169"/>
      <c r="BO33" s="169"/>
      <c r="BP33" s="169"/>
      <c r="BQ33" s="169"/>
      <c r="BR33" s="169"/>
    </row>
    <row r="34" spans="1:70" s="170" customFormat="1" ht="48.75" customHeight="1" x14ac:dyDescent="0.3">
      <c r="A34" s="311"/>
      <c r="B34" s="281"/>
      <c r="C34" s="282"/>
      <c r="D34" s="283"/>
      <c r="E34" s="283"/>
      <c r="F34" s="280"/>
      <c r="G34" s="280"/>
      <c r="H34" s="280"/>
      <c r="I34" s="280"/>
      <c r="J34" s="280"/>
      <c r="K34" s="280"/>
      <c r="L34" s="280"/>
      <c r="M34" s="280"/>
      <c r="N34" s="169"/>
      <c r="O34" s="169"/>
      <c r="P34" s="169"/>
      <c r="Q34" s="169"/>
      <c r="R34" s="169"/>
      <c r="S34" s="169"/>
      <c r="T34" s="169"/>
      <c r="U34" s="169"/>
      <c r="V34" s="169"/>
      <c r="W34" s="169"/>
      <c r="X34" s="169"/>
      <c r="Y34" s="169"/>
      <c r="Z34" s="169"/>
      <c r="AA34" s="169"/>
      <c r="AB34" s="169"/>
      <c r="AC34" s="169"/>
      <c r="AD34" s="169"/>
      <c r="AE34" s="169"/>
      <c r="AF34" s="169"/>
      <c r="AG34" s="169"/>
      <c r="AH34" s="169"/>
      <c r="AI34" s="169"/>
      <c r="AJ34" s="169"/>
      <c r="AK34" s="169"/>
      <c r="AL34" s="169"/>
      <c r="AM34" s="169"/>
      <c r="AN34" s="169"/>
      <c r="AO34" s="169"/>
      <c r="AP34" s="169"/>
      <c r="AQ34" s="169"/>
      <c r="AR34" s="169"/>
      <c r="AS34" s="169"/>
      <c r="AT34" s="169"/>
      <c r="AU34" s="169"/>
      <c r="AV34" s="169"/>
      <c r="AW34" s="169"/>
      <c r="AX34" s="169"/>
      <c r="AY34" s="169"/>
      <c r="AZ34" s="169"/>
      <c r="BA34" s="169"/>
      <c r="BB34" s="169"/>
      <c r="BC34" s="169"/>
      <c r="BD34" s="169"/>
      <c r="BE34" s="169"/>
      <c r="BF34" s="169"/>
      <c r="BG34" s="169"/>
      <c r="BH34" s="169"/>
      <c r="BI34" s="169"/>
      <c r="BJ34" s="169"/>
      <c r="BK34" s="169"/>
      <c r="BL34" s="169"/>
      <c r="BM34" s="169"/>
      <c r="BN34" s="169"/>
      <c r="BO34" s="169"/>
      <c r="BP34" s="169"/>
      <c r="BQ34" s="169"/>
      <c r="BR34" s="169"/>
    </row>
    <row r="35" spans="1:70" s="170" customFormat="1" ht="48.75" customHeight="1" x14ac:dyDescent="0.3">
      <c r="A35" s="311"/>
      <c r="B35" s="281"/>
      <c r="C35" s="282"/>
      <c r="D35" s="283"/>
      <c r="E35" s="283"/>
      <c r="F35" s="280"/>
      <c r="G35" s="280"/>
      <c r="H35" s="280"/>
      <c r="I35" s="280"/>
      <c r="J35" s="280"/>
      <c r="K35" s="280"/>
      <c r="L35" s="280"/>
      <c r="M35" s="280"/>
      <c r="N35" s="169"/>
      <c r="O35" s="169"/>
      <c r="P35" s="169"/>
      <c r="Q35" s="169"/>
      <c r="R35" s="169"/>
      <c r="S35" s="169"/>
      <c r="T35" s="169"/>
      <c r="U35" s="169"/>
      <c r="V35" s="169"/>
      <c r="W35" s="169"/>
      <c r="X35" s="169"/>
      <c r="Y35" s="169"/>
      <c r="Z35" s="169"/>
      <c r="AA35" s="169"/>
      <c r="AB35" s="169"/>
      <c r="AC35" s="169"/>
      <c r="AD35" s="169"/>
      <c r="AE35" s="169"/>
      <c r="AF35" s="169"/>
      <c r="AG35" s="169"/>
      <c r="AH35" s="169"/>
      <c r="AI35" s="169"/>
      <c r="AJ35" s="169"/>
      <c r="AK35" s="169"/>
      <c r="AL35" s="169"/>
      <c r="AM35" s="169"/>
      <c r="AN35" s="169"/>
      <c r="AO35" s="169"/>
      <c r="AP35" s="169"/>
      <c r="AQ35" s="169"/>
      <c r="AR35" s="169"/>
      <c r="AS35" s="169"/>
      <c r="AT35" s="169"/>
      <c r="AU35" s="169"/>
      <c r="AV35" s="169"/>
      <c r="AW35" s="169"/>
      <c r="AX35" s="169"/>
      <c r="AY35" s="169"/>
      <c r="AZ35" s="169"/>
      <c r="BA35" s="169"/>
      <c r="BB35" s="169"/>
      <c r="BC35" s="169"/>
      <c r="BD35" s="169"/>
      <c r="BE35" s="169"/>
      <c r="BF35" s="169"/>
      <c r="BG35" s="169"/>
      <c r="BH35" s="169"/>
      <c r="BI35" s="169"/>
      <c r="BJ35" s="169"/>
      <c r="BK35" s="169"/>
      <c r="BL35" s="169"/>
      <c r="BM35" s="169"/>
      <c r="BN35" s="169"/>
      <c r="BO35" s="169"/>
      <c r="BP35" s="169"/>
      <c r="BQ35" s="169"/>
      <c r="BR35" s="169"/>
    </row>
    <row r="36" spans="1:70" s="170" customFormat="1" ht="48.75" customHeight="1" x14ac:dyDescent="0.3">
      <c r="A36" s="311"/>
      <c r="B36" s="281"/>
      <c r="C36" s="282"/>
      <c r="D36" s="283"/>
      <c r="E36" s="283"/>
      <c r="F36" s="280" t="str">
        <f t="shared" si="1"/>
        <v>No</v>
      </c>
      <c r="G36" s="280" t="str">
        <f t="shared" si="1"/>
        <v>No</v>
      </c>
      <c r="H36" s="280" t="str">
        <f t="shared" si="1"/>
        <v>No</v>
      </c>
      <c r="I36" s="280" t="str">
        <f t="shared" si="1"/>
        <v>No</v>
      </c>
      <c r="J36" s="280" t="str">
        <f t="shared" si="1"/>
        <v>No</v>
      </c>
      <c r="K36" s="280" t="str">
        <f t="shared" si="1"/>
        <v>No</v>
      </c>
      <c r="L36" s="280" t="str">
        <f t="shared" si="1"/>
        <v>No</v>
      </c>
      <c r="M36" s="280" t="str">
        <f t="shared" si="1"/>
        <v>No</v>
      </c>
      <c r="N36" s="169"/>
      <c r="O36" s="169"/>
      <c r="P36" s="169"/>
      <c r="Q36" s="169"/>
      <c r="R36" s="169"/>
      <c r="S36" s="169"/>
      <c r="T36" s="169"/>
      <c r="U36" s="169"/>
      <c r="V36" s="169"/>
      <c r="W36" s="169"/>
      <c r="X36" s="169"/>
      <c r="Y36" s="169"/>
      <c r="Z36" s="169"/>
      <c r="AA36" s="169"/>
      <c r="AB36" s="169"/>
      <c r="AC36" s="169"/>
      <c r="AD36" s="169"/>
      <c r="AE36" s="169"/>
      <c r="AF36" s="169"/>
      <c r="AG36" s="169"/>
      <c r="AH36" s="169"/>
      <c r="AI36" s="169"/>
      <c r="AJ36" s="169"/>
      <c r="AK36" s="169"/>
      <c r="AL36" s="169"/>
      <c r="AM36" s="169"/>
      <c r="AN36" s="169"/>
      <c r="AO36" s="169"/>
      <c r="AP36" s="169"/>
      <c r="AQ36" s="169"/>
      <c r="AR36" s="169"/>
      <c r="AS36" s="169"/>
      <c r="AT36" s="169"/>
      <c r="AU36" s="169"/>
      <c r="AV36" s="169"/>
      <c r="AW36" s="169"/>
      <c r="AX36" s="169"/>
      <c r="AY36" s="169"/>
      <c r="AZ36" s="169"/>
      <c r="BA36" s="169"/>
      <c r="BB36" s="169"/>
      <c r="BC36" s="169"/>
      <c r="BD36" s="169"/>
      <c r="BE36" s="169"/>
      <c r="BF36" s="169"/>
      <c r="BG36" s="169"/>
      <c r="BH36" s="169"/>
      <c r="BI36" s="169"/>
      <c r="BJ36" s="169"/>
      <c r="BK36" s="169"/>
      <c r="BL36" s="169"/>
      <c r="BM36" s="169"/>
      <c r="BN36" s="169"/>
      <c r="BO36" s="169"/>
      <c r="BP36" s="169"/>
      <c r="BQ36" s="169"/>
      <c r="BR36" s="169"/>
    </row>
    <row r="37" spans="1:70" s="170" customFormat="1" ht="48.75" customHeight="1" x14ac:dyDescent="0.3">
      <c r="A37" s="311"/>
      <c r="B37" s="281"/>
      <c r="C37" s="282"/>
      <c r="D37" s="283"/>
      <c r="E37" s="283"/>
      <c r="F37" s="280"/>
      <c r="G37" s="280"/>
      <c r="H37" s="280"/>
      <c r="I37" s="280"/>
      <c r="J37" s="280"/>
      <c r="K37" s="280"/>
      <c r="L37" s="280"/>
      <c r="M37" s="280"/>
      <c r="N37" s="169"/>
      <c r="O37" s="169"/>
      <c r="P37" s="169"/>
      <c r="Q37" s="169"/>
      <c r="R37" s="169"/>
      <c r="S37" s="169"/>
      <c r="T37" s="169"/>
      <c r="U37" s="169"/>
      <c r="V37" s="169"/>
      <c r="W37" s="169"/>
      <c r="X37" s="169"/>
      <c r="Y37" s="169"/>
      <c r="Z37" s="169"/>
      <c r="AA37" s="169"/>
      <c r="AB37" s="169"/>
      <c r="AC37" s="169"/>
      <c r="AD37" s="169"/>
      <c r="AE37" s="169"/>
      <c r="AF37" s="169"/>
      <c r="AG37" s="169"/>
      <c r="AH37" s="169"/>
      <c r="AI37" s="169"/>
      <c r="AJ37" s="169"/>
      <c r="AK37" s="169"/>
      <c r="AL37" s="169"/>
      <c r="AM37" s="169"/>
      <c r="AN37" s="169"/>
      <c r="AO37" s="169"/>
      <c r="AP37" s="169"/>
      <c r="AQ37" s="169"/>
      <c r="AR37" s="169"/>
      <c r="AS37" s="169"/>
      <c r="AT37" s="169"/>
      <c r="AU37" s="169"/>
      <c r="AV37" s="169"/>
      <c r="AW37" s="169"/>
      <c r="AX37" s="169"/>
      <c r="AY37" s="169"/>
      <c r="AZ37" s="169"/>
      <c r="BA37" s="169"/>
      <c r="BB37" s="169"/>
      <c r="BC37" s="169"/>
      <c r="BD37" s="169"/>
      <c r="BE37" s="169"/>
      <c r="BF37" s="169"/>
      <c r="BG37" s="169"/>
      <c r="BH37" s="169"/>
      <c r="BI37" s="169"/>
      <c r="BJ37" s="169"/>
      <c r="BK37" s="169"/>
      <c r="BL37" s="169"/>
      <c r="BM37" s="169"/>
      <c r="BN37" s="169"/>
      <c r="BO37" s="169"/>
      <c r="BP37" s="169"/>
      <c r="BQ37" s="169"/>
      <c r="BR37" s="169"/>
    </row>
    <row r="38" spans="1:70" s="170" customFormat="1" ht="48.75" customHeight="1" x14ac:dyDescent="0.3">
      <c r="A38" s="311"/>
      <c r="B38" s="281"/>
      <c r="C38" s="282"/>
      <c r="D38" s="283"/>
      <c r="E38" s="283"/>
      <c r="F38" s="280"/>
      <c r="G38" s="280"/>
      <c r="H38" s="280"/>
      <c r="I38" s="280"/>
      <c r="J38" s="280"/>
      <c r="K38" s="280"/>
      <c r="L38" s="280"/>
      <c r="M38" s="280"/>
      <c r="N38" s="169"/>
      <c r="O38" s="169"/>
      <c r="P38" s="169"/>
      <c r="Q38" s="169"/>
      <c r="R38" s="169"/>
      <c r="S38" s="169"/>
      <c r="T38" s="169"/>
      <c r="U38" s="169"/>
      <c r="V38" s="169"/>
      <c r="W38" s="169"/>
      <c r="X38" s="169"/>
      <c r="Y38" s="169"/>
      <c r="Z38" s="169"/>
      <c r="AA38" s="169"/>
      <c r="AB38" s="169"/>
      <c r="AC38" s="169"/>
      <c r="AD38" s="169"/>
      <c r="AE38" s="169"/>
      <c r="AF38" s="169"/>
      <c r="AG38" s="169"/>
      <c r="AH38" s="169"/>
      <c r="AI38" s="169"/>
      <c r="AJ38" s="169"/>
      <c r="AK38" s="169"/>
      <c r="AL38" s="169"/>
      <c r="AM38" s="169"/>
      <c r="AN38" s="169"/>
      <c r="AO38" s="169"/>
      <c r="AP38" s="169"/>
      <c r="AQ38" s="169"/>
      <c r="AR38" s="169"/>
      <c r="AS38" s="169"/>
      <c r="AT38" s="169"/>
      <c r="AU38" s="169"/>
      <c r="AV38" s="169"/>
      <c r="AW38" s="169"/>
      <c r="AX38" s="169"/>
      <c r="AY38" s="169"/>
      <c r="AZ38" s="169"/>
      <c r="BA38" s="169"/>
      <c r="BB38" s="169"/>
      <c r="BC38" s="169"/>
      <c r="BD38" s="169"/>
      <c r="BE38" s="169"/>
      <c r="BF38" s="169"/>
      <c r="BG38" s="169"/>
      <c r="BH38" s="169"/>
      <c r="BI38" s="169"/>
      <c r="BJ38" s="169"/>
      <c r="BK38" s="169"/>
      <c r="BL38" s="169"/>
      <c r="BM38" s="169"/>
      <c r="BN38" s="169"/>
      <c r="BO38" s="169"/>
      <c r="BP38" s="169"/>
      <c r="BQ38" s="169"/>
      <c r="BR38" s="169"/>
    </row>
    <row r="39" spans="1:70" s="170" customFormat="1" ht="48.75" customHeight="1" x14ac:dyDescent="0.3">
      <c r="A39" s="311"/>
      <c r="B39" s="281"/>
      <c r="C39" s="282"/>
      <c r="D39" s="283"/>
      <c r="E39" s="283"/>
      <c r="F39" s="280" t="str">
        <f t="shared" si="1"/>
        <v>No</v>
      </c>
      <c r="G39" s="280" t="str">
        <f t="shared" si="1"/>
        <v>No</v>
      </c>
      <c r="H39" s="280" t="str">
        <f t="shared" si="1"/>
        <v>No</v>
      </c>
      <c r="I39" s="280" t="str">
        <f t="shared" si="1"/>
        <v>No</v>
      </c>
      <c r="J39" s="280" t="str">
        <f t="shared" si="1"/>
        <v>No</v>
      </c>
      <c r="K39" s="280" t="str">
        <f t="shared" si="1"/>
        <v>No</v>
      </c>
      <c r="L39" s="280" t="str">
        <f t="shared" si="1"/>
        <v>No</v>
      </c>
      <c r="M39" s="280" t="str">
        <f t="shared" si="1"/>
        <v>No</v>
      </c>
      <c r="N39" s="169"/>
      <c r="O39" s="169"/>
      <c r="P39" s="169"/>
      <c r="Q39" s="169"/>
      <c r="R39" s="169"/>
      <c r="S39" s="169"/>
      <c r="T39" s="169"/>
      <c r="U39" s="169"/>
      <c r="V39" s="169"/>
      <c r="W39" s="169"/>
      <c r="X39" s="169"/>
      <c r="Y39" s="169"/>
      <c r="Z39" s="169"/>
      <c r="AA39" s="169"/>
      <c r="AB39" s="169"/>
      <c r="AC39" s="169"/>
      <c r="AD39" s="169"/>
      <c r="AE39" s="169"/>
      <c r="AF39" s="169"/>
      <c r="AG39" s="169"/>
      <c r="AH39" s="169"/>
      <c r="AI39" s="169"/>
      <c r="AJ39" s="169"/>
      <c r="AK39" s="169"/>
      <c r="AL39" s="169"/>
      <c r="AM39" s="169"/>
      <c r="AN39" s="169"/>
      <c r="AO39" s="169"/>
      <c r="AP39" s="169"/>
      <c r="AQ39" s="169"/>
      <c r="AR39" s="169"/>
      <c r="AS39" s="169"/>
      <c r="AT39" s="169"/>
      <c r="AU39" s="169"/>
      <c r="AV39" s="169"/>
      <c r="AW39" s="169"/>
      <c r="AX39" s="169"/>
      <c r="AY39" s="169"/>
      <c r="AZ39" s="169"/>
      <c r="BA39" s="169"/>
      <c r="BB39" s="169"/>
      <c r="BC39" s="169"/>
      <c r="BD39" s="169"/>
      <c r="BE39" s="169"/>
      <c r="BF39" s="169"/>
      <c r="BG39" s="169"/>
      <c r="BH39" s="169"/>
      <c r="BI39" s="169"/>
      <c r="BJ39" s="169"/>
      <c r="BK39" s="169"/>
      <c r="BL39" s="169"/>
      <c r="BM39" s="169"/>
      <c r="BN39" s="169"/>
      <c r="BO39" s="169"/>
      <c r="BP39" s="169"/>
      <c r="BQ39" s="169"/>
      <c r="BR39" s="169"/>
    </row>
    <row r="40" spans="1:70" s="170" customFormat="1" ht="48.75" customHeight="1" x14ac:dyDescent="0.3">
      <c r="A40" s="311"/>
      <c r="B40" s="281"/>
      <c r="C40" s="282"/>
      <c r="D40" s="283"/>
      <c r="E40" s="283"/>
      <c r="F40" s="280"/>
      <c r="G40" s="280"/>
      <c r="H40" s="280"/>
      <c r="I40" s="280"/>
      <c r="J40" s="280"/>
      <c r="K40" s="280"/>
      <c r="L40" s="280"/>
      <c r="M40" s="280"/>
      <c r="N40" s="169"/>
      <c r="O40" s="169"/>
      <c r="P40" s="169"/>
      <c r="Q40" s="169"/>
      <c r="R40" s="169"/>
      <c r="S40" s="169"/>
      <c r="T40" s="169"/>
      <c r="U40" s="169"/>
      <c r="V40" s="169"/>
      <c r="W40" s="169"/>
      <c r="X40" s="169"/>
      <c r="Y40" s="169"/>
      <c r="Z40" s="169"/>
      <c r="AA40" s="169"/>
      <c r="AB40" s="169"/>
      <c r="AC40" s="169"/>
      <c r="AD40" s="169"/>
      <c r="AE40" s="169"/>
      <c r="AF40" s="169"/>
      <c r="AG40" s="169"/>
      <c r="AH40" s="169"/>
      <c r="AI40" s="169"/>
      <c r="AJ40" s="169"/>
      <c r="AK40" s="169"/>
      <c r="AL40" s="169"/>
      <c r="AM40" s="169"/>
      <c r="AN40" s="169"/>
      <c r="AO40" s="169"/>
      <c r="AP40" s="169"/>
      <c r="AQ40" s="169"/>
      <c r="AR40" s="169"/>
      <c r="AS40" s="169"/>
      <c r="AT40" s="169"/>
      <c r="AU40" s="169"/>
      <c r="AV40" s="169"/>
      <c r="AW40" s="169"/>
      <c r="AX40" s="169"/>
      <c r="AY40" s="169"/>
      <c r="AZ40" s="169"/>
      <c r="BA40" s="169"/>
      <c r="BB40" s="169"/>
      <c r="BC40" s="169"/>
      <c r="BD40" s="169"/>
      <c r="BE40" s="169"/>
      <c r="BF40" s="169"/>
      <c r="BG40" s="169"/>
      <c r="BH40" s="169"/>
      <c r="BI40" s="169"/>
      <c r="BJ40" s="169"/>
      <c r="BK40" s="169"/>
      <c r="BL40" s="169"/>
      <c r="BM40" s="169"/>
      <c r="BN40" s="169"/>
      <c r="BO40" s="169"/>
      <c r="BP40" s="169"/>
      <c r="BQ40" s="169"/>
      <c r="BR40" s="169"/>
    </row>
    <row r="41" spans="1:70" s="170" customFormat="1" ht="48.75" customHeight="1" x14ac:dyDescent="0.3">
      <c r="A41" s="311"/>
      <c r="B41" s="281"/>
      <c r="C41" s="282"/>
      <c r="D41" s="283"/>
      <c r="E41" s="283"/>
      <c r="F41" s="280"/>
      <c r="G41" s="280"/>
      <c r="H41" s="280"/>
      <c r="I41" s="280"/>
      <c r="J41" s="280"/>
      <c r="K41" s="280"/>
      <c r="L41" s="280"/>
      <c r="M41" s="280"/>
      <c r="N41" s="169"/>
      <c r="O41" s="169"/>
      <c r="P41" s="169"/>
      <c r="Q41" s="169"/>
      <c r="R41" s="169"/>
      <c r="S41" s="169"/>
      <c r="T41" s="169"/>
      <c r="U41" s="169"/>
      <c r="V41" s="169"/>
      <c r="W41" s="169"/>
      <c r="X41" s="169"/>
      <c r="Y41" s="169"/>
      <c r="Z41" s="169"/>
      <c r="AA41" s="169"/>
      <c r="AB41" s="169"/>
      <c r="AC41" s="169"/>
      <c r="AD41" s="169"/>
      <c r="AE41" s="169"/>
      <c r="AF41" s="169"/>
      <c r="AG41" s="169"/>
      <c r="AH41" s="169"/>
      <c r="AI41" s="169"/>
      <c r="AJ41" s="169"/>
      <c r="AK41" s="169"/>
      <c r="AL41" s="169"/>
      <c r="AM41" s="169"/>
      <c r="AN41" s="169"/>
      <c r="AO41" s="169"/>
      <c r="AP41" s="169"/>
      <c r="AQ41" s="169"/>
      <c r="AR41" s="169"/>
      <c r="AS41" s="169"/>
      <c r="AT41" s="169"/>
      <c r="AU41" s="169"/>
      <c r="AV41" s="169"/>
      <c r="AW41" s="169"/>
      <c r="AX41" s="169"/>
      <c r="AY41" s="169"/>
      <c r="AZ41" s="169"/>
      <c r="BA41" s="169"/>
      <c r="BB41" s="169"/>
      <c r="BC41" s="169"/>
      <c r="BD41" s="169"/>
      <c r="BE41" s="169"/>
      <c r="BF41" s="169"/>
      <c r="BG41" s="169"/>
      <c r="BH41" s="169"/>
      <c r="BI41" s="169"/>
      <c r="BJ41" s="169"/>
      <c r="BK41" s="169"/>
      <c r="BL41" s="169"/>
      <c r="BM41" s="169"/>
      <c r="BN41" s="169"/>
      <c r="BO41" s="169"/>
      <c r="BP41" s="169"/>
      <c r="BQ41" s="169"/>
      <c r="BR41" s="169"/>
    </row>
    <row r="42" spans="1:70" ht="48.75" customHeight="1" x14ac:dyDescent="0.3">
      <c r="A42" s="311"/>
      <c r="B42" s="281"/>
      <c r="C42" s="282"/>
      <c r="D42" s="283"/>
      <c r="E42" s="283"/>
      <c r="F42" s="280" t="str">
        <f t="shared" ref="F42:M57" si="2">IFERROR(IF($E42="","No",IF($E42="No","No"," "))," ")</f>
        <v>No</v>
      </c>
      <c r="G42" s="280" t="str">
        <f t="shared" si="2"/>
        <v>No</v>
      </c>
      <c r="H42" s="280" t="str">
        <f t="shared" si="2"/>
        <v>No</v>
      </c>
      <c r="I42" s="280" t="str">
        <f t="shared" si="2"/>
        <v>No</v>
      </c>
      <c r="J42" s="280" t="str">
        <f t="shared" si="2"/>
        <v>No</v>
      </c>
      <c r="K42" s="280" t="str">
        <f t="shared" si="2"/>
        <v>No</v>
      </c>
      <c r="L42" s="280" t="str">
        <f t="shared" si="2"/>
        <v>No</v>
      </c>
      <c r="M42" s="280" t="str">
        <f t="shared" si="2"/>
        <v>No</v>
      </c>
      <c r="N42" s="171"/>
      <c r="O42" s="171"/>
      <c r="P42" s="171"/>
      <c r="Q42" s="171"/>
      <c r="R42" s="171"/>
      <c r="S42" s="171"/>
      <c r="T42" s="171"/>
      <c r="U42" s="171"/>
      <c r="V42" s="171"/>
      <c r="W42" s="171"/>
      <c r="X42" s="171"/>
      <c r="Y42" s="171"/>
      <c r="Z42" s="171"/>
      <c r="AA42" s="171"/>
      <c r="AB42" s="171"/>
      <c r="AC42" s="171"/>
      <c r="AD42" s="171"/>
      <c r="AE42" s="171"/>
      <c r="AF42" s="171"/>
      <c r="AG42" s="171"/>
      <c r="AH42" s="171"/>
      <c r="AI42" s="171"/>
      <c r="AJ42" s="171"/>
      <c r="AK42" s="171"/>
      <c r="AL42" s="171"/>
      <c r="AM42" s="171"/>
      <c r="AN42" s="171"/>
      <c r="AO42" s="171"/>
      <c r="AP42" s="171"/>
      <c r="AQ42" s="171"/>
      <c r="AR42" s="171"/>
      <c r="AS42" s="171"/>
      <c r="AT42" s="171"/>
      <c r="AU42" s="171"/>
      <c r="AV42" s="171"/>
      <c r="AW42" s="171"/>
      <c r="AX42" s="171"/>
      <c r="AY42" s="171"/>
      <c r="AZ42" s="171"/>
      <c r="BA42" s="171"/>
      <c r="BB42" s="171"/>
      <c r="BC42" s="171"/>
      <c r="BD42" s="171"/>
      <c r="BE42" s="171"/>
      <c r="BF42" s="171"/>
      <c r="BG42" s="171"/>
      <c r="BH42" s="171"/>
      <c r="BI42" s="171"/>
      <c r="BJ42" s="171"/>
      <c r="BK42" s="171"/>
      <c r="BL42" s="171"/>
      <c r="BM42" s="171"/>
      <c r="BN42" s="171"/>
      <c r="BO42" s="171"/>
      <c r="BP42" s="171"/>
      <c r="BQ42" s="171"/>
      <c r="BR42" s="171"/>
    </row>
    <row r="43" spans="1:70" ht="48.75" customHeight="1" x14ac:dyDescent="0.3">
      <c r="A43" s="311"/>
      <c r="B43" s="281"/>
      <c r="C43" s="282"/>
      <c r="D43" s="283"/>
      <c r="E43" s="283"/>
      <c r="F43" s="280"/>
      <c r="G43" s="280"/>
      <c r="H43" s="280"/>
      <c r="I43" s="280"/>
      <c r="J43" s="280"/>
      <c r="K43" s="280"/>
      <c r="L43" s="280"/>
      <c r="M43" s="280"/>
      <c r="N43" s="171"/>
      <c r="O43" s="171"/>
      <c r="P43" s="171"/>
      <c r="Q43" s="171"/>
      <c r="R43" s="171"/>
      <c r="S43" s="171"/>
      <c r="T43" s="171"/>
      <c r="U43" s="171"/>
      <c r="V43" s="171"/>
      <c r="W43" s="171"/>
      <c r="X43" s="171"/>
      <c r="Y43" s="171"/>
      <c r="Z43" s="171"/>
      <c r="AA43" s="171"/>
      <c r="AB43" s="171"/>
      <c r="AC43" s="171"/>
      <c r="AD43" s="171"/>
      <c r="AE43" s="171"/>
      <c r="AF43" s="171"/>
      <c r="AG43" s="171"/>
      <c r="AH43" s="171"/>
      <c r="AI43" s="171"/>
      <c r="AJ43" s="171"/>
      <c r="AK43" s="171"/>
      <c r="AL43" s="171"/>
      <c r="AM43" s="171"/>
      <c r="AN43" s="171"/>
      <c r="AO43" s="171"/>
      <c r="AP43" s="171"/>
      <c r="AQ43" s="171"/>
      <c r="AR43" s="171"/>
      <c r="AS43" s="171"/>
      <c r="AT43" s="171"/>
      <c r="AU43" s="171"/>
      <c r="AV43" s="171"/>
      <c r="AW43" s="171"/>
      <c r="AX43" s="171"/>
      <c r="AY43" s="171"/>
      <c r="AZ43" s="171"/>
      <c r="BA43" s="171"/>
      <c r="BB43" s="171"/>
      <c r="BC43" s="171"/>
      <c r="BD43" s="171"/>
      <c r="BE43" s="171"/>
      <c r="BF43" s="171"/>
      <c r="BG43" s="171"/>
      <c r="BH43" s="171"/>
      <c r="BI43" s="171"/>
      <c r="BJ43" s="171"/>
      <c r="BK43" s="171"/>
      <c r="BL43" s="171"/>
      <c r="BM43" s="171"/>
      <c r="BN43" s="171"/>
      <c r="BO43" s="171"/>
      <c r="BP43" s="171"/>
      <c r="BQ43" s="171"/>
      <c r="BR43" s="171"/>
    </row>
    <row r="44" spans="1:70" ht="48.75" customHeight="1" x14ac:dyDescent="0.3">
      <c r="A44" s="311"/>
      <c r="B44" s="281"/>
      <c r="C44" s="282"/>
      <c r="D44" s="283"/>
      <c r="E44" s="283"/>
      <c r="F44" s="280"/>
      <c r="G44" s="280"/>
      <c r="H44" s="280"/>
      <c r="I44" s="280"/>
      <c r="J44" s="280"/>
      <c r="K44" s="280"/>
      <c r="L44" s="280"/>
      <c r="M44" s="280"/>
      <c r="N44" s="171"/>
      <c r="O44" s="171"/>
      <c r="P44" s="171"/>
      <c r="Q44" s="171"/>
      <c r="R44" s="171"/>
      <c r="S44" s="171"/>
      <c r="T44" s="171"/>
      <c r="U44" s="171"/>
      <c r="V44" s="171"/>
      <c r="W44" s="171"/>
      <c r="X44" s="171"/>
      <c r="Y44" s="171"/>
      <c r="Z44" s="171"/>
      <c r="AA44" s="171"/>
      <c r="AB44" s="171"/>
      <c r="AC44" s="171"/>
      <c r="AD44" s="171"/>
      <c r="AE44" s="171"/>
      <c r="AF44" s="171"/>
      <c r="AG44" s="171"/>
      <c r="AH44" s="171"/>
      <c r="AI44" s="171"/>
      <c r="AJ44" s="171"/>
      <c r="AK44" s="171"/>
      <c r="AL44" s="171"/>
      <c r="AM44" s="171"/>
      <c r="AN44" s="171"/>
      <c r="AO44" s="171"/>
      <c r="AP44" s="171"/>
      <c r="AQ44" s="171"/>
      <c r="AR44" s="171"/>
      <c r="AS44" s="171"/>
      <c r="AT44" s="171"/>
      <c r="AU44" s="171"/>
      <c r="AV44" s="171"/>
      <c r="AW44" s="171"/>
      <c r="AX44" s="171"/>
      <c r="AY44" s="171"/>
      <c r="AZ44" s="171"/>
      <c r="BA44" s="171"/>
      <c r="BB44" s="171"/>
      <c r="BC44" s="171"/>
      <c r="BD44" s="171"/>
      <c r="BE44" s="171"/>
      <c r="BF44" s="171"/>
      <c r="BG44" s="171"/>
      <c r="BH44" s="171"/>
      <c r="BI44" s="171"/>
      <c r="BJ44" s="171"/>
      <c r="BK44" s="171"/>
      <c r="BL44" s="171"/>
      <c r="BM44" s="171"/>
      <c r="BN44" s="171"/>
      <c r="BO44" s="171"/>
      <c r="BP44" s="171"/>
      <c r="BQ44" s="171"/>
      <c r="BR44" s="171"/>
    </row>
    <row r="45" spans="1:70" ht="48.75" customHeight="1" x14ac:dyDescent="0.3">
      <c r="A45" s="311"/>
      <c r="B45" s="281"/>
      <c r="C45" s="282"/>
      <c r="D45" s="283"/>
      <c r="E45" s="283"/>
      <c r="F45" s="280" t="str">
        <f t="shared" si="2"/>
        <v>No</v>
      </c>
      <c r="G45" s="280" t="str">
        <f t="shared" si="2"/>
        <v>No</v>
      </c>
      <c r="H45" s="280" t="str">
        <f t="shared" si="2"/>
        <v>No</v>
      </c>
      <c r="I45" s="280" t="str">
        <f t="shared" si="2"/>
        <v>No</v>
      </c>
      <c r="J45" s="280" t="str">
        <f t="shared" si="2"/>
        <v>No</v>
      </c>
      <c r="K45" s="280" t="str">
        <f t="shared" si="2"/>
        <v>No</v>
      </c>
      <c r="L45" s="280" t="str">
        <f t="shared" si="2"/>
        <v>No</v>
      </c>
      <c r="M45" s="280" t="str">
        <f t="shared" si="2"/>
        <v>No</v>
      </c>
      <c r="N45" s="171"/>
      <c r="O45" s="171"/>
      <c r="P45" s="171"/>
      <c r="Q45" s="171"/>
      <c r="R45" s="171"/>
      <c r="S45" s="171"/>
      <c r="T45" s="171"/>
      <c r="U45" s="171"/>
      <c r="V45" s="171"/>
      <c r="W45" s="171"/>
      <c r="X45" s="171"/>
      <c r="Y45" s="171"/>
      <c r="Z45" s="171"/>
      <c r="AA45" s="171"/>
      <c r="AB45" s="171"/>
      <c r="AC45" s="171"/>
      <c r="AD45" s="171"/>
      <c r="AE45" s="171"/>
      <c r="AF45" s="171"/>
      <c r="AG45" s="171"/>
      <c r="AH45" s="171"/>
      <c r="AI45" s="171"/>
      <c r="AJ45" s="171"/>
      <c r="AK45" s="171"/>
      <c r="AL45" s="171"/>
      <c r="AM45" s="171"/>
      <c r="AN45" s="171"/>
      <c r="AO45" s="171"/>
      <c r="AP45" s="171"/>
      <c r="AQ45" s="171"/>
      <c r="AR45" s="171"/>
      <c r="AS45" s="171"/>
      <c r="AT45" s="171"/>
      <c r="AU45" s="171"/>
      <c r="AV45" s="171"/>
      <c r="AW45" s="171"/>
      <c r="AX45" s="171"/>
      <c r="AY45" s="171"/>
      <c r="AZ45" s="171"/>
      <c r="BA45" s="171"/>
      <c r="BB45" s="171"/>
      <c r="BC45" s="171"/>
      <c r="BD45" s="171"/>
      <c r="BE45" s="171"/>
      <c r="BF45" s="171"/>
      <c r="BG45" s="171"/>
      <c r="BH45" s="171"/>
      <c r="BI45" s="171"/>
      <c r="BJ45" s="171"/>
      <c r="BK45" s="171"/>
      <c r="BL45" s="171"/>
      <c r="BM45" s="171"/>
      <c r="BN45" s="171"/>
      <c r="BO45" s="171"/>
      <c r="BP45" s="171"/>
      <c r="BQ45" s="171"/>
      <c r="BR45" s="171"/>
    </row>
    <row r="46" spans="1:70" ht="48.75" customHeight="1" x14ac:dyDescent="0.3">
      <c r="A46" s="311"/>
      <c r="B46" s="281"/>
      <c r="C46" s="282"/>
      <c r="D46" s="283"/>
      <c r="E46" s="283"/>
      <c r="F46" s="280"/>
      <c r="G46" s="280"/>
      <c r="H46" s="280"/>
      <c r="I46" s="280"/>
      <c r="J46" s="280"/>
      <c r="K46" s="280"/>
      <c r="L46" s="280"/>
      <c r="M46" s="280"/>
      <c r="N46" s="171"/>
      <c r="O46" s="171"/>
      <c r="P46" s="171"/>
      <c r="Q46" s="171"/>
      <c r="R46" s="171"/>
      <c r="S46" s="171"/>
      <c r="T46" s="171"/>
      <c r="U46" s="171"/>
      <c r="V46" s="171"/>
      <c r="W46" s="171"/>
      <c r="X46" s="171"/>
      <c r="Y46" s="171"/>
      <c r="Z46" s="171"/>
      <c r="AA46" s="171"/>
      <c r="AB46" s="171"/>
      <c r="AC46" s="171"/>
      <c r="AD46" s="171"/>
      <c r="AE46" s="171"/>
      <c r="AF46" s="171"/>
      <c r="AG46" s="171"/>
      <c r="AH46" s="171"/>
      <c r="AI46" s="171"/>
      <c r="AJ46" s="171"/>
      <c r="AK46" s="171"/>
      <c r="AL46" s="171"/>
      <c r="AM46" s="171"/>
      <c r="AN46" s="171"/>
      <c r="AO46" s="171"/>
      <c r="AP46" s="171"/>
      <c r="AQ46" s="171"/>
      <c r="AR46" s="171"/>
      <c r="AS46" s="171"/>
      <c r="AT46" s="171"/>
      <c r="AU46" s="171"/>
      <c r="AV46" s="171"/>
      <c r="AW46" s="171"/>
      <c r="AX46" s="171"/>
      <c r="AY46" s="171"/>
      <c r="AZ46" s="171"/>
      <c r="BA46" s="171"/>
      <c r="BB46" s="171"/>
      <c r="BC46" s="171"/>
      <c r="BD46" s="171"/>
      <c r="BE46" s="171"/>
      <c r="BF46" s="171"/>
      <c r="BG46" s="171"/>
      <c r="BH46" s="171"/>
      <c r="BI46" s="171"/>
      <c r="BJ46" s="171"/>
      <c r="BK46" s="171"/>
      <c r="BL46" s="171"/>
      <c r="BM46" s="171"/>
      <c r="BN46" s="171"/>
      <c r="BO46" s="171"/>
      <c r="BP46" s="171"/>
      <c r="BQ46" s="171"/>
      <c r="BR46" s="171"/>
    </row>
    <row r="47" spans="1:70" ht="48.75" customHeight="1" x14ac:dyDescent="0.3">
      <c r="A47" s="311"/>
      <c r="B47" s="281"/>
      <c r="C47" s="282"/>
      <c r="D47" s="283"/>
      <c r="E47" s="283"/>
      <c r="F47" s="280"/>
      <c r="G47" s="280"/>
      <c r="H47" s="280"/>
      <c r="I47" s="280"/>
      <c r="J47" s="280"/>
      <c r="K47" s="280"/>
      <c r="L47" s="280"/>
      <c r="M47" s="280"/>
      <c r="N47" s="171"/>
      <c r="O47" s="171"/>
      <c r="P47" s="171"/>
      <c r="Q47" s="171"/>
      <c r="R47" s="171"/>
      <c r="S47" s="171"/>
      <c r="T47" s="171"/>
      <c r="U47" s="171"/>
      <c r="V47" s="171"/>
      <c r="W47" s="171"/>
      <c r="X47" s="171"/>
      <c r="Y47" s="171"/>
      <c r="Z47" s="171"/>
      <c r="AA47" s="171"/>
      <c r="AB47" s="171"/>
      <c r="AC47" s="171"/>
      <c r="AD47" s="171"/>
      <c r="AE47" s="171"/>
      <c r="AF47" s="171"/>
      <c r="AG47" s="171"/>
      <c r="AH47" s="171"/>
      <c r="AI47" s="171"/>
      <c r="AJ47" s="171"/>
      <c r="AK47" s="171"/>
      <c r="AL47" s="171"/>
      <c r="AM47" s="171"/>
      <c r="AN47" s="171"/>
      <c r="AO47" s="171"/>
      <c r="AP47" s="171"/>
      <c r="AQ47" s="171"/>
      <c r="AR47" s="171"/>
      <c r="AS47" s="171"/>
      <c r="AT47" s="171"/>
      <c r="AU47" s="171"/>
      <c r="AV47" s="171"/>
      <c r="AW47" s="171"/>
      <c r="AX47" s="171"/>
      <c r="AY47" s="171"/>
      <c r="AZ47" s="171"/>
      <c r="BA47" s="171"/>
      <c r="BB47" s="171"/>
      <c r="BC47" s="171"/>
      <c r="BD47" s="171"/>
      <c r="BE47" s="171"/>
      <c r="BF47" s="171"/>
      <c r="BG47" s="171"/>
      <c r="BH47" s="171"/>
      <c r="BI47" s="171"/>
      <c r="BJ47" s="171"/>
      <c r="BK47" s="171"/>
      <c r="BL47" s="171"/>
      <c r="BM47" s="171"/>
      <c r="BN47" s="171"/>
      <c r="BO47" s="171"/>
      <c r="BP47" s="171"/>
      <c r="BQ47" s="171"/>
      <c r="BR47" s="171"/>
    </row>
    <row r="48" spans="1:70" ht="48.75" customHeight="1" x14ac:dyDescent="0.3">
      <c r="A48" s="311"/>
      <c r="B48" s="281"/>
      <c r="C48" s="282"/>
      <c r="D48" s="283"/>
      <c r="E48" s="283"/>
      <c r="F48" s="280" t="str">
        <f t="shared" si="2"/>
        <v>No</v>
      </c>
      <c r="G48" s="280" t="str">
        <f t="shared" si="2"/>
        <v>No</v>
      </c>
      <c r="H48" s="280" t="str">
        <f t="shared" si="2"/>
        <v>No</v>
      </c>
      <c r="I48" s="280" t="str">
        <f t="shared" si="2"/>
        <v>No</v>
      </c>
      <c r="J48" s="280" t="str">
        <f t="shared" si="2"/>
        <v>No</v>
      </c>
      <c r="K48" s="280" t="str">
        <f t="shared" si="2"/>
        <v>No</v>
      </c>
      <c r="L48" s="280" t="str">
        <f t="shared" si="2"/>
        <v>No</v>
      </c>
      <c r="M48" s="280" t="str">
        <f t="shared" si="2"/>
        <v>No</v>
      </c>
      <c r="N48" s="171"/>
      <c r="O48" s="171"/>
      <c r="P48" s="171"/>
      <c r="Q48" s="171"/>
      <c r="R48" s="171"/>
      <c r="S48" s="171"/>
      <c r="T48" s="171"/>
      <c r="U48" s="171"/>
      <c r="V48" s="171"/>
      <c r="W48" s="171"/>
      <c r="X48" s="171"/>
      <c r="Y48" s="171"/>
      <c r="Z48" s="171"/>
      <c r="AA48" s="171"/>
      <c r="AB48" s="171"/>
      <c r="AC48" s="171"/>
      <c r="AD48" s="171"/>
      <c r="AE48" s="171"/>
      <c r="AF48" s="171"/>
      <c r="AG48" s="171"/>
      <c r="AH48" s="171"/>
      <c r="AI48" s="171"/>
      <c r="AJ48" s="171"/>
      <c r="AK48" s="171"/>
      <c r="AL48" s="171"/>
      <c r="AM48" s="171"/>
      <c r="AN48" s="171"/>
      <c r="AO48" s="171"/>
      <c r="AP48" s="171"/>
      <c r="AQ48" s="171"/>
      <c r="AR48" s="171"/>
      <c r="AS48" s="171"/>
      <c r="AT48" s="171"/>
      <c r="AU48" s="171"/>
      <c r="AV48" s="171"/>
      <c r="AW48" s="171"/>
      <c r="AX48" s="171"/>
      <c r="AY48" s="171"/>
      <c r="AZ48" s="171"/>
      <c r="BA48" s="171"/>
      <c r="BB48" s="171"/>
      <c r="BC48" s="171"/>
      <c r="BD48" s="171"/>
      <c r="BE48" s="171"/>
      <c r="BF48" s="171"/>
      <c r="BG48" s="171"/>
      <c r="BH48" s="171"/>
      <c r="BI48" s="171"/>
      <c r="BJ48" s="171"/>
      <c r="BK48" s="171"/>
      <c r="BL48" s="171"/>
      <c r="BM48" s="171"/>
      <c r="BN48" s="171"/>
      <c r="BO48" s="171"/>
      <c r="BP48" s="171"/>
      <c r="BQ48" s="171"/>
      <c r="BR48" s="171"/>
    </row>
    <row r="49" spans="1:70" ht="48.75" customHeight="1" x14ac:dyDescent="0.3">
      <c r="A49" s="311"/>
      <c r="B49" s="281"/>
      <c r="C49" s="282"/>
      <c r="D49" s="283"/>
      <c r="E49" s="283"/>
      <c r="F49" s="280"/>
      <c r="G49" s="280"/>
      <c r="H49" s="280"/>
      <c r="I49" s="280"/>
      <c r="J49" s="280"/>
      <c r="K49" s="280"/>
      <c r="L49" s="280"/>
      <c r="M49" s="280"/>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1"/>
      <c r="BE49" s="171"/>
      <c r="BF49" s="171"/>
      <c r="BG49" s="171"/>
      <c r="BH49" s="171"/>
      <c r="BI49" s="171"/>
      <c r="BJ49" s="171"/>
      <c r="BK49" s="171"/>
      <c r="BL49" s="171"/>
      <c r="BM49" s="171"/>
      <c r="BN49" s="171"/>
      <c r="BO49" s="171"/>
      <c r="BP49" s="171"/>
      <c r="BQ49" s="171"/>
      <c r="BR49" s="171"/>
    </row>
    <row r="50" spans="1:70" ht="48.75" customHeight="1" x14ac:dyDescent="0.3">
      <c r="A50" s="311"/>
      <c r="B50" s="281"/>
      <c r="C50" s="282"/>
      <c r="D50" s="283"/>
      <c r="E50" s="283"/>
      <c r="F50" s="280"/>
      <c r="G50" s="280"/>
      <c r="H50" s="280"/>
      <c r="I50" s="280"/>
      <c r="J50" s="280"/>
      <c r="K50" s="280"/>
      <c r="L50" s="280"/>
      <c r="M50" s="280"/>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1"/>
      <c r="BE50" s="171"/>
      <c r="BF50" s="171"/>
      <c r="BG50" s="171"/>
      <c r="BH50" s="171"/>
      <c r="BI50" s="171"/>
      <c r="BJ50" s="171"/>
      <c r="BK50" s="171"/>
      <c r="BL50" s="171"/>
      <c r="BM50" s="171"/>
      <c r="BN50" s="171"/>
      <c r="BO50" s="171"/>
      <c r="BP50" s="171"/>
      <c r="BQ50" s="171"/>
      <c r="BR50" s="171"/>
    </row>
    <row r="51" spans="1:70" ht="48.75" customHeight="1" x14ac:dyDescent="0.3">
      <c r="A51" s="311"/>
      <c r="B51" s="281"/>
      <c r="C51" s="282"/>
      <c r="D51" s="283"/>
      <c r="E51" s="283"/>
      <c r="F51" s="280" t="str">
        <f t="shared" si="2"/>
        <v>No</v>
      </c>
      <c r="G51" s="280" t="str">
        <f t="shared" si="2"/>
        <v>No</v>
      </c>
      <c r="H51" s="280" t="str">
        <f t="shared" si="2"/>
        <v>No</v>
      </c>
      <c r="I51" s="280" t="str">
        <f t="shared" si="2"/>
        <v>No</v>
      </c>
      <c r="J51" s="280" t="str">
        <f t="shared" si="2"/>
        <v>No</v>
      </c>
      <c r="K51" s="280" t="str">
        <f t="shared" si="2"/>
        <v>No</v>
      </c>
      <c r="L51" s="280" t="str">
        <f t="shared" si="2"/>
        <v>No</v>
      </c>
      <c r="M51" s="280" t="str">
        <f t="shared" si="2"/>
        <v>No</v>
      </c>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1"/>
      <c r="BE51" s="171"/>
      <c r="BF51" s="171"/>
      <c r="BG51" s="171"/>
      <c r="BH51" s="171"/>
      <c r="BI51" s="171"/>
      <c r="BJ51" s="171"/>
      <c r="BK51" s="171"/>
      <c r="BL51" s="171"/>
      <c r="BM51" s="171"/>
      <c r="BN51" s="171"/>
      <c r="BO51" s="171"/>
      <c r="BP51" s="171"/>
      <c r="BQ51" s="171"/>
      <c r="BR51" s="171"/>
    </row>
    <row r="52" spans="1:70" ht="48.75" customHeight="1" x14ac:dyDescent="0.3">
      <c r="A52" s="311"/>
      <c r="B52" s="281"/>
      <c r="C52" s="282"/>
      <c r="D52" s="283"/>
      <c r="E52" s="283"/>
      <c r="F52" s="280"/>
      <c r="G52" s="280"/>
      <c r="H52" s="280"/>
      <c r="I52" s="280"/>
      <c r="J52" s="280"/>
      <c r="K52" s="280"/>
      <c r="L52" s="280"/>
      <c r="M52" s="280"/>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1"/>
      <c r="BE52" s="171"/>
      <c r="BF52" s="171"/>
      <c r="BG52" s="171"/>
      <c r="BH52" s="171"/>
      <c r="BI52" s="171"/>
      <c r="BJ52" s="171"/>
      <c r="BK52" s="171"/>
      <c r="BL52" s="171"/>
      <c r="BM52" s="171"/>
      <c r="BN52" s="171"/>
      <c r="BO52" s="171"/>
      <c r="BP52" s="171"/>
      <c r="BQ52" s="171"/>
      <c r="BR52" s="171"/>
    </row>
    <row r="53" spans="1:70" ht="48.75" customHeight="1" x14ac:dyDescent="0.3">
      <c r="A53" s="311"/>
      <c r="B53" s="281"/>
      <c r="C53" s="282"/>
      <c r="D53" s="283"/>
      <c r="E53" s="283"/>
      <c r="F53" s="280"/>
      <c r="G53" s="280"/>
      <c r="H53" s="280"/>
      <c r="I53" s="280"/>
      <c r="J53" s="280"/>
      <c r="K53" s="280"/>
      <c r="L53" s="280"/>
      <c r="M53" s="280"/>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c r="BF53" s="171"/>
      <c r="BG53" s="171"/>
      <c r="BH53" s="171"/>
      <c r="BI53" s="171"/>
      <c r="BJ53" s="171"/>
      <c r="BK53" s="171"/>
      <c r="BL53" s="171"/>
      <c r="BM53" s="171"/>
      <c r="BN53" s="171"/>
      <c r="BO53" s="171"/>
      <c r="BP53" s="171"/>
      <c r="BQ53" s="171"/>
      <c r="BR53" s="171"/>
    </row>
    <row r="54" spans="1:70" ht="48.75" customHeight="1" x14ac:dyDescent="0.3">
      <c r="A54" s="311"/>
      <c r="B54" s="281"/>
      <c r="C54" s="282"/>
      <c r="D54" s="283"/>
      <c r="E54" s="283"/>
      <c r="F54" s="280" t="str">
        <f t="shared" si="2"/>
        <v>No</v>
      </c>
      <c r="G54" s="280" t="str">
        <f t="shared" si="2"/>
        <v>No</v>
      </c>
      <c r="H54" s="280" t="str">
        <f t="shared" si="2"/>
        <v>No</v>
      </c>
      <c r="I54" s="280" t="str">
        <f t="shared" si="2"/>
        <v>No</v>
      </c>
      <c r="J54" s="280" t="str">
        <f t="shared" si="2"/>
        <v>No</v>
      </c>
      <c r="K54" s="280" t="str">
        <f t="shared" si="2"/>
        <v>No</v>
      </c>
      <c r="L54" s="280" t="str">
        <f t="shared" si="2"/>
        <v>No</v>
      </c>
      <c r="M54" s="280" t="str">
        <f t="shared" si="2"/>
        <v>No</v>
      </c>
      <c r="N54" s="171"/>
      <c r="O54" s="171"/>
      <c r="P54" s="171"/>
      <c r="Q54" s="171"/>
      <c r="R54" s="171"/>
      <c r="S54" s="171"/>
      <c r="T54" s="171"/>
      <c r="U54" s="171"/>
      <c r="V54" s="171"/>
      <c r="W54" s="171"/>
      <c r="X54" s="171"/>
      <c r="Y54" s="171"/>
      <c r="Z54" s="171"/>
      <c r="AA54" s="171"/>
      <c r="AB54" s="171"/>
      <c r="AC54" s="171"/>
      <c r="AD54" s="171"/>
      <c r="AE54" s="171"/>
      <c r="AF54" s="171"/>
      <c r="AG54" s="171"/>
      <c r="AH54" s="171"/>
      <c r="AI54" s="171"/>
      <c r="AJ54" s="171"/>
      <c r="AK54" s="171"/>
      <c r="AL54" s="171"/>
      <c r="AM54" s="171"/>
      <c r="AN54" s="171"/>
      <c r="AO54" s="171"/>
      <c r="AP54" s="171"/>
      <c r="AQ54" s="171"/>
      <c r="AR54" s="171"/>
      <c r="AS54" s="171"/>
      <c r="AT54" s="171"/>
      <c r="AU54" s="171"/>
      <c r="AV54" s="171"/>
      <c r="AW54" s="171"/>
      <c r="AX54" s="171"/>
      <c r="AY54" s="171"/>
      <c r="AZ54" s="171"/>
      <c r="BA54" s="171"/>
      <c r="BB54" s="171"/>
      <c r="BC54" s="171"/>
      <c r="BD54" s="171"/>
      <c r="BE54" s="171"/>
      <c r="BF54" s="171"/>
      <c r="BG54" s="171"/>
      <c r="BH54" s="171"/>
      <c r="BI54" s="171"/>
      <c r="BJ54" s="171"/>
      <c r="BK54" s="171"/>
      <c r="BL54" s="171"/>
      <c r="BM54" s="171"/>
      <c r="BN54" s="171"/>
      <c r="BO54" s="171"/>
      <c r="BP54" s="171"/>
      <c r="BQ54" s="171"/>
      <c r="BR54" s="171"/>
    </row>
    <row r="55" spans="1:70" ht="48.75" customHeight="1" x14ac:dyDescent="0.3">
      <c r="A55" s="311"/>
      <c r="B55" s="281"/>
      <c r="C55" s="282"/>
      <c r="D55" s="283"/>
      <c r="E55" s="283"/>
      <c r="F55" s="280"/>
      <c r="G55" s="280"/>
      <c r="H55" s="280"/>
      <c r="I55" s="280"/>
      <c r="J55" s="280"/>
      <c r="K55" s="280"/>
      <c r="L55" s="280"/>
      <c r="M55" s="280"/>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1"/>
      <c r="BE55" s="171"/>
      <c r="BF55" s="171"/>
      <c r="BG55" s="171"/>
      <c r="BH55" s="171"/>
      <c r="BI55" s="171"/>
      <c r="BJ55" s="171"/>
      <c r="BK55" s="171"/>
      <c r="BL55" s="171"/>
      <c r="BM55" s="171"/>
      <c r="BN55" s="171"/>
      <c r="BO55" s="171"/>
      <c r="BP55" s="171"/>
      <c r="BQ55" s="171"/>
      <c r="BR55" s="171"/>
    </row>
    <row r="56" spans="1:70" ht="48.75" customHeight="1" x14ac:dyDescent="0.3">
      <c r="A56" s="311"/>
      <c r="B56" s="281"/>
      <c r="C56" s="282"/>
      <c r="D56" s="283"/>
      <c r="E56" s="283"/>
      <c r="F56" s="280"/>
      <c r="G56" s="280"/>
      <c r="H56" s="280"/>
      <c r="I56" s="280"/>
      <c r="J56" s="280"/>
      <c r="K56" s="280"/>
      <c r="L56" s="280"/>
      <c r="M56" s="280"/>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1"/>
      <c r="BE56" s="171"/>
      <c r="BF56" s="171"/>
      <c r="BG56" s="171"/>
      <c r="BH56" s="171"/>
      <c r="BI56" s="171"/>
      <c r="BJ56" s="171"/>
      <c r="BK56" s="171"/>
      <c r="BL56" s="171"/>
      <c r="BM56" s="171"/>
      <c r="BN56" s="171"/>
      <c r="BO56" s="171"/>
      <c r="BP56" s="171"/>
      <c r="BQ56" s="171"/>
      <c r="BR56" s="171"/>
    </row>
    <row r="57" spans="1:70" ht="48.75" customHeight="1" x14ac:dyDescent="0.3">
      <c r="A57" s="311"/>
      <c r="B57" s="281"/>
      <c r="C57" s="282"/>
      <c r="D57" s="283"/>
      <c r="E57" s="283"/>
      <c r="F57" s="280" t="str">
        <f t="shared" si="2"/>
        <v>No</v>
      </c>
      <c r="G57" s="280" t="str">
        <f t="shared" si="2"/>
        <v>No</v>
      </c>
      <c r="H57" s="280" t="str">
        <f t="shared" si="2"/>
        <v>No</v>
      </c>
      <c r="I57" s="280" t="str">
        <f t="shared" si="2"/>
        <v>No</v>
      </c>
      <c r="J57" s="280" t="str">
        <f t="shared" si="2"/>
        <v>No</v>
      </c>
      <c r="K57" s="280" t="str">
        <f t="shared" si="2"/>
        <v>No</v>
      </c>
      <c r="L57" s="280" t="str">
        <f t="shared" si="2"/>
        <v>No</v>
      </c>
      <c r="M57" s="280" t="str">
        <f t="shared" si="2"/>
        <v>No</v>
      </c>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1"/>
      <c r="BE57" s="171"/>
      <c r="BF57" s="171"/>
      <c r="BG57" s="171"/>
      <c r="BH57" s="171"/>
      <c r="BI57" s="171"/>
      <c r="BJ57" s="171"/>
      <c r="BK57" s="171"/>
      <c r="BL57" s="171"/>
      <c r="BM57" s="171"/>
      <c r="BN57" s="171"/>
      <c r="BO57" s="171"/>
      <c r="BP57" s="171"/>
      <c r="BQ57" s="171"/>
      <c r="BR57" s="171"/>
    </row>
    <row r="58" spans="1:70" ht="48.75" customHeight="1" x14ac:dyDescent="0.3">
      <c r="A58" s="311"/>
      <c r="B58" s="281"/>
      <c r="C58" s="282"/>
      <c r="D58" s="283"/>
      <c r="E58" s="283"/>
      <c r="F58" s="280"/>
      <c r="G58" s="280"/>
      <c r="H58" s="280"/>
      <c r="I58" s="280"/>
      <c r="J58" s="280"/>
      <c r="K58" s="280"/>
      <c r="L58" s="280"/>
      <c r="M58" s="280"/>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1"/>
      <c r="BE58" s="171"/>
      <c r="BF58" s="171"/>
      <c r="BG58" s="171"/>
      <c r="BH58" s="171"/>
      <c r="BI58" s="171"/>
      <c r="BJ58" s="171"/>
      <c r="BK58" s="171"/>
      <c r="BL58" s="171"/>
      <c r="BM58" s="171"/>
      <c r="BN58" s="171"/>
      <c r="BO58" s="171"/>
      <c r="BP58" s="171"/>
      <c r="BQ58" s="171"/>
      <c r="BR58" s="171"/>
    </row>
    <row r="59" spans="1:70" ht="48.75" customHeight="1" x14ac:dyDescent="0.3">
      <c r="A59" s="311"/>
      <c r="B59" s="281"/>
      <c r="C59" s="282"/>
      <c r="D59" s="283"/>
      <c r="E59" s="283"/>
      <c r="F59" s="280"/>
      <c r="G59" s="280"/>
      <c r="H59" s="280"/>
      <c r="I59" s="280"/>
      <c r="J59" s="280"/>
      <c r="K59" s="280"/>
      <c r="L59" s="280"/>
      <c r="M59" s="280"/>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1"/>
      <c r="BE59" s="171"/>
      <c r="BF59" s="171"/>
      <c r="BG59" s="171"/>
      <c r="BH59" s="171"/>
      <c r="BI59" s="171"/>
      <c r="BJ59" s="171"/>
      <c r="BK59" s="171"/>
      <c r="BL59" s="171"/>
      <c r="BM59" s="171"/>
      <c r="BN59" s="171"/>
      <c r="BO59" s="171"/>
      <c r="BP59" s="171"/>
      <c r="BQ59" s="171"/>
      <c r="BR59" s="171"/>
    </row>
    <row r="60" spans="1:70" ht="48.75" customHeight="1" x14ac:dyDescent="0.3">
      <c r="A60" s="311"/>
      <c r="B60" s="281"/>
      <c r="C60" s="282"/>
      <c r="D60" s="283"/>
      <c r="E60" s="283"/>
      <c r="F60" s="280" t="str">
        <f t="shared" ref="F60:F69" si="3">IFERROR(IF($E60="","No",IF($E60="No","No"," "))," ")</f>
        <v>No</v>
      </c>
      <c r="G60" s="280" t="str">
        <f t="shared" ref="G60:M60" si="4">IFERROR(IF($E60="","No",IF($E60="No","No"," "))," ")</f>
        <v>No</v>
      </c>
      <c r="H60" s="280" t="str">
        <f t="shared" si="4"/>
        <v>No</v>
      </c>
      <c r="I60" s="280" t="str">
        <f t="shared" si="4"/>
        <v>No</v>
      </c>
      <c r="J60" s="280" t="str">
        <f t="shared" si="4"/>
        <v>No</v>
      </c>
      <c r="K60" s="280" t="str">
        <f t="shared" si="4"/>
        <v>No</v>
      </c>
      <c r="L60" s="280" t="str">
        <f t="shared" si="4"/>
        <v>No</v>
      </c>
      <c r="M60" s="280" t="str">
        <f t="shared" si="4"/>
        <v>No</v>
      </c>
      <c r="N60" s="171"/>
      <c r="O60" s="171"/>
      <c r="P60" s="171"/>
      <c r="Q60" s="171"/>
      <c r="R60" s="171"/>
      <c r="S60" s="171"/>
      <c r="T60" s="171"/>
      <c r="U60" s="171"/>
      <c r="V60" s="171"/>
      <c r="W60" s="171"/>
      <c r="X60" s="171"/>
      <c r="Y60" s="171"/>
      <c r="Z60" s="171"/>
      <c r="AA60" s="171"/>
      <c r="AB60" s="171"/>
      <c r="AC60" s="171"/>
      <c r="AD60" s="171"/>
      <c r="AE60" s="171"/>
      <c r="AF60" s="171"/>
      <c r="AG60" s="171"/>
      <c r="AH60" s="171"/>
      <c r="AI60" s="171"/>
      <c r="AJ60" s="171"/>
      <c r="AK60" s="171"/>
      <c r="AL60" s="171"/>
      <c r="AM60" s="171"/>
      <c r="AN60" s="171"/>
      <c r="AO60" s="171"/>
      <c r="AP60" s="171"/>
      <c r="AQ60" s="171"/>
      <c r="AR60" s="171"/>
      <c r="AS60" s="171"/>
      <c r="AT60" s="171"/>
      <c r="AU60" s="171"/>
      <c r="AV60" s="171"/>
      <c r="AW60" s="171"/>
      <c r="AX60" s="171"/>
      <c r="AY60" s="171"/>
      <c r="AZ60" s="171"/>
      <c r="BA60" s="171"/>
      <c r="BB60" s="171"/>
      <c r="BC60" s="171"/>
      <c r="BD60" s="171"/>
      <c r="BE60" s="171"/>
      <c r="BF60" s="171"/>
      <c r="BG60" s="171"/>
      <c r="BH60" s="171"/>
      <c r="BI60" s="171"/>
      <c r="BJ60" s="171"/>
      <c r="BK60" s="171"/>
      <c r="BL60" s="171"/>
      <c r="BM60" s="171"/>
      <c r="BN60" s="171"/>
      <c r="BO60" s="171"/>
      <c r="BP60" s="171"/>
      <c r="BQ60" s="171"/>
      <c r="BR60" s="171"/>
    </row>
    <row r="61" spans="1:70" ht="48.75" customHeight="1" x14ac:dyDescent="0.3">
      <c r="A61" s="311"/>
      <c r="B61" s="281"/>
      <c r="C61" s="282"/>
      <c r="D61" s="283"/>
      <c r="E61" s="283"/>
      <c r="F61" s="280"/>
      <c r="G61" s="280"/>
      <c r="H61" s="280"/>
      <c r="I61" s="280"/>
      <c r="J61" s="280"/>
      <c r="K61" s="280"/>
      <c r="L61" s="280"/>
      <c r="M61" s="280"/>
      <c r="N61" s="171"/>
      <c r="O61" s="171"/>
      <c r="P61" s="171"/>
      <c r="Q61" s="171"/>
      <c r="R61" s="171"/>
      <c r="S61" s="171"/>
      <c r="T61" s="171"/>
      <c r="U61" s="171"/>
      <c r="V61" s="171"/>
      <c r="W61" s="171"/>
      <c r="X61" s="171"/>
      <c r="Y61" s="171"/>
      <c r="Z61" s="171"/>
      <c r="AA61" s="171"/>
      <c r="AB61" s="171"/>
      <c r="AC61" s="171"/>
      <c r="AD61" s="171"/>
      <c r="AE61" s="171"/>
      <c r="AF61" s="171"/>
      <c r="AG61" s="171"/>
      <c r="AH61" s="171"/>
      <c r="AI61" s="171"/>
      <c r="AJ61" s="171"/>
      <c r="AK61" s="171"/>
      <c r="AL61" s="171"/>
      <c r="AM61" s="171"/>
      <c r="AN61" s="171"/>
      <c r="AO61" s="171"/>
      <c r="AP61" s="171"/>
      <c r="AQ61" s="171"/>
      <c r="AR61" s="171"/>
      <c r="AS61" s="171"/>
      <c r="AT61" s="171"/>
      <c r="AU61" s="171"/>
      <c r="AV61" s="171"/>
      <c r="AW61" s="171"/>
      <c r="AX61" s="171"/>
      <c r="AY61" s="171"/>
      <c r="AZ61" s="171"/>
      <c r="BA61" s="171"/>
      <c r="BB61" s="171"/>
      <c r="BC61" s="171"/>
      <c r="BD61" s="171"/>
      <c r="BE61" s="171"/>
      <c r="BF61" s="171"/>
      <c r="BG61" s="171"/>
      <c r="BH61" s="171"/>
      <c r="BI61" s="171"/>
      <c r="BJ61" s="171"/>
      <c r="BK61" s="171"/>
      <c r="BL61" s="171"/>
      <c r="BM61" s="171"/>
      <c r="BN61" s="171"/>
      <c r="BO61" s="171"/>
      <c r="BP61" s="171"/>
      <c r="BQ61" s="171"/>
      <c r="BR61" s="171"/>
    </row>
    <row r="62" spans="1:70" ht="48.75" customHeight="1" x14ac:dyDescent="0.3">
      <c r="A62" s="311"/>
      <c r="B62" s="281"/>
      <c r="C62" s="282"/>
      <c r="D62" s="283"/>
      <c r="E62" s="283"/>
      <c r="F62" s="280"/>
      <c r="G62" s="280"/>
      <c r="H62" s="280"/>
      <c r="I62" s="280"/>
      <c r="J62" s="280"/>
      <c r="K62" s="280"/>
      <c r="L62" s="280"/>
      <c r="M62" s="280"/>
      <c r="N62" s="171"/>
      <c r="O62" s="171"/>
      <c r="P62" s="171"/>
      <c r="Q62" s="171"/>
      <c r="R62" s="171"/>
      <c r="S62" s="171"/>
      <c r="T62" s="171"/>
      <c r="U62" s="171"/>
      <c r="V62" s="171"/>
      <c r="W62" s="171"/>
      <c r="X62" s="171"/>
      <c r="Y62" s="171"/>
      <c r="Z62" s="171"/>
      <c r="AA62" s="171"/>
      <c r="AB62" s="171"/>
      <c r="AC62" s="171"/>
      <c r="AD62" s="171"/>
      <c r="AE62" s="171"/>
      <c r="AF62" s="171"/>
      <c r="AG62" s="171"/>
      <c r="AH62" s="171"/>
      <c r="AI62" s="171"/>
      <c r="AJ62" s="171"/>
      <c r="AK62" s="171"/>
      <c r="AL62" s="171"/>
      <c r="AM62" s="171"/>
      <c r="AN62" s="171"/>
      <c r="AO62" s="171"/>
      <c r="AP62" s="171"/>
      <c r="AQ62" s="171"/>
      <c r="AR62" s="171"/>
      <c r="AS62" s="171"/>
      <c r="AT62" s="171"/>
      <c r="AU62" s="171"/>
      <c r="AV62" s="171"/>
      <c r="AW62" s="171"/>
      <c r="AX62" s="171"/>
      <c r="AY62" s="171"/>
      <c r="AZ62" s="171"/>
      <c r="BA62" s="171"/>
      <c r="BB62" s="171"/>
      <c r="BC62" s="171"/>
      <c r="BD62" s="171"/>
      <c r="BE62" s="171"/>
      <c r="BF62" s="171"/>
      <c r="BG62" s="171"/>
      <c r="BH62" s="171"/>
      <c r="BI62" s="171"/>
      <c r="BJ62" s="171"/>
      <c r="BK62" s="171"/>
      <c r="BL62" s="171"/>
      <c r="BM62" s="171"/>
      <c r="BN62" s="171"/>
      <c r="BO62" s="171"/>
      <c r="BP62" s="171"/>
      <c r="BQ62" s="171"/>
      <c r="BR62" s="171"/>
    </row>
    <row r="63" spans="1:70" ht="48.75" customHeight="1" x14ac:dyDescent="0.3">
      <c r="A63" s="311"/>
      <c r="B63" s="281"/>
      <c r="C63" s="282"/>
      <c r="D63" s="283"/>
      <c r="E63" s="283"/>
      <c r="F63" s="280" t="str">
        <f t="shared" si="3"/>
        <v>No</v>
      </c>
      <c r="G63" s="280" t="str">
        <f t="shared" ref="G63:M63" si="5">IFERROR(IF($E63="","No",IF($E63="No","No"," "))," ")</f>
        <v>No</v>
      </c>
      <c r="H63" s="280" t="str">
        <f t="shared" si="5"/>
        <v>No</v>
      </c>
      <c r="I63" s="280" t="str">
        <f t="shared" si="5"/>
        <v>No</v>
      </c>
      <c r="J63" s="280" t="str">
        <f t="shared" si="5"/>
        <v>No</v>
      </c>
      <c r="K63" s="280" t="str">
        <f t="shared" si="5"/>
        <v>No</v>
      </c>
      <c r="L63" s="280" t="str">
        <f t="shared" si="5"/>
        <v>No</v>
      </c>
      <c r="M63" s="280" t="str">
        <f t="shared" si="5"/>
        <v>No</v>
      </c>
      <c r="N63" s="171"/>
      <c r="O63" s="171"/>
      <c r="P63" s="171"/>
      <c r="Q63" s="171"/>
      <c r="R63" s="171"/>
      <c r="S63" s="171"/>
      <c r="T63" s="171"/>
      <c r="U63" s="171"/>
      <c r="V63" s="171"/>
      <c r="W63" s="171"/>
      <c r="X63" s="171"/>
      <c r="Y63" s="171"/>
      <c r="Z63" s="171"/>
      <c r="AA63" s="171"/>
      <c r="AB63" s="171"/>
      <c r="AC63" s="171"/>
      <c r="AD63" s="171"/>
      <c r="AE63" s="171"/>
      <c r="AF63" s="171"/>
      <c r="AG63" s="171"/>
      <c r="AH63" s="171"/>
      <c r="AI63" s="171"/>
      <c r="AJ63" s="171"/>
      <c r="AK63" s="171"/>
      <c r="AL63" s="171"/>
      <c r="AM63" s="171"/>
      <c r="AN63" s="171"/>
      <c r="AO63" s="171"/>
      <c r="AP63" s="171"/>
      <c r="AQ63" s="171"/>
      <c r="AR63" s="171"/>
      <c r="AS63" s="171"/>
      <c r="AT63" s="171"/>
      <c r="AU63" s="171"/>
      <c r="AV63" s="171"/>
      <c r="AW63" s="171"/>
      <c r="AX63" s="171"/>
      <c r="AY63" s="171"/>
      <c r="AZ63" s="171"/>
      <c r="BA63" s="171"/>
      <c r="BB63" s="171"/>
      <c r="BC63" s="171"/>
      <c r="BD63" s="171"/>
      <c r="BE63" s="171"/>
      <c r="BF63" s="171"/>
      <c r="BG63" s="171"/>
      <c r="BH63" s="171"/>
      <c r="BI63" s="171"/>
      <c r="BJ63" s="171"/>
      <c r="BK63" s="171"/>
      <c r="BL63" s="171"/>
      <c r="BM63" s="171"/>
      <c r="BN63" s="171"/>
      <c r="BO63" s="171"/>
      <c r="BP63" s="171"/>
      <c r="BQ63" s="171"/>
      <c r="BR63" s="171"/>
    </row>
    <row r="64" spans="1:70" ht="48.75" customHeight="1" x14ac:dyDescent="0.3">
      <c r="A64" s="311"/>
      <c r="B64" s="281"/>
      <c r="C64" s="282"/>
      <c r="D64" s="283"/>
      <c r="E64" s="283"/>
      <c r="F64" s="280"/>
      <c r="G64" s="280"/>
      <c r="H64" s="280"/>
      <c r="I64" s="280"/>
      <c r="J64" s="280"/>
      <c r="K64" s="280"/>
      <c r="L64" s="280"/>
      <c r="M64" s="280"/>
      <c r="N64" s="171"/>
      <c r="O64" s="171"/>
      <c r="P64" s="171"/>
      <c r="Q64" s="171"/>
      <c r="R64" s="171"/>
      <c r="S64" s="171"/>
      <c r="T64" s="171"/>
      <c r="U64" s="171"/>
      <c r="V64" s="171"/>
      <c r="W64" s="171"/>
      <c r="X64" s="171"/>
      <c r="Y64" s="171"/>
      <c r="Z64" s="171"/>
      <c r="AA64" s="171"/>
      <c r="AB64" s="171"/>
      <c r="AC64" s="171"/>
      <c r="AD64" s="171"/>
      <c r="AE64" s="171"/>
      <c r="AF64" s="171"/>
      <c r="AG64" s="171"/>
      <c r="AH64" s="171"/>
      <c r="AI64" s="171"/>
      <c r="AJ64" s="171"/>
      <c r="AK64" s="171"/>
      <c r="AL64" s="171"/>
      <c r="AM64" s="171"/>
      <c r="AN64" s="171"/>
      <c r="AO64" s="171"/>
      <c r="AP64" s="171"/>
      <c r="AQ64" s="171"/>
      <c r="AR64" s="171"/>
      <c r="AS64" s="171"/>
      <c r="AT64" s="171"/>
      <c r="AU64" s="171"/>
      <c r="AV64" s="171"/>
      <c r="AW64" s="171"/>
      <c r="AX64" s="171"/>
      <c r="AY64" s="171"/>
      <c r="AZ64" s="171"/>
      <c r="BA64" s="171"/>
      <c r="BB64" s="171"/>
      <c r="BC64" s="171"/>
      <c r="BD64" s="171"/>
      <c r="BE64" s="171"/>
      <c r="BF64" s="171"/>
      <c r="BG64" s="171"/>
      <c r="BH64" s="171"/>
      <c r="BI64" s="171"/>
      <c r="BJ64" s="171"/>
      <c r="BK64" s="171"/>
      <c r="BL64" s="171"/>
      <c r="BM64" s="171"/>
      <c r="BN64" s="171"/>
      <c r="BO64" s="171"/>
      <c r="BP64" s="171"/>
      <c r="BQ64" s="171"/>
      <c r="BR64" s="171"/>
    </row>
    <row r="65" spans="1:70" ht="48.75" customHeight="1" x14ac:dyDescent="0.3">
      <c r="A65" s="311"/>
      <c r="B65" s="281"/>
      <c r="C65" s="282"/>
      <c r="D65" s="283"/>
      <c r="E65" s="283"/>
      <c r="F65" s="280"/>
      <c r="G65" s="280"/>
      <c r="H65" s="280"/>
      <c r="I65" s="280"/>
      <c r="J65" s="280"/>
      <c r="K65" s="280"/>
      <c r="L65" s="280"/>
      <c r="M65" s="280"/>
      <c r="N65" s="171"/>
      <c r="O65" s="171"/>
      <c r="P65" s="171"/>
      <c r="Q65" s="171"/>
      <c r="R65" s="171"/>
      <c r="S65" s="171"/>
      <c r="T65" s="171"/>
      <c r="U65" s="171"/>
      <c r="V65" s="171"/>
      <c r="W65" s="171"/>
      <c r="X65" s="171"/>
      <c r="Y65" s="171"/>
      <c r="Z65" s="171"/>
      <c r="AA65" s="171"/>
      <c r="AB65" s="171"/>
      <c r="AC65" s="171"/>
      <c r="AD65" s="171"/>
      <c r="AE65" s="171"/>
      <c r="AF65" s="171"/>
      <c r="AG65" s="171"/>
      <c r="AH65" s="171"/>
      <c r="AI65" s="171"/>
      <c r="AJ65" s="171"/>
      <c r="AK65" s="171"/>
      <c r="AL65" s="171"/>
      <c r="AM65" s="171"/>
      <c r="AN65" s="171"/>
      <c r="AO65" s="171"/>
      <c r="AP65" s="171"/>
      <c r="AQ65" s="171"/>
      <c r="AR65" s="171"/>
      <c r="AS65" s="171"/>
      <c r="AT65" s="171"/>
      <c r="AU65" s="171"/>
      <c r="AV65" s="171"/>
      <c r="AW65" s="171"/>
      <c r="AX65" s="171"/>
      <c r="AY65" s="171"/>
      <c r="AZ65" s="171"/>
      <c r="BA65" s="171"/>
      <c r="BB65" s="171"/>
      <c r="BC65" s="171"/>
      <c r="BD65" s="171"/>
      <c r="BE65" s="171"/>
      <c r="BF65" s="171"/>
      <c r="BG65" s="171"/>
      <c r="BH65" s="171"/>
      <c r="BI65" s="171"/>
      <c r="BJ65" s="171"/>
      <c r="BK65" s="171"/>
      <c r="BL65" s="171"/>
      <c r="BM65" s="171"/>
      <c r="BN65" s="171"/>
      <c r="BO65" s="171"/>
      <c r="BP65" s="171"/>
      <c r="BQ65" s="171"/>
      <c r="BR65" s="171"/>
    </row>
    <row r="66" spans="1:70" ht="48.75" customHeight="1" x14ac:dyDescent="0.3">
      <c r="A66" s="311"/>
      <c r="B66" s="281"/>
      <c r="C66" s="282"/>
      <c r="D66" s="283"/>
      <c r="E66" s="283"/>
      <c r="F66" s="280" t="str">
        <f t="shared" si="3"/>
        <v>No</v>
      </c>
      <c r="G66" s="280" t="str">
        <f t="shared" ref="G66:M66" si="6">IFERROR(IF($E66="","No",IF($E66="No","No"," "))," ")</f>
        <v>No</v>
      </c>
      <c r="H66" s="280" t="str">
        <f t="shared" si="6"/>
        <v>No</v>
      </c>
      <c r="I66" s="280" t="str">
        <f t="shared" si="6"/>
        <v>No</v>
      </c>
      <c r="J66" s="280" t="str">
        <f t="shared" si="6"/>
        <v>No</v>
      </c>
      <c r="K66" s="280" t="str">
        <f t="shared" si="6"/>
        <v>No</v>
      </c>
      <c r="L66" s="280" t="str">
        <f t="shared" si="6"/>
        <v>No</v>
      </c>
      <c r="M66" s="280" t="str">
        <f t="shared" si="6"/>
        <v>No</v>
      </c>
      <c r="N66" s="171"/>
      <c r="O66" s="171"/>
      <c r="P66" s="171"/>
      <c r="Q66" s="171"/>
      <c r="R66" s="171"/>
      <c r="S66" s="171"/>
      <c r="T66" s="171"/>
      <c r="U66" s="171"/>
      <c r="V66" s="171"/>
      <c r="W66" s="171"/>
      <c r="X66" s="171"/>
      <c r="Y66" s="171"/>
      <c r="Z66" s="171"/>
      <c r="AA66" s="171"/>
      <c r="AB66" s="171"/>
      <c r="AC66" s="171"/>
      <c r="AD66" s="171"/>
      <c r="AE66" s="171"/>
      <c r="AF66" s="171"/>
      <c r="AG66" s="171"/>
      <c r="AH66" s="171"/>
      <c r="AI66" s="171"/>
      <c r="AJ66" s="171"/>
      <c r="AK66" s="171"/>
      <c r="AL66" s="171"/>
      <c r="AM66" s="171"/>
      <c r="AN66" s="171"/>
      <c r="AO66" s="171"/>
      <c r="AP66" s="171"/>
      <c r="AQ66" s="171"/>
      <c r="AR66" s="171"/>
      <c r="AS66" s="171"/>
      <c r="AT66" s="171"/>
      <c r="AU66" s="171"/>
      <c r="AV66" s="171"/>
      <c r="AW66" s="171"/>
      <c r="AX66" s="171"/>
      <c r="AY66" s="171"/>
      <c r="AZ66" s="171"/>
      <c r="BA66" s="171"/>
      <c r="BB66" s="171"/>
      <c r="BC66" s="171"/>
      <c r="BD66" s="171"/>
      <c r="BE66" s="171"/>
      <c r="BF66" s="171"/>
      <c r="BG66" s="171"/>
      <c r="BH66" s="171"/>
      <c r="BI66" s="171"/>
      <c r="BJ66" s="171"/>
      <c r="BK66" s="171"/>
      <c r="BL66" s="171"/>
      <c r="BM66" s="171"/>
      <c r="BN66" s="171"/>
      <c r="BO66" s="171"/>
      <c r="BP66" s="171"/>
      <c r="BQ66" s="171"/>
      <c r="BR66" s="171"/>
    </row>
    <row r="67" spans="1:70" ht="48.75" customHeight="1" x14ac:dyDescent="0.3">
      <c r="A67" s="311"/>
      <c r="B67" s="281"/>
      <c r="C67" s="282"/>
      <c r="D67" s="283"/>
      <c r="E67" s="283"/>
      <c r="F67" s="280"/>
      <c r="G67" s="280"/>
      <c r="H67" s="280"/>
      <c r="I67" s="280"/>
      <c r="J67" s="280"/>
      <c r="K67" s="280"/>
      <c r="L67" s="280"/>
      <c r="M67" s="280"/>
      <c r="N67" s="171"/>
      <c r="O67" s="171"/>
      <c r="P67" s="171"/>
      <c r="Q67" s="171"/>
      <c r="R67" s="171"/>
      <c r="S67" s="171"/>
      <c r="T67" s="171"/>
      <c r="U67" s="171"/>
      <c r="V67" s="171"/>
      <c r="W67" s="171"/>
      <c r="X67" s="171"/>
      <c r="Y67" s="171"/>
      <c r="Z67" s="171"/>
      <c r="AA67" s="171"/>
      <c r="AB67" s="171"/>
      <c r="AC67" s="171"/>
      <c r="AD67" s="171"/>
      <c r="AE67" s="171"/>
      <c r="AF67" s="171"/>
      <c r="AG67" s="171"/>
      <c r="AH67" s="171"/>
      <c r="AI67" s="171"/>
      <c r="AJ67" s="171"/>
      <c r="AK67" s="171"/>
      <c r="AL67" s="171"/>
      <c r="AM67" s="171"/>
      <c r="AN67" s="171"/>
      <c r="AO67" s="171"/>
      <c r="AP67" s="171"/>
      <c r="AQ67" s="171"/>
      <c r="AR67" s="171"/>
      <c r="AS67" s="171"/>
      <c r="AT67" s="171"/>
      <c r="AU67" s="171"/>
      <c r="AV67" s="171"/>
      <c r="AW67" s="171"/>
      <c r="AX67" s="171"/>
      <c r="AY67" s="171"/>
      <c r="AZ67" s="171"/>
      <c r="BA67" s="171"/>
      <c r="BB67" s="171"/>
      <c r="BC67" s="171"/>
      <c r="BD67" s="171"/>
      <c r="BE67" s="171"/>
      <c r="BF67" s="171"/>
      <c r="BG67" s="171"/>
      <c r="BH67" s="171"/>
      <c r="BI67" s="171"/>
      <c r="BJ67" s="171"/>
      <c r="BK67" s="171"/>
      <c r="BL67" s="171"/>
      <c r="BM67" s="171"/>
      <c r="BN67" s="171"/>
      <c r="BO67" s="171"/>
      <c r="BP67" s="171"/>
      <c r="BQ67" s="171"/>
      <c r="BR67" s="171"/>
    </row>
    <row r="68" spans="1:70" ht="48.75" customHeight="1" x14ac:dyDescent="0.3">
      <c r="A68" s="311"/>
      <c r="B68" s="281"/>
      <c r="C68" s="282"/>
      <c r="D68" s="283"/>
      <c r="E68" s="283"/>
      <c r="F68" s="280"/>
      <c r="G68" s="280"/>
      <c r="H68" s="280"/>
      <c r="I68" s="280"/>
      <c r="J68" s="280"/>
      <c r="K68" s="280"/>
      <c r="L68" s="280"/>
      <c r="M68" s="280"/>
      <c r="N68" s="171"/>
      <c r="O68" s="171"/>
      <c r="P68" s="171"/>
      <c r="Q68" s="171"/>
      <c r="R68" s="171"/>
      <c r="S68" s="171"/>
      <c r="T68" s="171"/>
      <c r="U68" s="171"/>
      <c r="V68" s="171"/>
      <c r="W68" s="171"/>
      <c r="X68" s="171"/>
      <c r="Y68" s="171"/>
      <c r="Z68" s="171"/>
      <c r="AA68" s="171"/>
      <c r="AB68" s="171"/>
      <c r="AC68" s="171"/>
      <c r="AD68" s="171"/>
      <c r="AE68" s="171"/>
      <c r="AF68" s="171"/>
      <c r="AG68" s="171"/>
      <c r="AH68" s="171"/>
      <c r="AI68" s="171"/>
      <c r="AJ68" s="171"/>
      <c r="AK68" s="171"/>
      <c r="AL68" s="171"/>
      <c r="AM68" s="171"/>
      <c r="AN68" s="171"/>
      <c r="AO68" s="171"/>
      <c r="AP68" s="171"/>
      <c r="AQ68" s="171"/>
      <c r="AR68" s="171"/>
      <c r="AS68" s="171"/>
      <c r="AT68" s="171"/>
      <c r="AU68" s="171"/>
      <c r="AV68" s="171"/>
      <c r="AW68" s="171"/>
      <c r="AX68" s="171"/>
      <c r="AY68" s="171"/>
      <c r="AZ68" s="171"/>
      <c r="BA68" s="171"/>
      <c r="BB68" s="171"/>
      <c r="BC68" s="171"/>
      <c r="BD68" s="171"/>
      <c r="BE68" s="171"/>
      <c r="BF68" s="171"/>
      <c r="BG68" s="171"/>
      <c r="BH68" s="171"/>
      <c r="BI68" s="171"/>
      <c r="BJ68" s="171"/>
      <c r="BK68" s="171"/>
      <c r="BL68" s="171"/>
      <c r="BM68" s="171"/>
      <c r="BN68" s="171"/>
      <c r="BO68" s="171"/>
      <c r="BP68" s="171"/>
      <c r="BQ68" s="171"/>
      <c r="BR68" s="171"/>
    </row>
    <row r="69" spans="1:70" ht="48.75" customHeight="1" x14ac:dyDescent="0.3">
      <c r="A69" s="311"/>
      <c r="B69" s="281"/>
      <c r="C69" s="282"/>
      <c r="D69" s="283"/>
      <c r="E69" s="283"/>
      <c r="F69" s="280" t="str">
        <f t="shared" si="3"/>
        <v>No</v>
      </c>
      <c r="G69" s="280" t="str">
        <f t="shared" ref="G69:M69" si="7">IFERROR(IF($E69="","No",IF($E69="No","No"," "))," ")</f>
        <v>No</v>
      </c>
      <c r="H69" s="280" t="str">
        <f t="shared" si="7"/>
        <v>No</v>
      </c>
      <c r="I69" s="280" t="str">
        <f t="shared" si="7"/>
        <v>No</v>
      </c>
      <c r="J69" s="280" t="str">
        <f t="shared" si="7"/>
        <v>No</v>
      </c>
      <c r="K69" s="280" t="str">
        <f t="shared" si="7"/>
        <v>No</v>
      </c>
      <c r="L69" s="280" t="str">
        <f t="shared" si="7"/>
        <v>No</v>
      </c>
      <c r="M69" s="280" t="str">
        <f t="shared" si="7"/>
        <v>No</v>
      </c>
      <c r="N69" s="171"/>
      <c r="O69" s="171"/>
      <c r="P69" s="171"/>
      <c r="Q69" s="171"/>
      <c r="R69" s="171"/>
      <c r="S69" s="171"/>
      <c r="T69" s="171"/>
      <c r="U69" s="171"/>
      <c r="V69" s="171"/>
      <c r="W69" s="171"/>
      <c r="X69" s="171"/>
      <c r="Y69" s="171"/>
      <c r="Z69" s="171"/>
      <c r="AA69" s="171"/>
      <c r="AB69" s="171"/>
      <c r="AC69" s="171"/>
      <c r="AD69" s="171"/>
      <c r="AE69" s="171"/>
      <c r="AF69" s="171"/>
      <c r="AG69" s="171"/>
      <c r="AH69" s="171"/>
      <c r="AI69" s="171"/>
      <c r="AJ69" s="171"/>
      <c r="AK69" s="171"/>
      <c r="AL69" s="171"/>
      <c r="AM69" s="171"/>
      <c r="AN69" s="171"/>
      <c r="AO69" s="171"/>
      <c r="AP69" s="171"/>
      <c r="AQ69" s="171"/>
      <c r="AR69" s="171"/>
      <c r="AS69" s="171"/>
      <c r="AT69" s="171"/>
      <c r="AU69" s="171"/>
      <c r="AV69" s="171"/>
      <c r="AW69" s="171"/>
      <c r="AX69" s="171"/>
      <c r="AY69" s="171"/>
      <c r="AZ69" s="171"/>
      <c r="BA69" s="171"/>
      <c r="BB69" s="171"/>
      <c r="BC69" s="171"/>
      <c r="BD69" s="171"/>
      <c r="BE69" s="171"/>
      <c r="BF69" s="171"/>
      <c r="BG69" s="171"/>
      <c r="BH69" s="171"/>
      <c r="BI69" s="171"/>
      <c r="BJ69" s="171"/>
      <c r="BK69" s="171"/>
      <c r="BL69" s="171"/>
      <c r="BM69" s="171"/>
      <c r="BN69" s="171"/>
      <c r="BO69" s="171"/>
      <c r="BP69" s="171"/>
      <c r="BQ69" s="171"/>
      <c r="BR69" s="171"/>
    </row>
    <row r="70" spans="1:70" ht="48.75" customHeight="1" x14ac:dyDescent="0.3">
      <c r="A70" s="311"/>
      <c r="B70" s="281"/>
      <c r="C70" s="282"/>
      <c r="D70" s="283"/>
      <c r="E70" s="283"/>
      <c r="F70" s="280"/>
      <c r="G70" s="280"/>
      <c r="H70" s="280"/>
      <c r="I70" s="280"/>
      <c r="J70" s="280"/>
      <c r="K70" s="280"/>
      <c r="L70" s="280"/>
      <c r="M70" s="280"/>
      <c r="N70" s="171"/>
      <c r="O70" s="171"/>
      <c r="P70" s="171"/>
      <c r="Q70" s="171"/>
      <c r="R70" s="171"/>
      <c r="S70" s="171"/>
      <c r="T70" s="171"/>
      <c r="U70" s="171"/>
      <c r="V70" s="171"/>
      <c r="W70" s="171"/>
      <c r="X70" s="171"/>
      <c r="Y70" s="171"/>
      <c r="Z70" s="171"/>
      <c r="AA70" s="171"/>
      <c r="AB70" s="171"/>
      <c r="AC70" s="171"/>
      <c r="AD70" s="171"/>
      <c r="AE70" s="171"/>
      <c r="AF70" s="171"/>
      <c r="AG70" s="171"/>
      <c r="AH70" s="171"/>
      <c r="AI70" s="171"/>
      <c r="AJ70" s="171"/>
      <c r="AK70" s="171"/>
      <c r="AL70" s="171"/>
      <c r="AM70" s="171"/>
      <c r="AN70" s="171"/>
      <c r="AO70" s="171"/>
      <c r="AP70" s="171"/>
      <c r="AQ70" s="171"/>
      <c r="AR70" s="171"/>
      <c r="AS70" s="171"/>
      <c r="AT70" s="171"/>
      <c r="AU70" s="171"/>
      <c r="AV70" s="171"/>
      <c r="AW70" s="171"/>
      <c r="AX70" s="171"/>
      <c r="AY70" s="171"/>
      <c r="AZ70" s="171"/>
      <c r="BA70" s="171"/>
      <c r="BB70" s="171"/>
      <c r="BC70" s="171"/>
      <c r="BD70" s="171"/>
      <c r="BE70" s="171"/>
      <c r="BF70" s="171"/>
      <c r="BG70" s="171"/>
      <c r="BH70" s="171"/>
      <c r="BI70" s="171"/>
      <c r="BJ70" s="171"/>
      <c r="BK70" s="171"/>
      <c r="BL70" s="171"/>
      <c r="BM70" s="171"/>
      <c r="BN70" s="171"/>
      <c r="BO70" s="171"/>
      <c r="BP70" s="171"/>
      <c r="BQ70" s="171"/>
      <c r="BR70" s="171"/>
    </row>
    <row r="71" spans="1:70" ht="48.75" customHeight="1" x14ac:dyDescent="0.3">
      <c r="A71" s="311"/>
      <c r="B71" s="281"/>
      <c r="C71" s="282"/>
      <c r="D71" s="283"/>
      <c r="E71" s="283"/>
      <c r="F71" s="280"/>
      <c r="G71" s="280"/>
      <c r="H71" s="280"/>
      <c r="I71" s="280"/>
      <c r="J71" s="280"/>
      <c r="K71" s="280"/>
      <c r="L71" s="280"/>
      <c r="M71" s="280"/>
      <c r="N71" s="171"/>
      <c r="O71" s="171"/>
      <c r="P71" s="171"/>
      <c r="Q71" s="171"/>
      <c r="R71" s="171"/>
      <c r="S71" s="171"/>
      <c r="T71" s="171"/>
      <c r="U71" s="171"/>
      <c r="V71" s="171"/>
      <c r="W71" s="171"/>
      <c r="X71" s="171"/>
      <c r="Y71" s="171"/>
      <c r="Z71" s="171"/>
      <c r="AA71" s="171"/>
      <c r="AB71" s="171"/>
      <c r="AC71" s="171"/>
      <c r="AD71" s="171"/>
      <c r="AE71" s="171"/>
      <c r="AF71" s="171"/>
      <c r="AG71" s="171"/>
      <c r="AH71" s="171"/>
      <c r="AI71" s="171"/>
      <c r="AJ71" s="171"/>
      <c r="AK71" s="171"/>
      <c r="AL71" s="171"/>
      <c r="AM71" s="171"/>
      <c r="AN71" s="171"/>
      <c r="AO71" s="171"/>
      <c r="AP71" s="171"/>
      <c r="AQ71" s="171"/>
      <c r="AR71" s="171"/>
      <c r="AS71" s="171"/>
      <c r="AT71" s="171"/>
      <c r="AU71" s="171"/>
      <c r="AV71" s="171"/>
      <c r="AW71" s="171"/>
      <c r="AX71" s="171"/>
      <c r="AY71" s="171"/>
      <c r="AZ71" s="171"/>
      <c r="BA71" s="171"/>
      <c r="BB71" s="171"/>
      <c r="BC71" s="171"/>
      <c r="BD71" s="171"/>
      <c r="BE71" s="171"/>
      <c r="BF71" s="171"/>
      <c r="BG71" s="171"/>
      <c r="BH71" s="171"/>
      <c r="BI71" s="171"/>
      <c r="BJ71" s="171"/>
      <c r="BK71" s="171"/>
      <c r="BL71" s="171"/>
      <c r="BM71" s="171"/>
      <c r="BN71" s="171"/>
      <c r="BO71" s="171"/>
      <c r="BP71" s="171"/>
      <c r="BQ71" s="171"/>
      <c r="BR71" s="171"/>
    </row>
  </sheetData>
  <sheetProtection algorithmName="SHA-512" hashValue="LRvlr6p+VAEa3zcXV+QqVxf38QV733HBLQApgVnxosDByX2pkdqGoufbB459wu8VuGdl/xAG7nIuLo9k38oqjg==" saltValue="dQ8ZRw102ZCyVv0CVojvaQ==" spinCount="100000" sheet="1" objects="1" scenarios="1"/>
  <mergeCells count="255">
    <mergeCell ref="M66:M68"/>
    <mergeCell ref="M69:M71"/>
    <mergeCell ref="M42:M44"/>
    <mergeCell ref="M45:M47"/>
    <mergeCell ref="M48:M50"/>
    <mergeCell ref="M51:M53"/>
    <mergeCell ref="M54:M56"/>
    <mergeCell ref="M57:M59"/>
    <mergeCell ref="M60:M62"/>
    <mergeCell ref="M63:M65"/>
    <mergeCell ref="L69:L71"/>
    <mergeCell ref="K66:K68"/>
    <mergeCell ref="K69:K71"/>
    <mergeCell ref="K42:K44"/>
    <mergeCell ref="K45:K47"/>
    <mergeCell ref="K48:K50"/>
    <mergeCell ref="K51:K53"/>
    <mergeCell ref="K54:K56"/>
    <mergeCell ref="K57:K59"/>
    <mergeCell ref="K60:K62"/>
    <mergeCell ref="K63:K65"/>
    <mergeCell ref="L42:L44"/>
    <mergeCell ref="L45:L47"/>
    <mergeCell ref="L48:L50"/>
    <mergeCell ref="L51:L53"/>
    <mergeCell ref="L54:L56"/>
    <mergeCell ref="L57:L59"/>
    <mergeCell ref="L60:L62"/>
    <mergeCell ref="L63:L65"/>
    <mergeCell ref="L66:L68"/>
    <mergeCell ref="J69:J71"/>
    <mergeCell ref="I66:I68"/>
    <mergeCell ref="I69:I71"/>
    <mergeCell ref="I42:I44"/>
    <mergeCell ref="I45:I47"/>
    <mergeCell ref="I48:I50"/>
    <mergeCell ref="I51:I53"/>
    <mergeCell ref="I54:I56"/>
    <mergeCell ref="I57:I59"/>
    <mergeCell ref="I60:I62"/>
    <mergeCell ref="I63:I65"/>
    <mergeCell ref="J42:J44"/>
    <mergeCell ref="J45:J47"/>
    <mergeCell ref="J48:J50"/>
    <mergeCell ref="J51:J53"/>
    <mergeCell ref="J54:J56"/>
    <mergeCell ref="J57:J59"/>
    <mergeCell ref="J60:J62"/>
    <mergeCell ref="J63:J65"/>
    <mergeCell ref="J66:J68"/>
    <mergeCell ref="H69:H71"/>
    <mergeCell ref="G66:G68"/>
    <mergeCell ref="G69:G71"/>
    <mergeCell ref="G42:G44"/>
    <mergeCell ref="G45:G47"/>
    <mergeCell ref="G48:G50"/>
    <mergeCell ref="G51:G53"/>
    <mergeCell ref="G54:G56"/>
    <mergeCell ref="G57:G59"/>
    <mergeCell ref="G60:G62"/>
    <mergeCell ref="G63:G65"/>
    <mergeCell ref="H42:H44"/>
    <mergeCell ref="H45:H47"/>
    <mergeCell ref="H48:H50"/>
    <mergeCell ref="H51:H53"/>
    <mergeCell ref="H54:H56"/>
    <mergeCell ref="H57:H59"/>
    <mergeCell ref="H60:H62"/>
    <mergeCell ref="H63:H65"/>
    <mergeCell ref="H66:H68"/>
    <mergeCell ref="A12:A71"/>
    <mergeCell ref="F42:F44"/>
    <mergeCell ref="F45:F47"/>
    <mergeCell ref="F48:F50"/>
    <mergeCell ref="F51:F53"/>
    <mergeCell ref="F54:F56"/>
    <mergeCell ref="F57:F59"/>
    <mergeCell ref="F60:F62"/>
    <mergeCell ref="F63:F65"/>
    <mergeCell ref="F66:F68"/>
    <mergeCell ref="F69:F71"/>
    <mergeCell ref="B69:B71"/>
    <mergeCell ref="C69:C71"/>
    <mergeCell ref="D69:D71"/>
    <mergeCell ref="E69:E71"/>
    <mergeCell ref="B63:B65"/>
    <mergeCell ref="C63:C65"/>
    <mergeCell ref="D63:D65"/>
    <mergeCell ref="E63:E65"/>
    <mergeCell ref="B66:B68"/>
    <mergeCell ref="C66:C68"/>
    <mergeCell ref="D66:D68"/>
    <mergeCell ref="E66:E68"/>
    <mergeCell ref="B60:B62"/>
    <mergeCell ref="C60:C62"/>
    <mergeCell ref="D60:D62"/>
    <mergeCell ref="E60:E62"/>
    <mergeCell ref="B54:B56"/>
    <mergeCell ref="C54:C56"/>
    <mergeCell ref="D54:D56"/>
    <mergeCell ref="E54:E56"/>
    <mergeCell ref="B57:B59"/>
    <mergeCell ref="C57:C59"/>
    <mergeCell ref="D57:D59"/>
    <mergeCell ref="E57:E59"/>
    <mergeCell ref="B51:B53"/>
    <mergeCell ref="C51:C53"/>
    <mergeCell ref="D51:D53"/>
    <mergeCell ref="E51:E53"/>
    <mergeCell ref="B42:B44"/>
    <mergeCell ref="C42:C44"/>
    <mergeCell ref="D42:D44"/>
    <mergeCell ref="E42:E44"/>
    <mergeCell ref="B45:B47"/>
    <mergeCell ref="C45:C47"/>
    <mergeCell ref="D45:D47"/>
    <mergeCell ref="E45:E47"/>
    <mergeCell ref="G30:G32"/>
    <mergeCell ref="H30:H32"/>
    <mergeCell ref="I30:I32"/>
    <mergeCell ref="J30:J32"/>
    <mergeCell ref="K24:K26"/>
    <mergeCell ref="L24:L26"/>
    <mergeCell ref="K30:K32"/>
    <mergeCell ref="L30:L32"/>
    <mergeCell ref="B48:B50"/>
    <mergeCell ref="C48:C50"/>
    <mergeCell ref="D48:D50"/>
    <mergeCell ref="E48:E50"/>
    <mergeCell ref="A2:C2"/>
    <mergeCell ref="M2:M3"/>
    <mergeCell ref="A3:C6"/>
    <mergeCell ref="A7:M7"/>
    <mergeCell ref="A9:M9"/>
    <mergeCell ref="A10:A11"/>
    <mergeCell ref="E10:E11"/>
    <mergeCell ref="F10:M10"/>
    <mergeCell ref="D10:D11"/>
    <mergeCell ref="B10:C10"/>
    <mergeCell ref="D3:L4"/>
    <mergeCell ref="D2:L2"/>
    <mergeCell ref="D6:L6"/>
    <mergeCell ref="D5:L5"/>
    <mergeCell ref="M12:M14"/>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K12:K14"/>
    <mergeCell ref="L12:L14"/>
    <mergeCell ref="K15:K17"/>
    <mergeCell ref="L15:L17"/>
    <mergeCell ref="M15:M17"/>
    <mergeCell ref="B12:B14"/>
    <mergeCell ref="D12:D14"/>
    <mergeCell ref="D15:D17"/>
    <mergeCell ref="M18:M20"/>
    <mergeCell ref="B21:B23"/>
    <mergeCell ref="C21:C23"/>
    <mergeCell ref="E21:E23"/>
    <mergeCell ref="F21:F23"/>
    <mergeCell ref="G21:G23"/>
    <mergeCell ref="H21:H23"/>
    <mergeCell ref="I21:I23"/>
    <mergeCell ref="J21:J23"/>
    <mergeCell ref="K21:K23"/>
    <mergeCell ref="L21:L23"/>
    <mergeCell ref="M21:M23"/>
    <mergeCell ref="I18:I20"/>
    <mergeCell ref="J18:J20"/>
    <mergeCell ref="K18:K20"/>
    <mergeCell ref="L18:L20"/>
    <mergeCell ref="B18:B20"/>
    <mergeCell ref="C18:C20"/>
    <mergeCell ref="E18:E20"/>
    <mergeCell ref="F18:F20"/>
    <mergeCell ref="G18:G20"/>
    <mergeCell ref="H18:H20"/>
    <mergeCell ref="D18:D20"/>
    <mergeCell ref="D21:D23"/>
    <mergeCell ref="M24:M26"/>
    <mergeCell ref="B27:B29"/>
    <mergeCell ref="C27:C29"/>
    <mergeCell ref="E27:E29"/>
    <mergeCell ref="F27:F29"/>
    <mergeCell ref="K27:K29"/>
    <mergeCell ref="L27:L29"/>
    <mergeCell ref="M27:M29"/>
    <mergeCell ref="B24:B26"/>
    <mergeCell ref="C24:C26"/>
    <mergeCell ref="E24:E26"/>
    <mergeCell ref="F24:F26"/>
    <mergeCell ref="G24:G26"/>
    <mergeCell ref="H24:H26"/>
    <mergeCell ref="I24:I26"/>
    <mergeCell ref="J24:J26"/>
    <mergeCell ref="G27:G29"/>
    <mergeCell ref="H27:H29"/>
    <mergeCell ref="I27:I29"/>
    <mergeCell ref="J27:J29"/>
    <mergeCell ref="D24:D26"/>
    <mergeCell ref="D27:D29"/>
    <mergeCell ref="M30:M32"/>
    <mergeCell ref="B33:B35"/>
    <mergeCell ref="C33:C35"/>
    <mergeCell ref="E33:E35"/>
    <mergeCell ref="F33:F35"/>
    <mergeCell ref="H36:H38"/>
    <mergeCell ref="I36:I38"/>
    <mergeCell ref="J36:J38"/>
    <mergeCell ref="G33:G35"/>
    <mergeCell ref="H33:H35"/>
    <mergeCell ref="I33:I35"/>
    <mergeCell ref="J33:J35"/>
    <mergeCell ref="K33:K35"/>
    <mergeCell ref="L33:L35"/>
    <mergeCell ref="K36:K38"/>
    <mergeCell ref="L36:L38"/>
    <mergeCell ref="B30:B32"/>
    <mergeCell ref="C30:C32"/>
    <mergeCell ref="E30:E32"/>
    <mergeCell ref="F30:F32"/>
    <mergeCell ref="M33:M35"/>
    <mergeCell ref="D30:D32"/>
    <mergeCell ref="D33:D35"/>
    <mergeCell ref="D36:D38"/>
    <mergeCell ref="M39:M41"/>
    <mergeCell ref="M36:M38"/>
    <mergeCell ref="B39:B41"/>
    <mergeCell ref="C39:C41"/>
    <mergeCell ref="E39:E41"/>
    <mergeCell ref="F39:F41"/>
    <mergeCell ref="G39:G41"/>
    <mergeCell ref="H39:H41"/>
    <mergeCell ref="I39:I41"/>
    <mergeCell ref="J39:J41"/>
    <mergeCell ref="B36:B38"/>
    <mergeCell ref="C36:C38"/>
    <mergeCell ref="E36:E38"/>
    <mergeCell ref="F36:F38"/>
    <mergeCell ref="G36:G38"/>
    <mergeCell ref="K39:K41"/>
    <mergeCell ref="L39:L41"/>
    <mergeCell ref="D39:D41"/>
  </mergeCells>
  <conditionalFormatting sqref="F12:M71">
    <cfRule type="containsText" dxfId="4" priority="1" operator="containsText" text="No">
      <formula>NOT(ISERROR(SEARCH("No",F12)))</formula>
    </cfRule>
  </conditionalFormatting>
  <pageMargins left="0.7" right="0.7" top="0.75" bottom="0.75" header="0.3" footer="0.3"/>
  <pageSetup paperSize="142" scale="10" orientation="portrait" r:id="rId1"/>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1"/>
  <dimension ref="A1:BR88"/>
  <sheetViews>
    <sheetView view="pageBreakPreview" topLeftCell="A3" zoomScale="40" zoomScaleNormal="40" zoomScaleSheetLayoutView="40" workbookViewId="0">
      <selection activeCell="A10" sqref="A10:A11"/>
    </sheetView>
  </sheetViews>
  <sheetFormatPr baseColWidth="10" defaultColWidth="11.42578125" defaultRowHeight="16.5" x14ac:dyDescent="0.3"/>
  <cols>
    <col min="1" max="1" width="81" style="136" customWidth="1"/>
    <col min="2" max="2" width="20.5703125" style="136" customWidth="1"/>
    <col min="3" max="4" width="90.85546875" style="136" customWidth="1"/>
    <col min="5" max="5" width="41.140625" style="136" customWidth="1"/>
    <col min="6" max="6" width="90.85546875" style="136" customWidth="1"/>
    <col min="7" max="8" width="48" style="136" customWidth="1"/>
    <col min="9" max="10" width="90.85546875" style="136" customWidth="1"/>
    <col min="11" max="11" width="41.140625" style="136" customWidth="1"/>
    <col min="12" max="12" width="40.42578125" style="136" customWidth="1"/>
    <col min="13" max="13" width="72.7109375" style="136" customWidth="1"/>
    <col min="14" max="14" width="3.28515625" style="136" customWidth="1"/>
    <col min="15" max="15" width="35.85546875" style="136" customWidth="1"/>
    <col min="16" max="16384" width="11.42578125" style="136"/>
  </cols>
  <sheetData>
    <row r="1" spans="1:70" s="159" customFormat="1" ht="24" thickBot="1" x14ac:dyDescent="0.4">
      <c r="A1" s="173"/>
      <c r="B1" s="173"/>
      <c r="C1" s="173"/>
      <c r="D1" s="173"/>
      <c r="E1" s="173"/>
      <c r="F1" s="173"/>
      <c r="G1" s="173"/>
      <c r="H1" s="173"/>
      <c r="I1" s="173"/>
      <c r="J1" s="173"/>
      <c r="K1" s="173"/>
      <c r="L1" s="173"/>
      <c r="M1" s="173"/>
      <c r="N1" s="158"/>
      <c r="O1" s="158"/>
      <c r="P1" s="158"/>
      <c r="Q1" s="158"/>
      <c r="R1" s="158"/>
      <c r="S1" s="158"/>
      <c r="T1" s="158"/>
      <c r="U1" s="158"/>
      <c r="V1" s="158"/>
      <c r="W1" s="158"/>
      <c r="X1" s="158"/>
      <c r="Y1" s="158"/>
      <c r="Z1" s="158"/>
      <c r="AA1" s="158"/>
      <c r="AB1" s="158"/>
      <c r="AC1" s="158"/>
      <c r="AD1" s="158"/>
      <c r="AE1" s="158"/>
      <c r="AF1" s="158"/>
      <c r="AG1" s="158"/>
      <c r="AH1" s="158"/>
      <c r="AI1" s="158"/>
      <c r="AJ1" s="158"/>
      <c r="AK1" s="158"/>
      <c r="AL1" s="158"/>
      <c r="AM1" s="158"/>
      <c r="AN1" s="158"/>
      <c r="AO1" s="158"/>
      <c r="AP1" s="158"/>
      <c r="AQ1" s="158"/>
      <c r="AR1" s="158"/>
      <c r="AS1" s="158"/>
      <c r="AT1" s="158"/>
      <c r="AU1" s="158"/>
      <c r="AV1" s="158"/>
      <c r="AW1" s="158"/>
      <c r="AX1" s="158"/>
      <c r="AY1" s="158"/>
      <c r="AZ1" s="158"/>
      <c r="BA1" s="158"/>
      <c r="BB1" s="158"/>
      <c r="BC1" s="158"/>
      <c r="BD1" s="158"/>
      <c r="BE1" s="158"/>
      <c r="BF1" s="158"/>
      <c r="BG1" s="158"/>
      <c r="BH1" s="158"/>
      <c r="BI1" s="158"/>
      <c r="BJ1" s="158"/>
      <c r="BK1" s="158"/>
      <c r="BL1" s="158"/>
      <c r="BM1" s="158"/>
      <c r="BN1" s="158"/>
      <c r="BO1" s="158"/>
      <c r="BP1" s="158"/>
      <c r="BQ1" s="158"/>
      <c r="BR1" s="158"/>
    </row>
    <row r="2" spans="1:70" s="159" customFormat="1" ht="69" customHeight="1" x14ac:dyDescent="0.35">
      <c r="A2" s="284" t="s">
        <v>60</v>
      </c>
      <c r="B2" s="285"/>
      <c r="C2" s="285"/>
      <c r="D2" s="302" t="s">
        <v>109</v>
      </c>
      <c r="E2" s="303"/>
      <c r="F2" s="303"/>
      <c r="G2" s="303"/>
      <c r="H2" s="303"/>
      <c r="I2" s="303"/>
      <c r="J2" s="303"/>
      <c r="K2" s="303"/>
      <c r="L2" s="304"/>
      <c r="M2" s="286" t="s">
        <v>110</v>
      </c>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c r="BC2" s="158"/>
      <c r="BD2" s="158"/>
      <c r="BE2" s="158"/>
      <c r="BF2" s="158"/>
      <c r="BG2" s="158"/>
      <c r="BH2" s="158"/>
      <c r="BI2" s="158"/>
      <c r="BJ2" s="158"/>
      <c r="BK2" s="158"/>
      <c r="BL2" s="158"/>
      <c r="BM2" s="158"/>
      <c r="BN2" s="158"/>
      <c r="BO2" s="158"/>
      <c r="BP2" s="158"/>
      <c r="BQ2" s="158"/>
      <c r="BR2" s="158"/>
    </row>
    <row r="3" spans="1:70" s="159" customFormat="1" ht="40.5" customHeight="1" x14ac:dyDescent="0.35">
      <c r="A3" s="288"/>
      <c r="B3" s="289"/>
      <c r="C3" s="289"/>
      <c r="D3" s="296" t="s">
        <v>63</v>
      </c>
      <c r="E3" s="297"/>
      <c r="F3" s="297"/>
      <c r="G3" s="297"/>
      <c r="H3" s="297"/>
      <c r="I3" s="297"/>
      <c r="J3" s="297"/>
      <c r="K3" s="297"/>
      <c r="L3" s="298"/>
      <c r="M3" s="287"/>
      <c r="N3" s="160"/>
      <c r="O3" s="160"/>
      <c r="P3" s="160"/>
      <c r="Q3" s="160"/>
      <c r="R3" s="160"/>
      <c r="S3" s="160"/>
      <c r="T3" s="160"/>
      <c r="X3" s="158"/>
      <c r="Y3" s="158"/>
      <c r="Z3" s="158"/>
      <c r="AA3" s="158"/>
      <c r="AB3" s="158"/>
      <c r="AC3" s="158"/>
      <c r="AD3" s="158"/>
      <c r="AE3" s="158"/>
      <c r="AF3" s="158"/>
      <c r="AG3" s="158"/>
      <c r="AH3" s="158"/>
      <c r="AI3" s="158"/>
      <c r="AJ3" s="158"/>
      <c r="AK3" s="158"/>
      <c r="AL3" s="158"/>
      <c r="AM3" s="158"/>
      <c r="AN3" s="158"/>
      <c r="AO3" s="158"/>
      <c r="AP3" s="158"/>
      <c r="AQ3" s="158"/>
      <c r="AR3" s="158"/>
      <c r="AS3" s="158"/>
      <c r="AT3" s="158"/>
      <c r="AU3" s="158"/>
      <c r="AV3" s="158"/>
      <c r="AW3" s="158"/>
      <c r="AX3" s="158"/>
      <c r="AY3" s="158"/>
      <c r="AZ3" s="158"/>
      <c r="BA3" s="158"/>
      <c r="BB3" s="158"/>
      <c r="BC3" s="158"/>
      <c r="BD3" s="158"/>
      <c r="BE3" s="158"/>
      <c r="BF3" s="158"/>
      <c r="BG3" s="158"/>
      <c r="BH3" s="158"/>
      <c r="BI3" s="158"/>
      <c r="BJ3" s="158"/>
      <c r="BK3" s="158"/>
      <c r="BL3" s="158"/>
      <c r="BM3" s="158"/>
      <c r="BN3" s="158"/>
      <c r="BO3" s="158"/>
      <c r="BP3" s="158"/>
      <c r="BQ3" s="158"/>
      <c r="BR3" s="158"/>
    </row>
    <row r="4" spans="1:70" s="159" customFormat="1" ht="40.5" customHeight="1" x14ac:dyDescent="0.35">
      <c r="A4" s="288"/>
      <c r="B4" s="289"/>
      <c r="C4" s="289"/>
      <c r="D4" s="299"/>
      <c r="E4" s="300"/>
      <c r="F4" s="300"/>
      <c r="G4" s="300"/>
      <c r="H4" s="300"/>
      <c r="I4" s="300"/>
      <c r="J4" s="300"/>
      <c r="K4" s="300"/>
      <c r="L4" s="301"/>
      <c r="M4" s="174" t="s">
        <v>64</v>
      </c>
      <c r="N4" s="158"/>
      <c r="P4" s="161"/>
      <c r="Q4" s="161"/>
      <c r="R4" s="161"/>
      <c r="S4" s="161"/>
      <c r="T4" s="161"/>
      <c r="U4" s="161"/>
      <c r="V4" s="161"/>
      <c r="W4" s="161"/>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row>
    <row r="5" spans="1:70" s="159" customFormat="1" ht="40.5" customHeight="1" x14ac:dyDescent="0.35">
      <c r="A5" s="288"/>
      <c r="B5" s="289"/>
      <c r="C5" s="289"/>
      <c r="D5" s="308" t="s">
        <v>65</v>
      </c>
      <c r="E5" s="309"/>
      <c r="F5" s="309"/>
      <c r="G5" s="309"/>
      <c r="H5" s="309"/>
      <c r="I5" s="309"/>
      <c r="J5" s="309"/>
      <c r="K5" s="309"/>
      <c r="L5" s="310"/>
      <c r="M5" s="174" t="s">
        <v>111</v>
      </c>
      <c r="N5" s="158"/>
      <c r="P5" s="161"/>
      <c r="Q5" s="161"/>
      <c r="R5" s="161"/>
      <c r="S5" s="161"/>
      <c r="T5" s="161"/>
      <c r="U5" s="161"/>
      <c r="V5" s="161"/>
      <c r="W5" s="161"/>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row>
    <row r="6" spans="1:70" s="159" customFormat="1" ht="40.5" customHeight="1" x14ac:dyDescent="0.35">
      <c r="A6" s="288"/>
      <c r="B6" s="289"/>
      <c r="C6" s="289"/>
      <c r="D6" s="305" t="s">
        <v>67</v>
      </c>
      <c r="E6" s="306"/>
      <c r="F6" s="306"/>
      <c r="G6" s="306"/>
      <c r="H6" s="306"/>
      <c r="I6" s="306"/>
      <c r="J6" s="306"/>
      <c r="K6" s="306"/>
      <c r="L6" s="307"/>
      <c r="M6" s="174" t="s">
        <v>68</v>
      </c>
      <c r="N6" s="158"/>
      <c r="P6" s="162"/>
      <c r="Q6" s="162"/>
      <c r="R6" s="162"/>
      <c r="S6" s="162"/>
      <c r="T6" s="162"/>
      <c r="U6" s="162"/>
      <c r="V6" s="162"/>
      <c r="W6" s="162"/>
      <c r="X6" s="158"/>
      <c r="Y6" s="158"/>
      <c r="Z6" s="158"/>
      <c r="AA6" s="158"/>
      <c r="AB6" s="158"/>
      <c r="AC6" s="158"/>
      <c r="AD6" s="158"/>
      <c r="AE6" s="158"/>
      <c r="AF6" s="158"/>
      <c r="AG6" s="158"/>
      <c r="AH6" s="158"/>
      <c r="AI6" s="158"/>
      <c r="AJ6" s="158"/>
      <c r="AK6" s="158"/>
      <c r="AL6" s="158"/>
      <c r="AM6" s="158"/>
      <c r="AN6" s="158"/>
      <c r="AO6" s="158"/>
      <c r="AP6" s="158"/>
      <c r="AQ6" s="158"/>
      <c r="AR6" s="158"/>
      <c r="AS6" s="158"/>
      <c r="AT6" s="158"/>
      <c r="AU6" s="158"/>
      <c r="AV6" s="158"/>
      <c r="AW6" s="158"/>
      <c r="AX6" s="158"/>
      <c r="AY6" s="158"/>
      <c r="AZ6" s="158"/>
      <c r="BA6" s="158"/>
      <c r="BB6" s="158"/>
      <c r="BC6" s="158"/>
      <c r="BD6" s="158"/>
      <c r="BE6" s="158"/>
      <c r="BF6" s="158"/>
      <c r="BG6" s="158"/>
      <c r="BH6" s="158"/>
      <c r="BI6" s="158"/>
      <c r="BJ6" s="158"/>
      <c r="BK6" s="158"/>
      <c r="BL6" s="158"/>
      <c r="BM6" s="158"/>
      <c r="BN6" s="158"/>
      <c r="BO6" s="158"/>
      <c r="BP6" s="158"/>
      <c r="BQ6" s="158"/>
      <c r="BR6" s="158"/>
    </row>
    <row r="7" spans="1:70" s="159" customFormat="1" ht="33" customHeight="1" thickBot="1" x14ac:dyDescent="0.4">
      <c r="A7" s="290"/>
      <c r="B7" s="291"/>
      <c r="C7" s="291"/>
      <c r="D7" s="291"/>
      <c r="E7" s="291"/>
      <c r="F7" s="291"/>
      <c r="G7" s="291"/>
      <c r="H7" s="291"/>
      <c r="I7" s="291"/>
      <c r="J7" s="291"/>
      <c r="K7" s="291"/>
      <c r="L7" s="291"/>
      <c r="M7" s="292"/>
      <c r="N7" s="158"/>
      <c r="O7" s="162"/>
      <c r="P7" s="162"/>
      <c r="Q7" s="162"/>
      <c r="R7" s="162"/>
      <c r="S7" s="162"/>
      <c r="T7" s="162"/>
      <c r="U7" s="162"/>
      <c r="V7" s="162"/>
      <c r="W7" s="162"/>
      <c r="X7" s="158"/>
      <c r="Y7" s="158"/>
      <c r="Z7" s="158"/>
      <c r="AA7" s="158"/>
      <c r="AB7" s="158"/>
      <c r="AC7" s="158"/>
      <c r="AD7" s="158"/>
      <c r="AE7" s="158"/>
      <c r="AF7" s="158"/>
      <c r="AG7" s="158"/>
      <c r="AH7" s="158"/>
      <c r="AI7" s="158"/>
      <c r="AJ7" s="158"/>
      <c r="AK7" s="158"/>
      <c r="AL7" s="158"/>
      <c r="AM7" s="158"/>
      <c r="AN7" s="158"/>
      <c r="AO7" s="158"/>
      <c r="AP7" s="158"/>
      <c r="AQ7" s="158"/>
      <c r="AR7" s="158"/>
      <c r="AS7" s="158"/>
      <c r="AT7" s="158"/>
      <c r="AU7" s="158"/>
      <c r="AV7" s="158"/>
      <c r="AW7" s="158"/>
      <c r="AX7" s="158"/>
      <c r="AY7" s="158"/>
      <c r="AZ7" s="158"/>
      <c r="BA7" s="158"/>
      <c r="BB7" s="158"/>
      <c r="BC7" s="158"/>
      <c r="BD7" s="158"/>
      <c r="BE7" s="158"/>
      <c r="BF7" s="158"/>
      <c r="BG7" s="158"/>
      <c r="BH7" s="158"/>
      <c r="BI7" s="158"/>
      <c r="BJ7" s="158"/>
      <c r="BK7" s="158"/>
      <c r="BL7" s="158"/>
      <c r="BM7" s="158"/>
      <c r="BN7" s="158"/>
      <c r="BO7" s="158"/>
      <c r="BP7" s="158"/>
      <c r="BQ7" s="158"/>
      <c r="BR7" s="158"/>
    </row>
    <row r="8" spans="1:70" s="159" customFormat="1" ht="29.25" customHeight="1" x14ac:dyDescent="0.35">
      <c r="A8" s="175"/>
      <c r="B8" s="176"/>
      <c r="C8" s="177"/>
      <c r="D8" s="177"/>
      <c r="E8" s="177"/>
      <c r="F8" s="177"/>
      <c r="G8" s="177"/>
      <c r="H8" s="177"/>
      <c r="I8" s="177"/>
      <c r="J8" s="177"/>
      <c r="K8" s="177"/>
      <c r="L8" s="177"/>
      <c r="M8" s="177"/>
      <c r="N8" s="158"/>
      <c r="O8" s="158"/>
      <c r="P8" s="158"/>
      <c r="Q8" s="158"/>
      <c r="R8" s="158"/>
      <c r="S8" s="158"/>
      <c r="T8" s="158"/>
      <c r="U8" s="158"/>
      <c r="V8" s="158"/>
      <c r="W8" s="158"/>
      <c r="X8" s="158"/>
      <c r="Y8" s="158"/>
      <c r="Z8" s="158"/>
      <c r="AA8" s="158"/>
      <c r="AB8" s="158"/>
      <c r="AC8" s="158"/>
      <c r="AD8" s="158"/>
      <c r="AE8" s="158"/>
      <c r="AF8" s="158"/>
      <c r="AG8" s="158"/>
      <c r="AH8" s="158"/>
      <c r="AI8" s="158"/>
      <c r="AJ8" s="158"/>
      <c r="AK8" s="158"/>
      <c r="AL8" s="158"/>
      <c r="AM8" s="158"/>
      <c r="AN8" s="158"/>
      <c r="AO8" s="158"/>
      <c r="AP8" s="158"/>
      <c r="AQ8" s="158"/>
      <c r="AR8" s="158"/>
      <c r="AS8" s="158"/>
      <c r="AT8" s="158"/>
      <c r="AU8" s="158"/>
      <c r="AV8" s="158"/>
      <c r="AW8" s="158"/>
      <c r="AX8" s="158"/>
      <c r="AY8" s="158"/>
      <c r="AZ8" s="158"/>
      <c r="BA8" s="158"/>
      <c r="BB8" s="158"/>
      <c r="BC8" s="158"/>
      <c r="BD8" s="158"/>
      <c r="BE8" s="158"/>
      <c r="BF8" s="158"/>
      <c r="BG8" s="158"/>
      <c r="BH8" s="158"/>
      <c r="BI8" s="158"/>
      <c r="BJ8" s="158"/>
      <c r="BK8" s="158"/>
      <c r="BL8" s="158"/>
      <c r="BM8" s="158"/>
      <c r="BN8" s="158"/>
      <c r="BO8" s="158"/>
      <c r="BP8" s="158"/>
      <c r="BQ8" s="158"/>
      <c r="BR8" s="158"/>
    </row>
    <row r="9" spans="1:70" s="159" customFormat="1" ht="177.75" customHeight="1" x14ac:dyDescent="0.35">
      <c r="A9" s="314" t="s">
        <v>1185</v>
      </c>
      <c r="B9" s="315"/>
      <c r="C9" s="315"/>
      <c r="D9" s="315"/>
      <c r="E9" s="315"/>
      <c r="F9" s="315"/>
      <c r="G9" s="315"/>
      <c r="H9" s="315"/>
      <c r="I9" s="315"/>
      <c r="J9" s="315"/>
      <c r="K9" s="315"/>
      <c r="L9" s="315"/>
      <c r="M9" s="315"/>
      <c r="N9" s="158"/>
      <c r="O9" s="158"/>
      <c r="P9" s="158"/>
      <c r="Q9" s="158"/>
      <c r="R9" s="158"/>
      <c r="S9" s="158"/>
      <c r="T9" s="158"/>
      <c r="U9" s="158"/>
      <c r="V9" s="158"/>
      <c r="W9" s="158"/>
      <c r="X9" s="158"/>
      <c r="Y9" s="158"/>
      <c r="Z9" s="158"/>
      <c r="AA9" s="158"/>
      <c r="AB9" s="158"/>
      <c r="AC9" s="158"/>
      <c r="AD9" s="158"/>
      <c r="AE9" s="158"/>
      <c r="AF9" s="158"/>
      <c r="AG9" s="158"/>
      <c r="AH9" s="158"/>
      <c r="AI9" s="158"/>
      <c r="AJ9" s="158"/>
      <c r="AK9" s="158"/>
      <c r="AL9" s="158"/>
      <c r="AM9" s="158"/>
      <c r="AN9" s="158"/>
      <c r="AO9" s="158"/>
      <c r="AP9" s="158"/>
      <c r="AQ9" s="158"/>
      <c r="AR9" s="158"/>
      <c r="AS9" s="158"/>
      <c r="AT9" s="158"/>
      <c r="AU9" s="158"/>
      <c r="AV9" s="158"/>
      <c r="AW9" s="158"/>
      <c r="AX9" s="158"/>
      <c r="AY9" s="158"/>
      <c r="AZ9" s="158"/>
      <c r="BA9" s="158"/>
      <c r="BB9" s="158"/>
      <c r="BC9" s="158"/>
      <c r="BD9" s="158"/>
      <c r="BE9" s="158"/>
      <c r="BF9" s="158"/>
      <c r="BG9" s="158"/>
      <c r="BH9" s="158"/>
      <c r="BI9" s="158"/>
      <c r="BJ9" s="158"/>
      <c r="BK9" s="158"/>
      <c r="BL9" s="158"/>
      <c r="BM9" s="158"/>
      <c r="BN9" s="158"/>
      <c r="BO9" s="158"/>
      <c r="BP9" s="158"/>
      <c r="BQ9" s="158"/>
      <c r="BR9" s="158"/>
    </row>
    <row r="10" spans="1:70" s="159" customFormat="1" ht="89.25" customHeight="1" x14ac:dyDescent="0.35">
      <c r="A10" s="313" t="s">
        <v>112</v>
      </c>
      <c r="B10" s="313" t="s">
        <v>113</v>
      </c>
      <c r="C10" s="313"/>
      <c r="D10" s="313" t="s">
        <v>125</v>
      </c>
      <c r="E10" s="313" t="s">
        <v>115</v>
      </c>
      <c r="F10" s="313" t="s">
        <v>116</v>
      </c>
      <c r="G10" s="313"/>
      <c r="H10" s="313"/>
      <c r="I10" s="313"/>
      <c r="J10" s="313"/>
      <c r="K10" s="313"/>
      <c r="L10" s="313"/>
      <c r="M10" s="313"/>
      <c r="N10" s="158"/>
      <c r="O10" s="158"/>
      <c r="P10" s="158"/>
      <c r="Q10" s="158"/>
      <c r="R10" s="158"/>
      <c r="S10" s="158"/>
      <c r="T10" s="158"/>
      <c r="U10" s="158"/>
      <c r="V10" s="158"/>
      <c r="W10" s="158"/>
      <c r="X10" s="158"/>
      <c r="Y10" s="158"/>
      <c r="Z10" s="158"/>
      <c r="AA10" s="158"/>
      <c r="AB10" s="158"/>
      <c r="AC10" s="158"/>
      <c r="AD10" s="158"/>
      <c r="AE10" s="158"/>
      <c r="AF10" s="158"/>
      <c r="AG10" s="158"/>
      <c r="AH10" s="158"/>
      <c r="AI10" s="158"/>
      <c r="AJ10" s="158"/>
      <c r="AK10" s="158"/>
      <c r="AL10" s="158"/>
      <c r="AM10" s="158"/>
      <c r="AN10" s="158"/>
      <c r="AO10" s="158"/>
      <c r="AP10" s="158"/>
      <c r="AQ10" s="158"/>
      <c r="AR10" s="158"/>
      <c r="AS10" s="158"/>
      <c r="AT10" s="158"/>
      <c r="AU10" s="158"/>
      <c r="AV10" s="158"/>
      <c r="AW10" s="158"/>
      <c r="AX10" s="158"/>
      <c r="AY10" s="158"/>
      <c r="AZ10" s="158"/>
      <c r="BA10" s="158"/>
      <c r="BB10" s="158"/>
      <c r="BC10" s="158"/>
      <c r="BD10" s="158"/>
      <c r="BE10" s="158"/>
      <c r="BF10" s="158"/>
      <c r="BG10" s="158"/>
      <c r="BH10" s="158"/>
      <c r="BI10" s="158"/>
      <c r="BJ10" s="158"/>
      <c r="BK10" s="158"/>
      <c r="BL10" s="158"/>
      <c r="BM10" s="158"/>
      <c r="BN10" s="158"/>
      <c r="BO10" s="158"/>
      <c r="BP10" s="158"/>
      <c r="BQ10" s="158"/>
      <c r="BR10" s="158"/>
    </row>
    <row r="11" spans="1:70" s="159" customFormat="1" ht="176.25" customHeight="1" x14ac:dyDescent="0.35">
      <c r="A11" s="313"/>
      <c r="B11" s="180" t="s">
        <v>117</v>
      </c>
      <c r="C11" s="180" t="s">
        <v>21</v>
      </c>
      <c r="D11" s="313"/>
      <c r="E11" s="313"/>
      <c r="F11" s="180" t="s">
        <v>118</v>
      </c>
      <c r="G11" s="180" t="s">
        <v>126</v>
      </c>
      <c r="H11" s="180" t="s">
        <v>120</v>
      </c>
      <c r="I11" s="180" t="s">
        <v>121</v>
      </c>
      <c r="J11" s="180" t="s">
        <v>127</v>
      </c>
      <c r="K11" s="180" t="s">
        <v>95</v>
      </c>
      <c r="L11" s="180" t="s">
        <v>123</v>
      </c>
      <c r="M11" s="180" t="s">
        <v>124</v>
      </c>
      <c r="N11" s="158"/>
      <c r="O11" s="158"/>
      <c r="P11" s="158"/>
      <c r="Q11" s="158"/>
      <c r="R11" s="158"/>
      <c r="S11" s="158"/>
      <c r="T11" s="158"/>
      <c r="U11" s="158"/>
      <c r="V11" s="158"/>
      <c r="W11" s="158"/>
      <c r="X11" s="158"/>
      <c r="Y11" s="158"/>
      <c r="Z11" s="158"/>
      <c r="AA11" s="158"/>
      <c r="AB11" s="158"/>
      <c r="AC11" s="158"/>
      <c r="AD11" s="158"/>
      <c r="AE11" s="158"/>
      <c r="AF11" s="158"/>
      <c r="AG11" s="158"/>
      <c r="AH11" s="158"/>
      <c r="AI11" s="158"/>
      <c r="AJ11" s="158"/>
      <c r="AK11" s="158"/>
      <c r="AL11" s="158"/>
      <c r="AM11" s="158"/>
      <c r="AN11" s="158"/>
      <c r="AO11" s="158"/>
      <c r="AP11" s="158"/>
      <c r="AQ11" s="158"/>
      <c r="AR11" s="158"/>
      <c r="AS11" s="158"/>
      <c r="AT11" s="158"/>
      <c r="AU11" s="158"/>
      <c r="AV11" s="158"/>
      <c r="AW11" s="158"/>
      <c r="AX11" s="158"/>
      <c r="AY11" s="158"/>
      <c r="AZ11" s="158"/>
      <c r="BA11" s="158"/>
      <c r="BB11" s="158"/>
      <c r="BC11" s="158"/>
      <c r="BD11" s="158"/>
      <c r="BE11" s="158"/>
      <c r="BF11" s="158"/>
      <c r="BG11" s="158"/>
      <c r="BH11" s="158"/>
      <c r="BI11" s="158"/>
      <c r="BJ11" s="158"/>
      <c r="BK11" s="158"/>
      <c r="BL11" s="158"/>
      <c r="BM11" s="158"/>
      <c r="BN11" s="158"/>
      <c r="BO11" s="158"/>
      <c r="BP11" s="158"/>
      <c r="BQ11" s="158"/>
      <c r="BR11" s="158"/>
    </row>
    <row r="12" spans="1:70" ht="51.75" customHeight="1" x14ac:dyDescent="0.3">
      <c r="A12" s="316" t="s">
        <v>128</v>
      </c>
      <c r="B12" s="281"/>
      <c r="C12" s="282"/>
      <c r="D12" s="312"/>
      <c r="E12" s="283"/>
      <c r="F12" s="280" t="str">
        <f t="shared" ref="F12:M12" si="0">IFERROR(IF($E12="","No",IF($E12="No","No"," "))," ")</f>
        <v>No</v>
      </c>
      <c r="G12" s="280" t="str">
        <f t="shared" si="0"/>
        <v>No</v>
      </c>
      <c r="H12" s="280" t="str">
        <f t="shared" si="0"/>
        <v>No</v>
      </c>
      <c r="I12" s="280" t="str">
        <f t="shared" si="0"/>
        <v>No</v>
      </c>
      <c r="J12" s="280" t="str">
        <f t="shared" si="0"/>
        <v>No</v>
      </c>
      <c r="K12" s="280" t="str">
        <f t="shared" si="0"/>
        <v>No</v>
      </c>
      <c r="L12" s="280" t="str">
        <f t="shared" si="0"/>
        <v>No</v>
      </c>
      <c r="M12" s="280" t="str">
        <f t="shared" si="0"/>
        <v>No</v>
      </c>
      <c r="N12" s="163"/>
      <c r="O12" s="163"/>
      <c r="P12" s="163"/>
      <c r="Q12" s="163"/>
      <c r="R12" s="163"/>
      <c r="S12" s="163"/>
      <c r="T12" s="163"/>
      <c r="U12" s="163"/>
      <c r="V12" s="163"/>
      <c r="W12" s="163"/>
      <c r="X12" s="163"/>
      <c r="Y12" s="163"/>
      <c r="Z12" s="163"/>
      <c r="AA12" s="163"/>
      <c r="AB12" s="163"/>
      <c r="AC12" s="163"/>
      <c r="AD12" s="163"/>
      <c r="AE12" s="163"/>
      <c r="AF12" s="163"/>
      <c r="AG12" s="163"/>
      <c r="AH12" s="163"/>
      <c r="AI12" s="163"/>
      <c r="AJ12" s="163"/>
      <c r="AK12" s="163"/>
      <c r="AL12" s="163"/>
      <c r="AM12" s="163"/>
      <c r="AN12" s="163"/>
      <c r="AO12" s="163"/>
      <c r="AP12" s="163"/>
      <c r="AQ12" s="163"/>
      <c r="AR12" s="163"/>
      <c r="AS12" s="163"/>
      <c r="AT12" s="163"/>
      <c r="AU12" s="163"/>
      <c r="AV12" s="163"/>
      <c r="AW12" s="163"/>
      <c r="AX12" s="163"/>
      <c r="AY12" s="163"/>
      <c r="AZ12" s="163"/>
      <c r="BA12" s="163"/>
      <c r="BB12" s="163"/>
      <c r="BC12" s="163"/>
      <c r="BD12" s="163"/>
      <c r="BE12" s="163"/>
      <c r="BF12" s="163"/>
      <c r="BG12" s="163"/>
      <c r="BH12" s="163"/>
      <c r="BI12" s="163"/>
      <c r="BJ12" s="163"/>
      <c r="BK12" s="163"/>
      <c r="BL12" s="163"/>
      <c r="BM12" s="163"/>
      <c r="BN12" s="163"/>
      <c r="BO12" s="163"/>
      <c r="BP12" s="163"/>
      <c r="BQ12" s="163"/>
      <c r="BR12" s="163"/>
    </row>
    <row r="13" spans="1:70" ht="51.75" customHeight="1" x14ac:dyDescent="0.3">
      <c r="A13" s="316"/>
      <c r="B13" s="281"/>
      <c r="C13" s="282"/>
      <c r="D13" s="312"/>
      <c r="E13" s="283"/>
      <c r="F13" s="280"/>
      <c r="G13" s="280"/>
      <c r="H13" s="280"/>
      <c r="I13" s="280"/>
      <c r="J13" s="280"/>
      <c r="K13" s="280"/>
      <c r="L13" s="280"/>
      <c r="M13" s="280"/>
      <c r="N13" s="163"/>
      <c r="O13" s="163"/>
      <c r="P13" s="163"/>
      <c r="Q13" s="163"/>
      <c r="R13" s="163"/>
      <c r="S13" s="163"/>
      <c r="T13" s="163"/>
      <c r="U13" s="163"/>
      <c r="V13" s="163"/>
      <c r="W13" s="163"/>
      <c r="X13" s="163"/>
      <c r="Y13" s="163"/>
      <c r="Z13" s="163"/>
      <c r="AA13" s="163"/>
      <c r="AB13" s="163"/>
      <c r="AC13" s="163"/>
      <c r="AD13" s="163"/>
      <c r="AE13" s="163"/>
      <c r="AF13" s="163"/>
      <c r="AG13" s="163"/>
      <c r="AH13" s="163"/>
      <c r="AI13" s="163"/>
      <c r="AJ13" s="163"/>
      <c r="AK13" s="163"/>
      <c r="AL13" s="163"/>
      <c r="AM13" s="163"/>
      <c r="AN13" s="163"/>
      <c r="AO13" s="163"/>
      <c r="AP13" s="163"/>
      <c r="AQ13" s="163"/>
      <c r="AR13" s="163"/>
      <c r="AS13" s="163"/>
      <c r="AT13" s="163"/>
      <c r="AU13" s="163"/>
      <c r="AV13" s="163"/>
      <c r="AW13" s="163"/>
      <c r="AX13" s="163"/>
      <c r="AY13" s="163"/>
      <c r="AZ13" s="163"/>
      <c r="BA13" s="163"/>
      <c r="BB13" s="163"/>
      <c r="BC13" s="163"/>
      <c r="BD13" s="163"/>
      <c r="BE13" s="163"/>
      <c r="BF13" s="163"/>
      <c r="BG13" s="163"/>
      <c r="BH13" s="163"/>
      <c r="BI13" s="163"/>
      <c r="BJ13" s="163"/>
      <c r="BK13" s="163"/>
      <c r="BL13" s="163"/>
      <c r="BM13" s="163"/>
      <c r="BN13" s="163"/>
      <c r="BO13" s="163"/>
      <c r="BP13" s="163"/>
      <c r="BQ13" s="163"/>
      <c r="BR13" s="163"/>
    </row>
    <row r="14" spans="1:70" ht="51.75" customHeight="1" x14ac:dyDescent="0.3">
      <c r="A14" s="316"/>
      <c r="B14" s="281"/>
      <c r="C14" s="282"/>
      <c r="D14" s="312"/>
      <c r="E14" s="283"/>
      <c r="F14" s="280"/>
      <c r="G14" s="280"/>
      <c r="H14" s="280"/>
      <c r="I14" s="280"/>
      <c r="J14" s="280"/>
      <c r="K14" s="280"/>
      <c r="L14" s="280"/>
      <c r="M14" s="280"/>
      <c r="N14" s="163"/>
      <c r="O14" s="163"/>
      <c r="P14" s="163"/>
      <c r="Q14" s="163"/>
      <c r="R14" s="163"/>
      <c r="S14" s="163"/>
      <c r="T14" s="163"/>
      <c r="U14" s="163"/>
      <c r="V14" s="163"/>
      <c r="W14" s="163"/>
      <c r="X14" s="163"/>
      <c r="Y14" s="163"/>
      <c r="Z14" s="163"/>
      <c r="AA14" s="163"/>
      <c r="AB14" s="163"/>
      <c r="AC14" s="163"/>
      <c r="AD14" s="163"/>
      <c r="AE14" s="163"/>
      <c r="AF14" s="163"/>
      <c r="AG14" s="163"/>
      <c r="AH14" s="163"/>
      <c r="AI14" s="163"/>
      <c r="AJ14" s="163"/>
      <c r="AK14" s="163"/>
      <c r="AL14" s="163"/>
      <c r="AM14" s="163"/>
      <c r="AN14" s="163"/>
      <c r="AO14" s="163"/>
      <c r="AP14" s="163"/>
      <c r="AQ14" s="163"/>
      <c r="AR14" s="163"/>
      <c r="AS14" s="163"/>
      <c r="AT14" s="163"/>
      <c r="AU14" s="163"/>
      <c r="AV14" s="163"/>
      <c r="AW14" s="163"/>
      <c r="AX14" s="163"/>
      <c r="AY14" s="163"/>
      <c r="AZ14" s="163"/>
      <c r="BA14" s="163"/>
      <c r="BB14" s="163"/>
      <c r="BC14" s="163"/>
      <c r="BD14" s="163"/>
      <c r="BE14" s="163"/>
      <c r="BF14" s="163"/>
      <c r="BG14" s="163"/>
      <c r="BH14" s="163"/>
      <c r="BI14" s="163"/>
      <c r="BJ14" s="163"/>
      <c r="BK14" s="163"/>
      <c r="BL14" s="163"/>
      <c r="BM14" s="163"/>
      <c r="BN14" s="163"/>
      <c r="BO14" s="163"/>
      <c r="BP14" s="163"/>
      <c r="BQ14" s="163"/>
      <c r="BR14" s="163"/>
    </row>
    <row r="15" spans="1:70" ht="51.75" customHeight="1" x14ac:dyDescent="0.3">
      <c r="A15" s="316"/>
      <c r="B15" s="281"/>
      <c r="C15" s="282"/>
      <c r="D15" s="312"/>
      <c r="E15" s="283"/>
      <c r="F15" s="280" t="str">
        <f t="shared" ref="F15:M39" si="1">IFERROR(IF($E15="","No",IF($E15="No","No"," "))," ")</f>
        <v>No</v>
      </c>
      <c r="G15" s="280" t="str">
        <f t="shared" si="1"/>
        <v>No</v>
      </c>
      <c r="H15" s="280" t="str">
        <f t="shared" si="1"/>
        <v>No</v>
      </c>
      <c r="I15" s="280" t="str">
        <f t="shared" si="1"/>
        <v>No</v>
      </c>
      <c r="J15" s="280" t="str">
        <f t="shared" si="1"/>
        <v>No</v>
      </c>
      <c r="K15" s="280" t="str">
        <f t="shared" si="1"/>
        <v>No</v>
      </c>
      <c r="L15" s="280" t="str">
        <f t="shared" si="1"/>
        <v>No</v>
      </c>
      <c r="M15" s="280" t="str">
        <f t="shared" si="1"/>
        <v>No</v>
      </c>
      <c r="N15" s="163"/>
      <c r="O15" s="163"/>
      <c r="P15" s="163"/>
      <c r="Q15" s="163"/>
      <c r="R15" s="163"/>
      <c r="S15" s="163"/>
      <c r="T15" s="163"/>
      <c r="U15" s="163"/>
      <c r="V15" s="163"/>
      <c r="W15" s="163"/>
      <c r="X15" s="163"/>
      <c r="Y15" s="163"/>
      <c r="Z15" s="163"/>
      <c r="AA15" s="163"/>
      <c r="AB15" s="163"/>
      <c r="AC15" s="163"/>
      <c r="AD15" s="163"/>
      <c r="AE15" s="163"/>
      <c r="AF15" s="163"/>
      <c r="AG15" s="163"/>
      <c r="AH15" s="163"/>
      <c r="AI15" s="163"/>
      <c r="AJ15" s="163"/>
      <c r="AK15" s="163"/>
      <c r="AL15" s="163"/>
      <c r="AM15" s="163"/>
      <c r="AN15" s="163"/>
      <c r="AO15" s="163"/>
      <c r="AP15" s="163"/>
      <c r="AQ15" s="163"/>
      <c r="AR15" s="163"/>
      <c r="AS15" s="163"/>
      <c r="AT15" s="163"/>
      <c r="AU15" s="163"/>
      <c r="AV15" s="163"/>
      <c r="AW15" s="163"/>
      <c r="AX15" s="163"/>
      <c r="AY15" s="163"/>
      <c r="AZ15" s="163"/>
      <c r="BA15" s="163"/>
      <c r="BB15" s="163"/>
      <c r="BC15" s="163"/>
      <c r="BD15" s="163"/>
      <c r="BE15" s="163"/>
      <c r="BF15" s="163"/>
      <c r="BG15" s="163"/>
      <c r="BH15" s="163"/>
      <c r="BI15" s="163"/>
      <c r="BJ15" s="163"/>
      <c r="BK15" s="163"/>
      <c r="BL15" s="163"/>
      <c r="BM15" s="163"/>
      <c r="BN15" s="163"/>
      <c r="BO15" s="163"/>
      <c r="BP15" s="163"/>
      <c r="BQ15" s="163"/>
      <c r="BR15" s="163"/>
    </row>
    <row r="16" spans="1:70" ht="51.75" customHeight="1" x14ac:dyDescent="0.3">
      <c r="A16" s="316"/>
      <c r="B16" s="281"/>
      <c r="C16" s="282"/>
      <c r="D16" s="312"/>
      <c r="E16" s="283"/>
      <c r="F16" s="280"/>
      <c r="G16" s="280"/>
      <c r="H16" s="280"/>
      <c r="I16" s="280"/>
      <c r="J16" s="280"/>
      <c r="K16" s="280"/>
      <c r="L16" s="280"/>
      <c r="M16" s="280"/>
      <c r="N16" s="163"/>
      <c r="O16" s="163"/>
      <c r="P16" s="163"/>
      <c r="Q16" s="163"/>
      <c r="R16" s="163"/>
      <c r="S16" s="163"/>
      <c r="T16" s="163"/>
      <c r="U16" s="163"/>
      <c r="V16" s="163"/>
      <c r="W16" s="163"/>
      <c r="X16" s="163"/>
      <c r="Y16" s="163"/>
      <c r="Z16" s="163"/>
      <c r="AA16" s="163"/>
      <c r="AB16" s="163"/>
      <c r="AC16" s="163"/>
      <c r="AD16" s="163"/>
      <c r="AE16" s="163"/>
      <c r="AF16" s="163"/>
      <c r="AG16" s="163"/>
      <c r="AH16" s="163"/>
      <c r="AI16" s="163"/>
      <c r="AJ16" s="163"/>
      <c r="AK16" s="163"/>
      <c r="AL16" s="163"/>
      <c r="AM16" s="163"/>
      <c r="AN16" s="163"/>
      <c r="AO16" s="163"/>
      <c r="AP16" s="163"/>
      <c r="AQ16" s="163"/>
      <c r="AR16" s="163"/>
      <c r="AS16" s="163"/>
      <c r="AT16" s="163"/>
      <c r="AU16" s="163"/>
      <c r="AV16" s="163"/>
      <c r="AW16" s="163"/>
      <c r="AX16" s="163"/>
      <c r="AY16" s="163"/>
      <c r="AZ16" s="163"/>
      <c r="BA16" s="163"/>
      <c r="BB16" s="163"/>
      <c r="BC16" s="163"/>
      <c r="BD16" s="163"/>
      <c r="BE16" s="163"/>
      <c r="BF16" s="163"/>
      <c r="BG16" s="163"/>
      <c r="BH16" s="163"/>
      <c r="BI16" s="163"/>
      <c r="BJ16" s="163"/>
      <c r="BK16" s="163"/>
      <c r="BL16" s="163"/>
      <c r="BM16" s="163"/>
      <c r="BN16" s="163"/>
      <c r="BO16" s="163"/>
      <c r="BP16" s="163"/>
      <c r="BQ16" s="163"/>
      <c r="BR16" s="163"/>
    </row>
    <row r="17" spans="1:70" ht="51.75" customHeight="1" x14ac:dyDescent="0.3">
      <c r="A17" s="316"/>
      <c r="B17" s="281"/>
      <c r="C17" s="282"/>
      <c r="D17" s="312"/>
      <c r="E17" s="283"/>
      <c r="F17" s="280"/>
      <c r="G17" s="280"/>
      <c r="H17" s="280"/>
      <c r="I17" s="280"/>
      <c r="J17" s="280"/>
      <c r="K17" s="280"/>
      <c r="L17" s="280"/>
      <c r="M17" s="280"/>
      <c r="N17" s="163"/>
      <c r="O17" s="163"/>
      <c r="P17" s="163"/>
      <c r="Q17" s="163"/>
      <c r="R17" s="163"/>
      <c r="S17" s="163"/>
      <c r="T17" s="163"/>
      <c r="U17" s="163"/>
      <c r="V17" s="163"/>
      <c r="W17" s="163"/>
      <c r="X17" s="163"/>
      <c r="Y17" s="163"/>
      <c r="Z17" s="163"/>
      <c r="AA17" s="163"/>
      <c r="AB17" s="163"/>
      <c r="AC17" s="163"/>
      <c r="AD17" s="163"/>
      <c r="AE17" s="163"/>
      <c r="AF17" s="163"/>
      <c r="AG17" s="163"/>
      <c r="AH17" s="163"/>
      <c r="AI17" s="163"/>
      <c r="AJ17" s="163"/>
      <c r="AK17" s="163"/>
      <c r="AL17" s="163"/>
      <c r="AM17" s="163"/>
      <c r="AN17" s="163"/>
      <c r="AO17" s="163"/>
      <c r="AP17" s="163"/>
      <c r="AQ17" s="163"/>
      <c r="AR17" s="163"/>
      <c r="AS17" s="163"/>
      <c r="AT17" s="163"/>
      <c r="AU17" s="163"/>
      <c r="AV17" s="163"/>
      <c r="AW17" s="163"/>
      <c r="AX17" s="163"/>
      <c r="AY17" s="163"/>
      <c r="AZ17" s="163"/>
      <c r="BA17" s="163"/>
      <c r="BB17" s="163"/>
      <c r="BC17" s="163"/>
      <c r="BD17" s="163"/>
      <c r="BE17" s="163"/>
      <c r="BF17" s="163"/>
      <c r="BG17" s="163"/>
      <c r="BH17" s="163"/>
      <c r="BI17" s="163"/>
      <c r="BJ17" s="163"/>
      <c r="BK17" s="163"/>
      <c r="BL17" s="163"/>
      <c r="BM17" s="163"/>
      <c r="BN17" s="163"/>
      <c r="BO17" s="163"/>
      <c r="BP17" s="163"/>
      <c r="BQ17" s="163"/>
      <c r="BR17" s="163"/>
    </row>
    <row r="18" spans="1:70" ht="51.75" customHeight="1" x14ac:dyDescent="0.3">
      <c r="A18" s="316"/>
      <c r="B18" s="281"/>
      <c r="C18" s="282"/>
      <c r="D18" s="312"/>
      <c r="E18" s="283"/>
      <c r="F18" s="280" t="str">
        <f t="shared" ref="F18" si="2">IFERROR(IF($E18="","No",IF($E18="No","No"," "))," ")</f>
        <v>No</v>
      </c>
      <c r="G18" s="280" t="str">
        <f t="shared" si="1"/>
        <v>No</v>
      </c>
      <c r="H18" s="280" t="str">
        <f t="shared" si="1"/>
        <v>No</v>
      </c>
      <c r="I18" s="280" t="str">
        <f t="shared" si="1"/>
        <v>No</v>
      </c>
      <c r="J18" s="280" t="str">
        <f t="shared" si="1"/>
        <v>No</v>
      </c>
      <c r="K18" s="280" t="str">
        <f t="shared" si="1"/>
        <v>No</v>
      </c>
      <c r="L18" s="280" t="str">
        <f t="shared" si="1"/>
        <v>No</v>
      </c>
      <c r="M18" s="280" t="str">
        <f t="shared" si="1"/>
        <v>No</v>
      </c>
      <c r="N18" s="163"/>
      <c r="O18" s="163"/>
      <c r="P18" s="163"/>
      <c r="Q18" s="163"/>
      <c r="R18" s="163"/>
      <c r="S18" s="163"/>
      <c r="T18" s="163"/>
      <c r="U18" s="163"/>
      <c r="V18" s="163"/>
      <c r="W18" s="163"/>
      <c r="X18" s="163"/>
      <c r="Y18" s="163"/>
      <c r="Z18" s="163"/>
      <c r="AA18" s="163"/>
      <c r="AB18" s="163"/>
      <c r="AC18" s="163"/>
      <c r="AD18" s="163"/>
      <c r="AE18" s="163"/>
      <c r="AF18" s="163"/>
      <c r="AG18" s="163"/>
      <c r="AH18" s="163"/>
      <c r="AI18" s="163"/>
      <c r="AJ18" s="163"/>
      <c r="AK18" s="163"/>
      <c r="AL18" s="163"/>
      <c r="AM18" s="163"/>
      <c r="AN18" s="163"/>
      <c r="AO18" s="163"/>
      <c r="AP18" s="163"/>
      <c r="AQ18" s="163"/>
      <c r="AR18" s="163"/>
      <c r="AS18" s="163"/>
      <c r="AT18" s="163"/>
      <c r="AU18" s="163"/>
      <c r="AV18" s="163"/>
      <c r="AW18" s="163"/>
      <c r="AX18" s="163"/>
      <c r="AY18" s="163"/>
      <c r="AZ18" s="163"/>
      <c r="BA18" s="163"/>
      <c r="BB18" s="163"/>
      <c r="BC18" s="163"/>
      <c r="BD18" s="163"/>
      <c r="BE18" s="163"/>
      <c r="BF18" s="163"/>
      <c r="BG18" s="163"/>
      <c r="BH18" s="163"/>
      <c r="BI18" s="163"/>
      <c r="BJ18" s="163"/>
      <c r="BK18" s="163"/>
      <c r="BL18" s="163"/>
      <c r="BM18" s="163"/>
      <c r="BN18" s="163"/>
      <c r="BO18" s="163"/>
      <c r="BP18" s="163"/>
      <c r="BQ18" s="163"/>
      <c r="BR18" s="163"/>
    </row>
    <row r="19" spans="1:70" ht="51.75" customHeight="1" x14ac:dyDescent="0.3">
      <c r="A19" s="316"/>
      <c r="B19" s="281"/>
      <c r="C19" s="282"/>
      <c r="D19" s="312"/>
      <c r="E19" s="283"/>
      <c r="F19" s="280"/>
      <c r="G19" s="280"/>
      <c r="H19" s="280"/>
      <c r="I19" s="280"/>
      <c r="J19" s="280"/>
      <c r="K19" s="280"/>
      <c r="L19" s="280"/>
      <c r="M19" s="280"/>
      <c r="N19" s="163"/>
      <c r="O19" s="163"/>
      <c r="P19" s="163"/>
      <c r="Q19" s="163"/>
      <c r="R19" s="163"/>
      <c r="S19" s="163"/>
      <c r="T19" s="163"/>
      <c r="U19" s="163"/>
      <c r="V19" s="163"/>
      <c r="W19" s="163"/>
      <c r="X19" s="163"/>
      <c r="Y19" s="163"/>
      <c r="Z19" s="163"/>
      <c r="AA19" s="163"/>
      <c r="AB19" s="163"/>
      <c r="AC19" s="163"/>
      <c r="AD19" s="163"/>
      <c r="AE19" s="163"/>
      <c r="AF19" s="163"/>
      <c r="AG19" s="163"/>
      <c r="AH19" s="163"/>
      <c r="AI19" s="163"/>
      <c r="AJ19" s="163"/>
      <c r="AK19" s="163"/>
      <c r="AL19" s="163"/>
      <c r="AM19" s="163"/>
      <c r="AN19" s="163"/>
      <c r="AO19" s="163"/>
      <c r="AP19" s="163"/>
      <c r="AQ19" s="163"/>
      <c r="AR19" s="163"/>
      <c r="AS19" s="163"/>
      <c r="AT19" s="163"/>
      <c r="AU19" s="163"/>
      <c r="AV19" s="163"/>
      <c r="AW19" s="163"/>
      <c r="AX19" s="163"/>
      <c r="AY19" s="163"/>
      <c r="AZ19" s="163"/>
      <c r="BA19" s="163"/>
      <c r="BB19" s="163"/>
      <c r="BC19" s="163"/>
      <c r="BD19" s="163"/>
      <c r="BE19" s="163"/>
      <c r="BF19" s="163"/>
      <c r="BG19" s="163"/>
      <c r="BH19" s="163"/>
      <c r="BI19" s="163"/>
      <c r="BJ19" s="163"/>
      <c r="BK19" s="163"/>
      <c r="BL19" s="163"/>
      <c r="BM19" s="163"/>
      <c r="BN19" s="163"/>
      <c r="BO19" s="163"/>
      <c r="BP19" s="163"/>
      <c r="BQ19" s="163"/>
      <c r="BR19" s="163"/>
    </row>
    <row r="20" spans="1:70" ht="51.75" customHeight="1" x14ac:dyDescent="0.3">
      <c r="A20" s="316"/>
      <c r="B20" s="281"/>
      <c r="C20" s="282"/>
      <c r="D20" s="312"/>
      <c r="E20" s="283"/>
      <c r="F20" s="280"/>
      <c r="G20" s="280"/>
      <c r="H20" s="280"/>
      <c r="I20" s="280"/>
      <c r="J20" s="280"/>
      <c r="K20" s="280"/>
      <c r="L20" s="280"/>
      <c r="M20" s="280"/>
      <c r="N20" s="163"/>
      <c r="O20" s="163"/>
      <c r="P20" s="163"/>
      <c r="Q20" s="163"/>
      <c r="R20" s="163"/>
      <c r="S20" s="163"/>
      <c r="T20" s="163"/>
      <c r="U20" s="163"/>
      <c r="V20" s="163"/>
      <c r="W20" s="163"/>
      <c r="X20" s="163"/>
      <c r="Y20" s="163"/>
      <c r="Z20" s="163"/>
      <c r="AA20" s="163"/>
      <c r="AB20" s="163"/>
      <c r="AC20" s="163"/>
      <c r="AD20" s="163"/>
      <c r="AE20" s="163"/>
      <c r="AF20" s="163"/>
      <c r="AG20" s="163"/>
      <c r="AH20" s="163"/>
      <c r="AI20" s="163"/>
      <c r="AJ20" s="163"/>
      <c r="AK20" s="163"/>
      <c r="AL20" s="163"/>
      <c r="AM20" s="163"/>
      <c r="AN20" s="163"/>
      <c r="AO20" s="163"/>
      <c r="AP20" s="163"/>
      <c r="AQ20" s="163"/>
      <c r="AR20" s="163"/>
      <c r="AS20" s="163"/>
      <c r="AT20" s="163"/>
      <c r="AU20" s="163"/>
      <c r="AV20" s="163"/>
      <c r="AW20" s="163"/>
      <c r="AX20" s="163"/>
      <c r="AY20" s="163"/>
      <c r="AZ20" s="163"/>
      <c r="BA20" s="163"/>
      <c r="BB20" s="163"/>
      <c r="BC20" s="163"/>
      <c r="BD20" s="163"/>
      <c r="BE20" s="163"/>
      <c r="BF20" s="163"/>
      <c r="BG20" s="163"/>
      <c r="BH20" s="163"/>
      <c r="BI20" s="163"/>
      <c r="BJ20" s="163"/>
      <c r="BK20" s="163"/>
      <c r="BL20" s="163"/>
      <c r="BM20" s="163"/>
      <c r="BN20" s="163"/>
      <c r="BO20" s="163"/>
      <c r="BP20" s="163"/>
      <c r="BQ20" s="163"/>
      <c r="BR20" s="163"/>
    </row>
    <row r="21" spans="1:70" ht="51.75" customHeight="1" x14ac:dyDescent="0.3">
      <c r="A21" s="316"/>
      <c r="B21" s="281"/>
      <c r="C21" s="282"/>
      <c r="D21" s="312"/>
      <c r="E21" s="283"/>
      <c r="F21" s="280" t="str">
        <f t="shared" ref="F21" si="3">IFERROR(IF($E21="","No",IF($E21="No","No"," "))," ")</f>
        <v>No</v>
      </c>
      <c r="G21" s="280" t="str">
        <f t="shared" si="1"/>
        <v>No</v>
      </c>
      <c r="H21" s="280" t="str">
        <f t="shared" si="1"/>
        <v>No</v>
      </c>
      <c r="I21" s="280" t="str">
        <f t="shared" si="1"/>
        <v>No</v>
      </c>
      <c r="J21" s="280" t="str">
        <f t="shared" si="1"/>
        <v>No</v>
      </c>
      <c r="K21" s="280" t="str">
        <f t="shared" si="1"/>
        <v>No</v>
      </c>
      <c r="L21" s="280" t="str">
        <f t="shared" si="1"/>
        <v>No</v>
      </c>
      <c r="M21" s="280" t="str">
        <f t="shared" si="1"/>
        <v>No</v>
      </c>
      <c r="N21" s="163"/>
      <c r="O21" s="163"/>
      <c r="P21" s="163"/>
      <c r="Q21" s="163"/>
      <c r="R21" s="163"/>
      <c r="S21" s="163"/>
      <c r="T21" s="163"/>
      <c r="U21" s="163"/>
      <c r="V21" s="163"/>
      <c r="W21" s="163"/>
      <c r="X21" s="163"/>
      <c r="Y21" s="163"/>
      <c r="Z21" s="163"/>
      <c r="AA21" s="163"/>
      <c r="AB21" s="163"/>
      <c r="AC21" s="163"/>
      <c r="AD21" s="163"/>
      <c r="AE21" s="163"/>
      <c r="AF21" s="163"/>
      <c r="AG21" s="163"/>
      <c r="AH21" s="163"/>
      <c r="AI21" s="163"/>
      <c r="AJ21" s="163"/>
      <c r="AK21" s="163"/>
      <c r="AL21" s="163"/>
      <c r="AM21" s="163"/>
      <c r="AN21" s="163"/>
      <c r="AO21" s="163"/>
      <c r="AP21" s="163"/>
      <c r="AQ21" s="163"/>
      <c r="AR21" s="163"/>
      <c r="AS21" s="163"/>
      <c r="AT21" s="163"/>
      <c r="AU21" s="163"/>
      <c r="AV21" s="163"/>
      <c r="AW21" s="163"/>
      <c r="AX21" s="163"/>
      <c r="AY21" s="163"/>
      <c r="AZ21" s="163"/>
      <c r="BA21" s="163"/>
      <c r="BB21" s="163"/>
      <c r="BC21" s="163"/>
      <c r="BD21" s="163"/>
      <c r="BE21" s="163"/>
      <c r="BF21" s="163"/>
      <c r="BG21" s="163"/>
      <c r="BH21" s="163"/>
      <c r="BI21" s="163"/>
      <c r="BJ21" s="163"/>
      <c r="BK21" s="163"/>
      <c r="BL21" s="163"/>
      <c r="BM21" s="163"/>
      <c r="BN21" s="163"/>
      <c r="BO21" s="163"/>
      <c r="BP21" s="163"/>
      <c r="BQ21" s="163"/>
      <c r="BR21" s="163"/>
    </row>
    <row r="22" spans="1:70" ht="51.75" customHeight="1" x14ac:dyDescent="0.3">
      <c r="A22" s="316"/>
      <c r="B22" s="281"/>
      <c r="C22" s="282"/>
      <c r="D22" s="312"/>
      <c r="E22" s="283"/>
      <c r="F22" s="280"/>
      <c r="G22" s="280"/>
      <c r="H22" s="280"/>
      <c r="I22" s="280"/>
      <c r="J22" s="280"/>
      <c r="K22" s="280"/>
      <c r="L22" s="280"/>
      <c r="M22" s="280"/>
      <c r="N22" s="163"/>
      <c r="O22" s="163"/>
      <c r="P22" s="163"/>
      <c r="Q22" s="163"/>
      <c r="R22" s="163"/>
      <c r="S22" s="163"/>
      <c r="T22" s="163"/>
      <c r="U22" s="163"/>
      <c r="V22" s="163"/>
      <c r="W22" s="163"/>
      <c r="X22" s="163"/>
      <c r="Y22" s="163"/>
      <c r="Z22" s="163"/>
      <c r="AA22" s="163"/>
      <c r="AB22" s="163"/>
      <c r="AC22" s="163"/>
      <c r="AD22" s="163"/>
      <c r="AE22" s="163"/>
      <c r="AF22" s="163"/>
      <c r="AG22" s="163"/>
      <c r="AH22" s="163"/>
      <c r="AI22" s="163"/>
      <c r="AJ22" s="163"/>
      <c r="AK22" s="163"/>
      <c r="AL22" s="163"/>
      <c r="AM22" s="163"/>
      <c r="AN22" s="163"/>
      <c r="AO22" s="163"/>
      <c r="AP22" s="163"/>
      <c r="AQ22" s="163"/>
      <c r="AR22" s="163"/>
      <c r="AS22" s="163"/>
      <c r="AT22" s="163"/>
      <c r="AU22" s="163"/>
      <c r="AV22" s="163"/>
      <c r="AW22" s="163"/>
      <c r="AX22" s="163"/>
      <c r="AY22" s="163"/>
      <c r="AZ22" s="163"/>
      <c r="BA22" s="163"/>
      <c r="BB22" s="163"/>
      <c r="BC22" s="163"/>
      <c r="BD22" s="163"/>
      <c r="BE22" s="163"/>
      <c r="BF22" s="163"/>
      <c r="BG22" s="163"/>
      <c r="BH22" s="163"/>
      <c r="BI22" s="163"/>
      <c r="BJ22" s="163"/>
      <c r="BK22" s="163"/>
      <c r="BL22" s="163"/>
      <c r="BM22" s="163"/>
      <c r="BN22" s="163"/>
      <c r="BO22" s="163"/>
      <c r="BP22" s="163"/>
      <c r="BQ22" s="163"/>
      <c r="BR22" s="163"/>
    </row>
    <row r="23" spans="1:70" ht="51.75" customHeight="1" x14ac:dyDescent="0.3">
      <c r="A23" s="316"/>
      <c r="B23" s="281"/>
      <c r="C23" s="282"/>
      <c r="D23" s="312"/>
      <c r="E23" s="283"/>
      <c r="F23" s="280"/>
      <c r="G23" s="280"/>
      <c r="H23" s="280"/>
      <c r="I23" s="280"/>
      <c r="J23" s="280"/>
      <c r="K23" s="280"/>
      <c r="L23" s="280"/>
      <c r="M23" s="280"/>
      <c r="N23" s="163"/>
      <c r="O23" s="163"/>
      <c r="P23" s="163"/>
      <c r="Q23" s="163"/>
      <c r="R23" s="163"/>
      <c r="S23" s="163"/>
      <c r="T23" s="163"/>
      <c r="U23" s="163"/>
      <c r="V23" s="163"/>
      <c r="W23" s="163"/>
      <c r="X23" s="163"/>
      <c r="Y23" s="163"/>
      <c r="Z23" s="163"/>
      <c r="AA23" s="163"/>
      <c r="AB23" s="163"/>
      <c r="AC23" s="163"/>
      <c r="AD23" s="163"/>
      <c r="AE23" s="163"/>
      <c r="AF23" s="163"/>
      <c r="AG23" s="163"/>
      <c r="AH23" s="163"/>
      <c r="AI23" s="163"/>
      <c r="AJ23" s="163"/>
      <c r="AK23" s="163"/>
      <c r="AL23" s="163"/>
      <c r="AM23" s="163"/>
      <c r="AN23" s="163"/>
      <c r="AO23" s="163"/>
      <c r="AP23" s="163"/>
      <c r="AQ23" s="163"/>
      <c r="AR23" s="163"/>
      <c r="AS23" s="163"/>
      <c r="AT23" s="163"/>
      <c r="AU23" s="163"/>
      <c r="AV23" s="163"/>
      <c r="AW23" s="163"/>
      <c r="AX23" s="163"/>
      <c r="AY23" s="163"/>
      <c r="AZ23" s="163"/>
      <c r="BA23" s="163"/>
      <c r="BB23" s="163"/>
      <c r="BC23" s="163"/>
      <c r="BD23" s="163"/>
      <c r="BE23" s="163"/>
      <c r="BF23" s="163"/>
      <c r="BG23" s="163"/>
      <c r="BH23" s="163"/>
      <c r="BI23" s="163"/>
      <c r="BJ23" s="163"/>
      <c r="BK23" s="163"/>
      <c r="BL23" s="163"/>
      <c r="BM23" s="163"/>
      <c r="BN23" s="163"/>
      <c r="BO23" s="163"/>
      <c r="BP23" s="163"/>
      <c r="BQ23" s="163"/>
      <c r="BR23" s="163"/>
    </row>
    <row r="24" spans="1:70" ht="51.75" customHeight="1" x14ac:dyDescent="0.3">
      <c r="A24" s="316"/>
      <c r="B24" s="281"/>
      <c r="C24" s="282"/>
      <c r="D24" s="312"/>
      <c r="E24" s="283"/>
      <c r="F24" s="280" t="str">
        <f t="shared" ref="F24" si="4">IFERROR(IF($E24="","No",IF($E24="No","No"," "))," ")</f>
        <v>No</v>
      </c>
      <c r="G24" s="280" t="str">
        <f t="shared" si="1"/>
        <v>No</v>
      </c>
      <c r="H24" s="280" t="str">
        <f t="shared" si="1"/>
        <v>No</v>
      </c>
      <c r="I24" s="280" t="str">
        <f t="shared" si="1"/>
        <v>No</v>
      </c>
      <c r="J24" s="280" t="str">
        <f t="shared" si="1"/>
        <v>No</v>
      </c>
      <c r="K24" s="280" t="str">
        <f t="shared" si="1"/>
        <v>No</v>
      </c>
      <c r="L24" s="280" t="str">
        <f t="shared" si="1"/>
        <v>No</v>
      </c>
      <c r="M24" s="280" t="str">
        <f t="shared" si="1"/>
        <v>No</v>
      </c>
      <c r="N24" s="163"/>
      <c r="O24" s="163"/>
      <c r="P24" s="163"/>
      <c r="Q24" s="163"/>
      <c r="R24" s="163"/>
      <c r="S24" s="163"/>
      <c r="T24" s="163"/>
      <c r="U24" s="163"/>
      <c r="V24" s="163"/>
      <c r="W24" s="163"/>
      <c r="X24" s="163"/>
      <c r="Y24" s="163"/>
      <c r="Z24" s="163"/>
      <c r="AA24" s="163"/>
      <c r="AB24" s="163"/>
      <c r="AC24" s="163"/>
      <c r="AD24" s="163"/>
      <c r="AE24" s="163"/>
      <c r="AF24" s="163"/>
      <c r="AG24" s="163"/>
      <c r="AH24" s="163"/>
      <c r="AI24" s="163"/>
      <c r="AJ24" s="163"/>
      <c r="AK24" s="163"/>
      <c r="AL24" s="163"/>
      <c r="AM24" s="163"/>
      <c r="AN24" s="163"/>
      <c r="AO24" s="163"/>
      <c r="AP24" s="163"/>
      <c r="AQ24" s="163"/>
      <c r="AR24" s="163"/>
      <c r="AS24" s="163"/>
      <c r="AT24" s="163"/>
      <c r="AU24" s="163"/>
      <c r="AV24" s="163"/>
      <c r="AW24" s="163"/>
      <c r="AX24" s="163"/>
      <c r="AY24" s="163"/>
      <c r="AZ24" s="163"/>
      <c r="BA24" s="163"/>
      <c r="BB24" s="163"/>
      <c r="BC24" s="163"/>
      <c r="BD24" s="163"/>
      <c r="BE24" s="163"/>
      <c r="BF24" s="163"/>
      <c r="BG24" s="163"/>
      <c r="BH24" s="163"/>
      <c r="BI24" s="163"/>
      <c r="BJ24" s="163"/>
      <c r="BK24" s="163"/>
      <c r="BL24" s="163"/>
      <c r="BM24" s="163"/>
      <c r="BN24" s="163"/>
      <c r="BO24" s="163"/>
      <c r="BP24" s="163"/>
      <c r="BQ24" s="163"/>
      <c r="BR24" s="163"/>
    </row>
    <row r="25" spans="1:70" ht="51.75" customHeight="1" x14ac:dyDescent="0.3">
      <c r="A25" s="316"/>
      <c r="B25" s="281"/>
      <c r="C25" s="282"/>
      <c r="D25" s="312"/>
      <c r="E25" s="283"/>
      <c r="F25" s="280"/>
      <c r="G25" s="280"/>
      <c r="H25" s="280"/>
      <c r="I25" s="280"/>
      <c r="J25" s="280"/>
      <c r="K25" s="280"/>
      <c r="L25" s="280"/>
      <c r="M25" s="280"/>
      <c r="N25" s="163"/>
      <c r="O25" s="163"/>
      <c r="P25" s="163"/>
      <c r="Q25" s="163"/>
      <c r="R25" s="163"/>
      <c r="S25" s="163"/>
      <c r="T25" s="163"/>
      <c r="U25" s="163"/>
      <c r="V25" s="163"/>
      <c r="W25" s="163"/>
      <c r="X25" s="163"/>
      <c r="Y25" s="163"/>
      <c r="Z25" s="163"/>
      <c r="AA25" s="163"/>
      <c r="AB25" s="163"/>
      <c r="AC25" s="163"/>
      <c r="AD25" s="163"/>
      <c r="AE25" s="163"/>
      <c r="AF25" s="163"/>
      <c r="AG25" s="163"/>
      <c r="AH25" s="163"/>
      <c r="AI25" s="163"/>
      <c r="AJ25" s="163"/>
      <c r="AK25" s="163"/>
      <c r="AL25" s="163"/>
      <c r="AM25" s="163"/>
      <c r="AN25" s="163"/>
      <c r="AO25" s="163"/>
      <c r="AP25" s="163"/>
      <c r="AQ25" s="163"/>
      <c r="AR25" s="163"/>
      <c r="AS25" s="163"/>
      <c r="AT25" s="163"/>
      <c r="AU25" s="163"/>
      <c r="AV25" s="163"/>
      <c r="AW25" s="163"/>
      <c r="AX25" s="163"/>
      <c r="AY25" s="163"/>
      <c r="AZ25" s="163"/>
      <c r="BA25" s="163"/>
      <c r="BB25" s="163"/>
      <c r="BC25" s="163"/>
      <c r="BD25" s="163"/>
      <c r="BE25" s="163"/>
      <c r="BF25" s="163"/>
      <c r="BG25" s="163"/>
      <c r="BH25" s="163"/>
      <c r="BI25" s="163"/>
      <c r="BJ25" s="163"/>
      <c r="BK25" s="163"/>
      <c r="BL25" s="163"/>
      <c r="BM25" s="163"/>
      <c r="BN25" s="163"/>
      <c r="BO25" s="163"/>
      <c r="BP25" s="163"/>
      <c r="BQ25" s="163"/>
      <c r="BR25" s="163"/>
    </row>
    <row r="26" spans="1:70" ht="51.75" customHeight="1" x14ac:dyDescent="0.3">
      <c r="A26" s="316"/>
      <c r="B26" s="281"/>
      <c r="C26" s="282"/>
      <c r="D26" s="312"/>
      <c r="E26" s="283"/>
      <c r="F26" s="280"/>
      <c r="G26" s="280"/>
      <c r="H26" s="280"/>
      <c r="I26" s="280"/>
      <c r="J26" s="280"/>
      <c r="K26" s="280"/>
      <c r="L26" s="280"/>
      <c r="M26" s="280"/>
      <c r="N26" s="163"/>
      <c r="O26" s="163"/>
      <c r="P26" s="163"/>
      <c r="Q26" s="163"/>
      <c r="R26" s="163"/>
      <c r="S26" s="163"/>
      <c r="T26" s="163"/>
      <c r="U26" s="163"/>
      <c r="V26" s="163"/>
      <c r="W26" s="163"/>
      <c r="X26" s="163"/>
      <c r="Y26" s="163"/>
      <c r="Z26" s="163"/>
      <c r="AA26" s="163"/>
      <c r="AB26" s="163"/>
      <c r="AC26" s="163"/>
      <c r="AD26" s="163"/>
      <c r="AE26" s="163"/>
      <c r="AF26" s="163"/>
      <c r="AG26" s="163"/>
      <c r="AH26" s="163"/>
      <c r="AI26" s="163"/>
      <c r="AJ26" s="163"/>
      <c r="AK26" s="163"/>
      <c r="AL26" s="163"/>
      <c r="AM26" s="163"/>
      <c r="AN26" s="163"/>
      <c r="AO26" s="163"/>
      <c r="AP26" s="163"/>
      <c r="AQ26" s="163"/>
      <c r="AR26" s="163"/>
      <c r="AS26" s="163"/>
      <c r="AT26" s="163"/>
      <c r="AU26" s="163"/>
      <c r="AV26" s="163"/>
      <c r="AW26" s="163"/>
      <c r="AX26" s="163"/>
      <c r="AY26" s="163"/>
      <c r="AZ26" s="163"/>
      <c r="BA26" s="163"/>
      <c r="BB26" s="163"/>
      <c r="BC26" s="163"/>
      <c r="BD26" s="163"/>
      <c r="BE26" s="163"/>
      <c r="BF26" s="163"/>
      <c r="BG26" s="163"/>
      <c r="BH26" s="163"/>
      <c r="BI26" s="163"/>
      <c r="BJ26" s="163"/>
      <c r="BK26" s="163"/>
      <c r="BL26" s="163"/>
      <c r="BM26" s="163"/>
      <c r="BN26" s="163"/>
      <c r="BO26" s="163"/>
      <c r="BP26" s="163"/>
      <c r="BQ26" s="163"/>
      <c r="BR26" s="163"/>
    </row>
    <row r="27" spans="1:70" ht="51.75" customHeight="1" x14ac:dyDescent="0.3">
      <c r="A27" s="316"/>
      <c r="B27" s="281"/>
      <c r="C27" s="282"/>
      <c r="D27" s="312"/>
      <c r="E27" s="283"/>
      <c r="F27" s="280" t="str">
        <f t="shared" ref="F27" si="5">IFERROR(IF($E27="","No",IF($E27="No","No"," "))," ")</f>
        <v>No</v>
      </c>
      <c r="G27" s="280" t="str">
        <f t="shared" si="1"/>
        <v>No</v>
      </c>
      <c r="H27" s="280" t="str">
        <f t="shared" si="1"/>
        <v>No</v>
      </c>
      <c r="I27" s="280" t="str">
        <f t="shared" si="1"/>
        <v>No</v>
      </c>
      <c r="J27" s="280" t="str">
        <f t="shared" si="1"/>
        <v>No</v>
      </c>
      <c r="K27" s="280" t="str">
        <f t="shared" si="1"/>
        <v>No</v>
      </c>
      <c r="L27" s="280" t="str">
        <f t="shared" si="1"/>
        <v>No</v>
      </c>
      <c r="M27" s="280" t="str">
        <f t="shared" si="1"/>
        <v>No</v>
      </c>
      <c r="N27" s="163"/>
      <c r="O27" s="163"/>
      <c r="P27" s="163"/>
      <c r="Q27" s="163"/>
      <c r="R27" s="163"/>
      <c r="S27" s="163"/>
      <c r="T27" s="163"/>
      <c r="U27" s="163"/>
      <c r="V27" s="163"/>
      <c r="W27" s="163"/>
      <c r="X27" s="163"/>
      <c r="Y27" s="163"/>
      <c r="Z27" s="163"/>
      <c r="AA27" s="163"/>
      <c r="AB27" s="163"/>
      <c r="AC27" s="163"/>
      <c r="AD27" s="163"/>
      <c r="AE27" s="163"/>
      <c r="AF27" s="163"/>
      <c r="AG27" s="163"/>
      <c r="AH27" s="163"/>
      <c r="AI27" s="163"/>
      <c r="AJ27" s="163"/>
      <c r="AK27" s="163"/>
      <c r="AL27" s="163"/>
      <c r="AM27" s="163"/>
      <c r="AN27" s="163"/>
      <c r="AO27" s="163"/>
      <c r="AP27" s="163"/>
      <c r="AQ27" s="163"/>
      <c r="AR27" s="163"/>
      <c r="AS27" s="163"/>
      <c r="AT27" s="163"/>
      <c r="AU27" s="163"/>
      <c r="AV27" s="163"/>
      <c r="AW27" s="163"/>
      <c r="AX27" s="163"/>
      <c r="AY27" s="163"/>
      <c r="AZ27" s="163"/>
      <c r="BA27" s="163"/>
      <c r="BB27" s="163"/>
      <c r="BC27" s="163"/>
      <c r="BD27" s="163"/>
      <c r="BE27" s="163"/>
      <c r="BF27" s="163"/>
      <c r="BG27" s="163"/>
      <c r="BH27" s="163"/>
      <c r="BI27" s="163"/>
      <c r="BJ27" s="163"/>
      <c r="BK27" s="163"/>
      <c r="BL27" s="163"/>
      <c r="BM27" s="163"/>
      <c r="BN27" s="163"/>
      <c r="BO27" s="163"/>
      <c r="BP27" s="163"/>
      <c r="BQ27" s="163"/>
      <c r="BR27" s="163"/>
    </row>
    <row r="28" spans="1:70" ht="51.75" customHeight="1" x14ac:dyDescent="0.3">
      <c r="A28" s="316"/>
      <c r="B28" s="281"/>
      <c r="C28" s="282"/>
      <c r="D28" s="312"/>
      <c r="E28" s="283"/>
      <c r="F28" s="280"/>
      <c r="G28" s="280"/>
      <c r="H28" s="280"/>
      <c r="I28" s="280"/>
      <c r="J28" s="280"/>
      <c r="K28" s="280"/>
      <c r="L28" s="280"/>
      <c r="M28" s="280"/>
      <c r="N28" s="163"/>
      <c r="O28" s="163"/>
      <c r="P28" s="163"/>
      <c r="Q28" s="163"/>
      <c r="R28" s="163"/>
      <c r="S28" s="163"/>
      <c r="T28" s="163"/>
      <c r="U28" s="163"/>
      <c r="V28" s="163"/>
      <c r="W28" s="163"/>
      <c r="X28" s="163"/>
      <c r="Y28" s="163"/>
      <c r="Z28" s="163"/>
      <c r="AA28" s="163"/>
      <c r="AB28" s="163"/>
      <c r="AC28" s="163"/>
      <c r="AD28" s="163"/>
      <c r="AE28" s="163"/>
      <c r="AF28" s="163"/>
      <c r="AG28" s="163"/>
      <c r="AH28" s="163"/>
      <c r="AI28" s="163"/>
      <c r="AJ28" s="163"/>
      <c r="AK28" s="163"/>
      <c r="AL28" s="163"/>
      <c r="AM28" s="163"/>
      <c r="AN28" s="163"/>
      <c r="AO28" s="163"/>
      <c r="AP28" s="163"/>
      <c r="AQ28" s="163"/>
      <c r="AR28" s="163"/>
      <c r="AS28" s="163"/>
      <c r="AT28" s="163"/>
      <c r="AU28" s="163"/>
      <c r="AV28" s="163"/>
      <c r="AW28" s="163"/>
      <c r="AX28" s="163"/>
      <c r="AY28" s="163"/>
      <c r="AZ28" s="163"/>
      <c r="BA28" s="163"/>
      <c r="BB28" s="163"/>
      <c r="BC28" s="163"/>
      <c r="BD28" s="163"/>
      <c r="BE28" s="163"/>
      <c r="BF28" s="163"/>
      <c r="BG28" s="163"/>
      <c r="BH28" s="163"/>
      <c r="BI28" s="163"/>
      <c r="BJ28" s="163"/>
      <c r="BK28" s="163"/>
      <c r="BL28" s="163"/>
      <c r="BM28" s="163"/>
      <c r="BN28" s="163"/>
      <c r="BO28" s="163"/>
      <c r="BP28" s="163"/>
      <c r="BQ28" s="163"/>
      <c r="BR28" s="163"/>
    </row>
    <row r="29" spans="1:70" ht="51.75" customHeight="1" x14ac:dyDescent="0.3">
      <c r="A29" s="316"/>
      <c r="B29" s="281"/>
      <c r="C29" s="282"/>
      <c r="D29" s="312"/>
      <c r="E29" s="283"/>
      <c r="F29" s="280"/>
      <c r="G29" s="280"/>
      <c r="H29" s="280"/>
      <c r="I29" s="280"/>
      <c r="J29" s="280"/>
      <c r="K29" s="280"/>
      <c r="L29" s="280"/>
      <c r="M29" s="280"/>
      <c r="N29" s="163"/>
      <c r="O29" s="163"/>
      <c r="P29" s="163"/>
      <c r="Q29" s="163"/>
      <c r="R29" s="163"/>
      <c r="S29" s="163"/>
      <c r="T29" s="163"/>
      <c r="U29" s="163"/>
      <c r="V29" s="163"/>
      <c r="W29" s="163"/>
      <c r="X29" s="163"/>
      <c r="Y29" s="163"/>
      <c r="Z29" s="163"/>
      <c r="AA29" s="163"/>
      <c r="AB29" s="163"/>
      <c r="AC29" s="163"/>
      <c r="AD29" s="163"/>
      <c r="AE29" s="163"/>
      <c r="AF29" s="163"/>
      <c r="AG29" s="163"/>
      <c r="AH29" s="163"/>
      <c r="AI29" s="163"/>
      <c r="AJ29" s="163"/>
      <c r="AK29" s="163"/>
      <c r="AL29" s="163"/>
      <c r="AM29" s="163"/>
      <c r="AN29" s="163"/>
      <c r="AO29" s="163"/>
      <c r="AP29" s="163"/>
      <c r="AQ29" s="163"/>
      <c r="AR29" s="163"/>
      <c r="AS29" s="163"/>
      <c r="AT29" s="163"/>
      <c r="AU29" s="163"/>
      <c r="AV29" s="163"/>
      <c r="AW29" s="163"/>
      <c r="AX29" s="163"/>
      <c r="AY29" s="163"/>
      <c r="AZ29" s="163"/>
      <c r="BA29" s="163"/>
      <c r="BB29" s="163"/>
      <c r="BC29" s="163"/>
      <c r="BD29" s="163"/>
      <c r="BE29" s="163"/>
      <c r="BF29" s="163"/>
      <c r="BG29" s="163"/>
      <c r="BH29" s="163"/>
      <c r="BI29" s="163"/>
      <c r="BJ29" s="163"/>
      <c r="BK29" s="163"/>
      <c r="BL29" s="163"/>
      <c r="BM29" s="163"/>
      <c r="BN29" s="163"/>
      <c r="BO29" s="163"/>
      <c r="BP29" s="163"/>
      <c r="BQ29" s="163"/>
      <c r="BR29" s="163"/>
    </row>
    <row r="30" spans="1:70" ht="51.75" customHeight="1" x14ac:dyDescent="0.3">
      <c r="A30" s="316"/>
      <c r="B30" s="281"/>
      <c r="C30" s="282"/>
      <c r="D30" s="312"/>
      <c r="E30" s="283"/>
      <c r="F30" s="280" t="str">
        <f t="shared" ref="F30" si="6">IFERROR(IF($E30="","No",IF($E30="No","No"," "))," ")</f>
        <v>No</v>
      </c>
      <c r="G30" s="280" t="str">
        <f t="shared" si="1"/>
        <v>No</v>
      </c>
      <c r="H30" s="280" t="str">
        <f t="shared" si="1"/>
        <v>No</v>
      </c>
      <c r="I30" s="280" t="str">
        <f t="shared" si="1"/>
        <v>No</v>
      </c>
      <c r="J30" s="280" t="str">
        <f t="shared" si="1"/>
        <v>No</v>
      </c>
      <c r="K30" s="280" t="str">
        <f t="shared" si="1"/>
        <v>No</v>
      </c>
      <c r="L30" s="280" t="str">
        <f t="shared" si="1"/>
        <v>No</v>
      </c>
      <c r="M30" s="280" t="str">
        <f t="shared" si="1"/>
        <v>No</v>
      </c>
      <c r="N30" s="163"/>
      <c r="O30" s="163"/>
      <c r="P30" s="163"/>
      <c r="Q30" s="163"/>
      <c r="R30" s="163"/>
      <c r="S30" s="163"/>
      <c r="T30" s="163"/>
      <c r="U30" s="163"/>
      <c r="V30" s="163"/>
      <c r="W30" s="163"/>
      <c r="X30" s="163"/>
      <c r="Y30" s="163"/>
      <c r="Z30" s="163"/>
      <c r="AA30" s="163"/>
      <c r="AB30" s="163"/>
      <c r="AC30" s="163"/>
      <c r="AD30" s="163"/>
      <c r="AE30" s="163"/>
      <c r="AF30" s="163"/>
      <c r="AG30" s="163"/>
      <c r="AH30" s="163"/>
      <c r="AI30" s="163"/>
      <c r="AJ30" s="163"/>
      <c r="AK30" s="163"/>
      <c r="AL30" s="163"/>
      <c r="AM30" s="163"/>
      <c r="AN30" s="163"/>
      <c r="AO30" s="163"/>
      <c r="AP30" s="163"/>
      <c r="AQ30" s="163"/>
      <c r="AR30" s="163"/>
      <c r="AS30" s="163"/>
      <c r="AT30" s="163"/>
      <c r="AU30" s="163"/>
      <c r="AV30" s="163"/>
      <c r="AW30" s="163"/>
      <c r="AX30" s="163"/>
      <c r="AY30" s="163"/>
      <c r="AZ30" s="163"/>
      <c r="BA30" s="163"/>
      <c r="BB30" s="163"/>
      <c r="BC30" s="163"/>
      <c r="BD30" s="163"/>
      <c r="BE30" s="163"/>
      <c r="BF30" s="163"/>
      <c r="BG30" s="163"/>
      <c r="BH30" s="163"/>
      <c r="BI30" s="163"/>
      <c r="BJ30" s="163"/>
      <c r="BK30" s="163"/>
      <c r="BL30" s="163"/>
      <c r="BM30" s="163"/>
      <c r="BN30" s="163"/>
      <c r="BO30" s="163"/>
      <c r="BP30" s="163"/>
      <c r="BQ30" s="163"/>
      <c r="BR30" s="163"/>
    </row>
    <row r="31" spans="1:70" ht="51.75" customHeight="1" x14ac:dyDescent="0.3">
      <c r="A31" s="316"/>
      <c r="B31" s="281"/>
      <c r="C31" s="282"/>
      <c r="D31" s="312"/>
      <c r="E31" s="283"/>
      <c r="F31" s="280"/>
      <c r="G31" s="280"/>
      <c r="H31" s="280"/>
      <c r="I31" s="280"/>
      <c r="J31" s="280"/>
      <c r="K31" s="280"/>
      <c r="L31" s="280"/>
      <c r="M31" s="280"/>
      <c r="N31" s="163"/>
      <c r="O31" s="163"/>
      <c r="P31" s="163"/>
      <c r="Q31" s="163"/>
      <c r="R31" s="163"/>
      <c r="S31" s="163"/>
      <c r="T31" s="163"/>
      <c r="U31" s="163"/>
      <c r="V31" s="163"/>
      <c r="W31" s="163"/>
      <c r="X31" s="163"/>
      <c r="Y31" s="163"/>
      <c r="Z31" s="163"/>
      <c r="AA31" s="163"/>
      <c r="AB31" s="163"/>
      <c r="AC31" s="163"/>
      <c r="AD31" s="163"/>
      <c r="AE31" s="163"/>
      <c r="AF31" s="163"/>
      <c r="AG31" s="163"/>
      <c r="AH31" s="163"/>
      <c r="AI31" s="163"/>
      <c r="AJ31" s="163"/>
      <c r="AK31" s="163"/>
      <c r="AL31" s="163"/>
      <c r="AM31" s="163"/>
      <c r="AN31" s="163"/>
      <c r="AO31" s="163"/>
      <c r="AP31" s="163"/>
      <c r="AQ31" s="163"/>
      <c r="AR31" s="163"/>
      <c r="AS31" s="163"/>
      <c r="AT31" s="163"/>
      <c r="AU31" s="163"/>
      <c r="AV31" s="163"/>
      <c r="AW31" s="163"/>
      <c r="AX31" s="163"/>
      <c r="AY31" s="163"/>
      <c r="AZ31" s="163"/>
      <c r="BA31" s="163"/>
      <c r="BB31" s="163"/>
      <c r="BC31" s="163"/>
      <c r="BD31" s="163"/>
      <c r="BE31" s="163"/>
      <c r="BF31" s="163"/>
      <c r="BG31" s="163"/>
      <c r="BH31" s="163"/>
      <c r="BI31" s="163"/>
      <c r="BJ31" s="163"/>
      <c r="BK31" s="163"/>
      <c r="BL31" s="163"/>
      <c r="BM31" s="163"/>
      <c r="BN31" s="163"/>
      <c r="BO31" s="163"/>
      <c r="BP31" s="163"/>
      <c r="BQ31" s="163"/>
      <c r="BR31" s="163"/>
    </row>
    <row r="32" spans="1:70" ht="51.75" customHeight="1" x14ac:dyDescent="0.3">
      <c r="A32" s="316"/>
      <c r="B32" s="281"/>
      <c r="C32" s="282"/>
      <c r="D32" s="312"/>
      <c r="E32" s="283"/>
      <c r="F32" s="280"/>
      <c r="G32" s="280"/>
      <c r="H32" s="280"/>
      <c r="I32" s="280"/>
      <c r="J32" s="280"/>
      <c r="K32" s="280"/>
      <c r="L32" s="280"/>
      <c r="M32" s="280"/>
      <c r="N32" s="163"/>
      <c r="O32" s="163"/>
      <c r="P32" s="163"/>
      <c r="Q32" s="163"/>
      <c r="R32" s="163"/>
      <c r="S32" s="163"/>
      <c r="T32" s="163"/>
      <c r="U32" s="163"/>
      <c r="V32" s="163"/>
      <c r="W32" s="163"/>
      <c r="X32" s="163"/>
      <c r="Y32" s="163"/>
      <c r="Z32" s="163"/>
      <c r="AA32" s="163"/>
      <c r="AB32" s="163"/>
      <c r="AC32" s="163"/>
      <c r="AD32" s="163"/>
      <c r="AE32" s="163"/>
      <c r="AF32" s="163"/>
      <c r="AG32" s="163"/>
      <c r="AH32" s="163"/>
      <c r="AI32" s="163"/>
      <c r="AJ32" s="163"/>
      <c r="AK32" s="163"/>
      <c r="AL32" s="163"/>
      <c r="AM32" s="163"/>
      <c r="AN32" s="163"/>
      <c r="AO32" s="163"/>
      <c r="AP32" s="163"/>
      <c r="AQ32" s="163"/>
      <c r="AR32" s="163"/>
      <c r="AS32" s="163"/>
      <c r="AT32" s="163"/>
      <c r="AU32" s="163"/>
      <c r="AV32" s="163"/>
      <c r="AW32" s="163"/>
      <c r="AX32" s="163"/>
      <c r="AY32" s="163"/>
      <c r="AZ32" s="163"/>
      <c r="BA32" s="163"/>
      <c r="BB32" s="163"/>
      <c r="BC32" s="163"/>
      <c r="BD32" s="163"/>
      <c r="BE32" s="163"/>
      <c r="BF32" s="163"/>
      <c r="BG32" s="163"/>
      <c r="BH32" s="163"/>
      <c r="BI32" s="163"/>
      <c r="BJ32" s="163"/>
      <c r="BK32" s="163"/>
      <c r="BL32" s="163"/>
      <c r="BM32" s="163"/>
      <c r="BN32" s="163"/>
      <c r="BO32" s="163"/>
      <c r="BP32" s="163"/>
      <c r="BQ32" s="163"/>
      <c r="BR32" s="163"/>
    </row>
    <row r="33" spans="1:70" ht="51.75" customHeight="1" x14ac:dyDescent="0.3">
      <c r="A33" s="316"/>
      <c r="B33" s="281"/>
      <c r="C33" s="282"/>
      <c r="D33" s="312"/>
      <c r="E33" s="283"/>
      <c r="F33" s="280" t="str">
        <f t="shared" ref="F33" si="7">IFERROR(IF($E33="","No",IF($E33="No","No"," "))," ")</f>
        <v>No</v>
      </c>
      <c r="G33" s="280" t="str">
        <f t="shared" si="1"/>
        <v>No</v>
      </c>
      <c r="H33" s="280" t="str">
        <f t="shared" si="1"/>
        <v>No</v>
      </c>
      <c r="I33" s="280" t="str">
        <f t="shared" si="1"/>
        <v>No</v>
      </c>
      <c r="J33" s="280" t="str">
        <f t="shared" si="1"/>
        <v>No</v>
      </c>
      <c r="K33" s="280" t="str">
        <f t="shared" si="1"/>
        <v>No</v>
      </c>
      <c r="L33" s="280" t="str">
        <f t="shared" si="1"/>
        <v>No</v>
      </c>
      <c r="M33" s="280" t="str">
        <f t="shared" si="1"/>
        <v>No</v>
      </c>
      <c r="N33" s="163"/>
      <c r="O33" s="163"/>
      <c r="P33" s="163"/>
      <c r="Q33" s="163"/>
      <c r="R33" s="163"/>
      <c r="S33" s="163"/>
      <c r="T33" s="163"/>
      <c r="U33" s="163"/>
      <c r="V33" s="163"/>
      <c r="W33" s="163"/>
      <c r="X33" s="163"/>
      <c r="Y33" s="163"/>
      <c r="Z33" s="163"/>
      <c r="AA33" s="163"/>
      <c r="AB33" s="163"/>
      <c r="AC33" s="163"/>
      <c r="AD33" s="163"/>
      <c r="AE33" s="163"/>
      <c r="AF33" s="163"/>
      <c r="AG33" s="163"/>
      <c r="AH33" s="163"/>
      <c r="AI33" s="163"/>
      <c r="AJ33" s="163"/>
      <c r="AK33" s="163"/>
      <c r="AL33" s="163"/>
      <c r="AM33" s="163"/>
      <c r="AN33" s="163"/>
      <c r="AO33" s="163"/>
      <c r="AP33" s="163"/>
      <c r="AQ33" s="163"/>
      <c r="AR33" s="163"/>
      <c r="AS33" s="163"/>
      <c r="AT33" s="163"/>
      <c r="AU33" s="163"/>
      <c r="AV33" s="163"/>
      <c r="AW33" s="163"/>
      <c r="AX33" s="163"/>
      <c r="AY33" s="163"/>
      <c r="AZ33" s="163"/>
      <c r="BA33" s="163"/>
      <c r="BB33" s="163"/>
      <c r="BC33" s="163"/>
      <c r="BD33" s="163"/>
      <c r="BE33" s="163"/>
      <c r="BF33" s="163"/>
      <c r="BG33" s="163"/>
      <c r="BH33" s="163"/>
      <c r="BI33" s="163"/>
      <c r="BJ33" s="163"/>
      <c r="BK33" s="163"/>
      <c r="BL33" s="163"/>
      <c r="BM33" s="163"/>
      <c r="BN33" s="163"/>
      <c r="BO33" s="163"/>
      <c r="BP33" s="163"/>
      <c r="BQ33" s="163"/>
      <c r="BR33" s="163"/>
    </row>
    <row r="34" spans="1:70" ht="51.75" customHeight="1" x14ac:dyDescent="0.3">
      <c r="A34" s="316"/>
      <c r="B34" s="281"/>
      <c r="C34" s="282"/>
      <c r="D34" s="312"/>
      <c r="E34" s="283"/>
      <c r="F34" s="280"/>
      <c r="G34" s="280"/>
      <c r="H34" s="280"/>
      <c r="I34" s="280"/>
      <c r="J34" s="280"/>
      <c r="K34" s="280"/>
      <c r="L34" s="280"/>
      <c r="M34" s="280"/>
      <c r="N34" s="163"/>
      <c r="O34" s="163"/>
      <c r="P34" s="163"/>
      <c r="Q34" s="163"/>
      <c r="R34" s="163"/>
      <c r="S34" s="163"/>
      <c r="T34" s="163"/>
      <c r="U34" s="163"/>
      <c r="V34" s="163"/>
      <c r="W34" s="163"/>
      <c r="X34" s="163"/>
      <c r="Y34" s="163"/>
      <c r="Z34" s="163"/>
      <c r="AA34" s="163"/>
      <c r="AB34" s="163"/>
      <c r="AC34" s="163"/>
      <c r="AD34" s="163"/>
      <c r="AE34" s="163"/>
      <c r="AF34" s="163"/>
      <c r="AG34" s="163"/>
      <c r="AH34" s="163"/>
      <c r="AI34" s="163"/>
      <c r="AJ34" s="163"/>
      <c r="AK34" s="163"/>
      <c r="AL34" s="163"/>
      <c r="AM34" s="163"/>
      <c r="AN34" s="163"/>
      <c r="AO34" s="163"/>
      <c r="AP34" s="163"/>
      <c r="AQ34" s="163"/>
      <c r="AR34" s="163"/>
      <c r="AS34" s="163"/>
      <c r="AT34" s="163"/>
      <c r="AU34" s="163"/>
      <c r="AV34" s="163"/>
      <c r="AW34" s="163"/>
      <c r="AX34" s="163"/>
      <c r="AY34" s="163"/>
      <c r="AZ34" s="163"/>
      <c r="BA34" s="163"/>
      <c r="BB34" s="163"/>
      <c r="BC34" s="163"/>
      <c r="BD34" s="163"/>
      <c r="BE34" s="163"/>
      <c r="BF34" s="163"/>
      <c r="BG34" s="163"/>
      <c r="BH34" s="163"/>
      <c r="BI34" s="163"/>
      <c r="BJ34" s="163"/>
      <c r="BK34" s="163"/>
      <c r="BL34" s="163"/>
      <c r="BM34" s="163"/>
      <c r="BN34" s="163"/>
      <c r="BO34" s="163"/>
      <c r="BP34" s="163"/>
      <c r="BQ34" s="163"/>
      <c r="BR34" s="163"/>
    </row>
    <row r="35" spans="1:70" ht="51.75" customHeight="1" x14ac:dyDescent="0.3">
      <c r="A35" s="316"/>
      <c r="B35" s="281"/>
      <c r="C35" s="282"/>
      <c r="D35" s="312"/>
      <c r="E35" s="283"/>
      <c r="F35" s="280"/>
      <c r="G35" s="280"/>
      <c r="H35" s="280"/>
      <c r="I35" s="280"/>
      <c r="J35" s="280"/>
      <c r="K35" s="280"/>
      <c r="L35" s="280"/>
      <c r="M35" s="280"/>
      <c r="N35" s="163"/>
      <c r="O35" s="163"/>
      <c r="P35" s="163"/>
      <c r="Q35" s="163"/>
      <c r="R35" s="163"/>
      <c r="S35" s="163"/>
      <c r="T35" s="163"/>
      <c r="U35" s="163"/>
      <c r="V35" s="163"/>
      <c r="W35" s="163"/>
      <c r="X35" s="163"/>
      <c r="Y35" s="163"/>
      <c r="Z35" s="163"/>
      <c r="AA35" s="163"/>
      <c r="AB35" s="163"/>
      <c r="AC35" s="163"/>
      <c r="AD35" s="163"/>
      <c r="AE35" s="163"/>
      <c r="AF35" s="163"/>
      <c r="AG35" s="163"/>
      <c r="AH35" s="163"/>
      <c r="AI35" s="163"/>
      <c r="AJ35" s="163"/>
      <c r="AK35" s="163"/>
      <c r="AL35" s="163"/>
      <c r="AM35" s="163"/>
      <c r="AN35" s="163"/>
      <c r="AO35" s="163"/>
      <c r="AP35" s="163"/>
      <c r="AQ35" s="163"/>
      <c r="AR35" s="163"/>
      <c r="AS35" s="163"/>
      <c r="AT35" s="163"/>
      <c r="AU35" s="163"/>
      <c r="AV35" s="163"/>
      <c r="AW35" s="163"/>
      <c r="AX35" s="163"/>
      <c r="AY35" s="163"/>
      <c r="AZ35" s="163"/>
      <c r="BA35" s="163"/>
      <c r="BB35" s="163"/>
      <c r="BC35" s="163"/>
      <c r="BD35" s="163"/>
      <c r="BE35" s="163"/>
      <c r="BF35" s="163"/>
      <c r="BG35" s="163"/>
      <c r="BH35" s="163"/>
      <c r="BI35" s="163"/>
      <c r="BJ35" s="163"/>
      <c r="BK35" s="163"/>
      <c r="BL35" s="163"/>
      <c r="BM35" s="163"/>
      <c r="BN35" s="163"/>
      <c r="BO35" s="163"/>
      <c r="BP35" s="163"/>
      <c r="BQ35" s="163"/>
      <c r="BR35" s="163"/>
    </row>
    <row r="36" spans="1:70" ht="51.75" customHeight="1" x14ac:dyDescent="0.3">
      <c r="A36" s="316"/>
      <c r="B36" s="281"/>
      <c r="C36" s="282"/>
      <c r="D36" s="312"/>
      <c r="E36" s="283"/>
      <c r="F36" s="280" t="str">
        <f t="shared" ref="F36" si="8">IFERROR(IF($E36="","No",IF($E36="No","No"," "))," ")</f>
        <v>No</v>
      </c>
      <c r="G36" s="280" t="str">
        <f t="shared" si="1"/>
        <v>No</v>
      </c>
      <c r="H36" s="280" t="str">
        <f t="shared" si="1"/>
        <v>No</v>
      </c>
      <c r="I36" s="280" t="str">
        <f t="shared" si="1"/>
        <v>No</v>
      </c>
      <c r="J36" s="280" t="str">
        <f t="shared" si="1"/>
        <v>No</v>
      </c>
      <c r="K36" s="280" t="str">
        <f t="shared" si="1"/>
        <v>No</v>
      </c>
      <c r="L36" s="280" t="str">
        <f t="shared" si="1"/>
        <v>No</v>
      </c>
      <c r="M36" s="280" t="str">
        <f t="shared" si="1"/>
        <v>No</v>
      </c>
      <c r="N36" s="163"/>
      <c r="O36" s="163"/>
      <c r="P36" s="163"/>
      <c r="Q36" s="163"/>
      <c r="R36" s="163"/>
      <c r="S36" s="163"/>
      <c r="T36" s="163"/>
      <c r="U36" s="163"/>
      <c r="V36" s="163"/>
      <c r="W36" s="163"/>
      <c r="X36" s="163"/>
      <c r="Y36" s="163"/>
      <c r="Z36" s="163"/>
      <c r="AA36" s="163"/>
      <c r="AB36" s="163"/>
      <c r="AC36" s="163"/>
      <c r="AD36" s="163"/>
      <c r="AE36" s="163"/>
      <c r="AF36" s="163"/>
      <c r="AG36" s="163"/>
      <c r="AH36" s="163"/>
      <c r="AI36" s="163"/>
      <c r="AJ36" s="163"/>
      <c r="AK36" s="163"/>
      <c r="AL36" s="163"/>
      <c r="AM36" s="163"/>
      <c r="AN36" s="163"/>
      <c r="AO36" s="163"/>
      <c r="AP36" s="163"/>
      <c r="AQ36" s="163"/>
      <c r="AR36" s="163"/>
      <c r="AS36" s="163"/>
      <c r="AT36" s="163"/>
      <c r="AU36" s="163"/>
      <c r="AV36" s="163"/>
      <c r="AW36" s="163"/>
      <c r="AX36" s="163"/>
      <c r="AY36" s="163"/>
      <c r="AZ36" s="163"/>
      <c r="BA36" s="163"/>
      <c r="BB36" s="163"/>
      <c r="BC36" s="163"/>
      <c r="BD36" s="163"/>
      <c r="BE36" s="163"/>
      <c r="BF36" s="163"/>
      <c r="BG36" s="163"/>
      <c r="BH36" s="163"/>
      <c r="BI36" s="163"/>
      <c r="BJ36" s="163"/>
      <c r="BK36" s="163"/>
      <c r="BL36" s="163"/>
      <c r="BM36" s="163"/>
      <c r="BN36" s="163"/>
      <c r="BO36" s="163"/>
      <c r="BP36" s="163"/>
      <c r="BQ36" s="163"/>
      <c r="BR36" s="163"/>
    </row>
    <row r="37" spans="1:70" ht="51.75" customHeight="1" x14ac:dyDescent="0.3">
      <c r="A37" s="316"/>
      <c r="B37" s="281"/>
      <c r="C37" s="282"/>
      <c r="D37" s="312"/>
      <c r="E37" s="283"/>
      <c r="F37" s="280"/>
      <c r="G37" s="280"/>
      <c r="H37" s="280"/>
      <c r="I37" s="280"/>
      <c r="J37" s="280"/>
      <c r="K37" s="280"/>
      <c r="L37" s="280"/>
      <c r="M37" s="280"/>
      <c r="N37" s="163"/>
      <c r="O37" s="163"/>
      <c r="P37" s="163"/>
      <c r="Q37" s="163"/>
      <c r="R37" s="163"/>
      <c r="S37" s="163"/>
      <c r="T37" s="163"/>
      <c r="U37" s="163"/>
      <c r="V37" s="163"/>
      <c r="W37" s="163"/>
      <c r="X37" s="163"/>
      <c r="Y37" s="163"/>
      <c r="Z37" s="163"/>
      <c r="AA37" s="163"/>
      <c r="AB37" s="163"/>
      <c r="AC37" s="163"/>
      <c r="AD37" s="163"/>
      <c r="AE37" s="163"/>
      <c r="AF37" s="163"/>
      <c r="AG37" s="163"/>
      <c r="AH37" s="163"/>
      <c r="AI37" s="163"/>
      <c r="AJ37" s="163"/>
      <c r="AK37" s="163"/>
      <c r="AL37" s="163"/>
      <c r="AM37" s="163"/>
      <c r="AN37" s="163"/>
      <c r="AO37" s="163"/>
      <c r="AP37" s="163"/>
      <c r="AQ37" s="163"/>
      <c r="AR37" s="163"/>
      <c r="AS37" s="163"/>
      <c r="AT37" s="163"/>
      <c r="AU37" s="163"/>
      <c r="AV37" s="163"/>
      <c r="AW37" s="163"/>
      <c r="AX37" s="163"/>
      <c r="AY37" s="163"/>
      <c r="AZ37" s="163"/>
      <c r="BA37" s="163"/>
      <c r="BB37" s="163"/>
      <c r="BC37" s="163"/>
      <c r="BD37" s="163"/>
      <c r="BE37" s="163"/>
      <c r="BF37" s="163"/>
      <c r="BG37" s="163"/>
      <c r="BH37" s="163"/>
      <c r="BI37" s="163"/>
      <c r="BJ37" s="163"/>
      <c r="BK37" s="163"/>
      <c r="BL37" s="163"/>
      <c r="BM37" s="163"/>
      <c r="BN37" s="163"/>
      <c r="BO37" s="163"/>
      <c r="BP37" s="163"/>
      <c r="BQ37" s="163"/>
      <c r="BR37" s="163"/>
    </row>
    <row r="38" spans="1:70" ht="51.75" customHeight="1" x14ac:dyDescent="0.3">
      <c r="A38" s="316"/>
      <c r="B38" s="281"/>
      <c r="C38" s="282"/>
      <c r="D38" s="312"/>
      <c r="E38" s="283"/>
      <c r="F38" s="280"/>
      <c r="G38" s="280"/>
      <c r="H38" s="280"/>
      <c r="I38" s="280"/>
      <c r="J38" s="280"/>
      <c r="K38" s="280"/>
      <c r="L38" s="280"/>
      <c r="M38" s="280"/>
      <c r="N38" s="163"/>
      <c r="O38" s="163"/>
      <c r="P38" s="163"/>
      <c r="Q38" s="163"/>
      <c r="R38" s="163"/>
      <c r="S38" s="163"/>
      <c r="T38" s="163"/>
      <c r="U38" s="163"/>
      <c r="V38" s="163"/>
      <c r="W38" s="163"/>
      <c r="X38" s="163"/>
      <c r="Y38" s="163"/>
      <c r="Z38" s="163"/>
      <c r="AA38" s="163"/>
      <c r="AB38" s="163"/>
      <c r="AC38" s="163"/>
      <c r="AD38" s="163"/>
      <c r="AE38" s="163"/>
      <c r="AF38" s="163"/>
      <c r="AG38" s="163"/>
      <c r="AH38" s="163"/>
      <c r="AI38" s="163"/>
      <c r="AJ38" s="163"/>
      <c r="AK38" s="163"/>
      <c r="AL38" s="163"/>
      <c r="AM38" s="163"/>
      <c r="AN38" s="163"/>
      <c r="AO38" s="163"/>
      <c r="AP38" s="163"/>
      <c r="AQ38" s="163"/>
      <c r="AR38" s="163"/>
      <c r="AS38" s="163"/>
      <c r="AT38" s="163"/>
      <c r="AU38" s="163"/>
      <c r="AV38" s="163"/>
      <c r="AW38" s="163"/>
      <c r="AX38" s="163"/>
      <c r="AY38" s="163"/>
      <c r="AZ38" s="163"/>
      <c r="BA38" s="163"/>
      <c r="BB38" s="163"/>
      <c r="BC38" s="163"/>
      <c r="BD38" s="163"/>
      <c r="BE38" s="163"/>
      <c r="BF38" s="163"/>
      <c r="BG38" s="163"/>
      <c r="BH38" s="163"/>
      <c r="BI38" s="163"/>
      <c r="BJ38" s="163"/>
      <c r="BK38" s="163"/>
      <c r="BL38" s="163"/>
      <c r="BM38" s="163"/>
      <c r="BN38" s="163"/>
      <c r="BO38" s="163"/>
      <c r="BP38" s="163"/>
      <c r="BQ38" s="163"/>
      <c r="BR38" s="163"/>
    </row>
    <row r="39" spans="1:70" ht="51.75" customHeight="1" x14ac:dyDescent="0.3">
      <c r="A39" s="316"/>
      <c r="B39" s="281"/>
      <c r="C39" s="282"/>
      <c r="D39" s="312"/>
      <c r="E39" s="283"/>
      <c r="F39" s="280" t="str">
        <f t="shared" ref="F39" si="9">IFERROR(IF($E39="","No",IF($E39="No","No"," "))," ")</f>
        <v>No</v>
      </c>
      <c r="G39" s="280" t="str">
        <f t="shared" si="1"/>
        <v>No</v>
      </c>
      <c r="H39" s="280" t="str">
        <f t="shared" si="1"/>
        <v>No</v>
      </c>
      <c r="I39" s="280" t="str">
        <f t="shared" si="1"/>
        <v>No</v>
      </c>
      <c r="J39" s="280" t="str">
        <f t="shared" si="1"/>
        <v>No</v>
      </c>
      <c r="K39" s="280" t="str">
        <f t="shared" si="1"/>
        <v>No</v>
      </c>
      <c r="L39" s="280" t="str">
        <f t="shared" si="1"/>
        <v>No</v>
      </c>
      <c r="M39" s="280" t="str">
        <f t="shared" si="1"/>
        <v>No</v>
      </c>
      <c r="N39" s="163"/>
      <c r="O39" s="163"/>
      <c r="P39" s="163"/>
      <c r="Q39" s="163"/>
      <c r="R39" s="163"/>
      <c r="S39" s="163"/>
      <c r="T39" s="163"/>
      <c r="U39" s="163"/>
      <c r="V39" s="163"/>
      <c r="W39" s="163"/>
      <c r="X39" s="163"/>
      <c r="Y39" s="163"/>
      <c r="Z39" s="163"/>
      <c r="AA39" s="163"/>
      <c r="AB39" s="163"/>
      <c r="AC39" s="163"/>
      <c r="AD39" s="163"/>
      <c r="AE39" s="163"/>
      <c r="AF39" s="163"/>
      <c r="AG39" s="163"/>
      <c r="AH39" s="163"/>
      <c r="AI39" s="163"/>
      <c r="AJ39" s="163"/>
      <c r="AK39" s="163"/>
      <c r="AL39" s="163"/>
      <c r="AM39" s="163"/>
      <c r="AN39" s="163"/>
      <c r="AO39" s="163"/>
      <c r="AP39" s="163"/>
      <c r="AQ39" s="163"/>
      <c r="AR39" s="163"/>
      <c r="AS39" s="163"/>
      <c r="AT39" s="163"/>
      <c r="AU39" s="163"/>
      <c r="AV39" s="163"/>
      <c r="AW39" s="163"/>
      <c r="AX39" s="163"/>
      <c r="AY39" s="163"/>
      <c r="AZ39" s="163"/>
      <c r="BA39" s="163"/>
      <c r="BB39" s="163"/>
      <c r="BC39" s="163"/>
      <c r="BD39" s="163"/>
      <c r="BE39" s="163"/>
      <c r="BF39" s="163"/>
      <c r="BG39" s="163"/>
      <c r="BH39" s="163"/>
      <c r="BI39" s="163"/>
      <c r="BJ39" s="163"/>
      <c r="BK39" s="163"/>
      <c r="BL39" s="163"/>
      <c r="BM39" s="163"/>
      <c r="BN39" s="163"/>
      <c r="BO39" s="163"/>
      <c r="BP39" s="163"/>
      <c r="BQ39" s="163"/>
      <c r="BR39" s="163"/>
    </row>
    <row r="40" spans="1:70" ht="51.75" customHeight="1" x14ac:dyDescent="0.3">
      <c r="A40" s="316"/>
      <c r="B40" s="281"/>
      <c r="C40" s="282"/>
      <c r="D40" s="312"/>
      <c r="E40" s="283"/>
      <c r="F40" s="280"/>
      <c r="G40" s="280"/>
      <c r="H40" s="280"/>
      <c r="I40" s="280"/>
      <c r="J40" s="280"/>
      <c r="K40" s="280"/>
      <c r="L40" s="280"/>
      <c r="M40" s="280"/>
      <c r="N40" s="163"/>
      <c r="O40" s="163"/>
      <c r="P40" s="163"/>
      <c r="Q40" s="163"/>
      <c r="R40" s="163"/>
      <c r="S40" s="163"/>
      <c r="T40" s="163"/>
      <c r="U40" s="163"/>
      <c r="V40" s="163"/>
      <c r="W40" s="163"/>
      <c r="X40" s="163"/>
      <c r="Y40" s="163"/>
      <c r="Z40" s="163"/>
      <c r="AA40" s="163"/>
      <c r="AB40" s="163"/>
      <c r="AC40" s="163"/>
      <c r="AD40" s="163"/>
      <c r="AE40" s="163"/>
      <c r="AF40" s="163"/>
      <c r="AG40" s="163"/>
      <c r="AH40" s="163"/>
      <c r="AI40" s="163"/>
      <c r="AJ40" s="163"/>
      <c r="AK40" s="163"/>
      <c r="AL40" s="163"/>
      <c r="AM40" s="163"/>
      <c r="AN40" s="163"/>
      <c r="AO40" s="163"/>
      <c r="AP40" s="163"/>
      <c r="AQ40" s="163"/>
      <c r="AR40" s="163"/>
      <c r="AS40" s="163"/>
      <c r="AT40" s="163"/>
      <c r="AU40" s="163"/>
      <c r="AV40" s="163"/>
      <c r="AW40" s="163"/>
      <c r="AX40" s="163"/>
      <c r="AY40" s="163"/>
      <c r="AZ40" s="163"/>
      <c r="BA40" s="163"/>
      <c r="BB40" s="163"/>
      <c r="BC40" s="163"/>
      <c r="BD40" s="163"/>
      <c r="BE40" s="163"/>
      <c r="BF40" s="163"/>
      <c r="BG40" s="163"/>
      <c r="BH40" s="163"/>
      <c r="BI40" s="163"/>
      <c r="BJ40" s="163"/>
      <c r="BK40" s="163"/>
      <c r="BL40" s="163"/>
      <c r="BM40" s="163"/>
      <c r="BN40" s="163"/>
      <c r="BO40" s="163"/>
      <c r="BP40" s="163"/>
      <c r="BQ40" s="163"/>
      <c r="BR40" s="163"/>
    </row>
    <row r="41" spans="1:70" ht="51.75" customHeight="1" x14ac:dyDescent="0.3">
      <c r="A41" s="316"/>
      <c r="B41" s="281"/>
      <c r="C41" s="282"/>
      <c r="D41" s="312"/>
      <c r="E41" s="283"/>
      <c r="F41" s="280"/>
      <c r="G41" s="280"/>
      <c r="H41" s="280"/>
      <c r="I41" s="280"/>
      <c r="J41" s="280"/>
      <c r="K41" s="280"/>
      <c r="L41" s="280"/>
      <c r="M41" s="280"/>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c r="BI41" s="163"/>
      <c r="BJ41" s="163"/>
      <c r="BK41" s="163"/>
      <c r="BL41" s="163"/>
      <c r="BM41" s="163"/>
      <c r="BN41" s="163"/>
      <c r="BO41" s="163"/>
      <c r="BP41" s="163"/>
      <c r="BQ41" s="163"/>
      <c r="BR41" s="163"/>
    </row>
    <row r="42" spans="1:70" ht="51.75" customHeight="1" x14ac:dyDescent="0.3">
      <c r="A42" s="316"/>
      <c r="B42" s="281"/>
      <c r="C42" s="282"/>
      <c r="D42" s="312"/>
      <c r="E42" s="283"/>
      <c r="F42" s="280" t="str">
        <f t="shared" ref="F42:M69" si="10">IFERROR(IF($E42="","No",IF($E42="No","No"," "))," ")</f>
        <v>No</v>
      </c>
      <c r="G42" s="280" t="str">
        <f t="shared" si="10"/>
        <v>No</v>
      </c>
      <c r="H42" s="280" t="str">
        <f t="shared" si="10"/>
        <v>No</v>
      </c>
      <c r="I42" s="280" t="str">
        <f t="shared" si="10"/>
        <v>No</v>
      </c>
      <c r="J42" s="280" t="str">
        <f t="shared" si="10"/>
        <v>No</v>
      </c>
      <c r="K42" s="280" t="str">
        <f t="shared" si="10"/>
        <v>No</v>
      </c>
      <c r="L42" s="280" t="str">
        <f t="shared" si="10"/>
        <v>No</v>
      </c>
      <c r="M42" s="280" t="str">
        <f t="shared" si="10"/>
        <v>No</v>
      </c>
      <c r="N42" s="163"/>
      <c r="O42" s="163"/>
      <c r="P42" s="163"/>
      <c r="Q42" s="163"/>
      <c r="R42" s="163"/>
      <c r="S42" s="163"/>
      <c r="T42" s="163"/>
      <c r="U42" s="163"/>
      <c r="V42" s="163"/>
      <c r="W42" s="163"/>
      <c r="X42" s="163"/>
      <c r="Y42" s="163"/>
      <c r="Z42" s="163"/>
      <c r="AA42" s="163"/>
      <c r="AB42" s="163"/>
      <c r="AC42" s="163"/>
      <c r="AD42" s="163"/>
      <c r="AE42" s="163"/>
      <c r="AF42" s="163"/>
      <c r="AG42" s="163"/>
      <c r="AH42" s="163"/>
      <c r="AI42" s="163"/>
      <c r="AJ42" s="163"/>
      <c r="AK42" s="163"/>
      <c r="AL42" s="163"/>
      <c r="AM42" s="163"/>
      <c r="AN42" s="163"/>
      <c r="AO42" s="163"/>
      <c r="AP42" s="163"/>
      <c r="AQ42" s="163"/>
      <c r="AR42" s="163"/>
      <c r="AS42" s="163"/>
      <c r="AT42" s="163"/>
      <c r="AU42" s="163"/>
      <c r="AV42" s="163"/>
      <c r="AW42" s="163"/>
      <c r="AX42" s="163"/>
      <c r="AY42" s="163"/>
      <c r="AZ42" s="163"/>
      <c r="BA42" s="163"/>
      <c r="BB42" s="163"/>
      <c r="BC42" s="163"/>
      <c r="BD42" s="163"/>
      <c r="BE42" s="163"/>
      <c r="BF42" s="163"/>
      <c r="BG42" s="163"/>
      <c r="BH42" s="163"/>
      <c r="BI42" s="163"/>
      <c r="BJ42" s="163"/>
      <c r="BK42" s="163"/>
      <c r="BL42" s="163"/>
      <c r="BM42" s="163"/>
      <c r="BN42" s="163"/>
      <c r="BO42" s="163"/>
      <c r="BP42" s="163"/>
      <c r="BQ42" s="163"/>
      <c r="BR42" s="163"/>
    </row>
    <row r="43" spans="1:70" ht="51.75" customHeight="1" x14ac:dyDescent="0.3">
      <c r="A43" s="316"/>
      <c r="B43" s="281"/>
      <c r="C43" s="282"/>
      <c r="D43" s="312"/>
      <c r="E43" s="283"/>
      <c r="F43" s="280"/>
      <c r="G43" s="280"/>
      <c r="H43" s="280"/>
      <c r="I43" s="280"/>
      <c r="J43" s="280"/>
      <c r="K43" s="280"/>
      <c r="L43" s="280"/>
      <c r="M43" s="280"/>
      <c r="N43" s="163"/>
      <c r="O43" s="163"/>
      <c r="P43" s="163"/>
      <c r="Q43" s="163"/>
      <c r="R43" s="163"/>
      <c r="S43" s="163"/>
      <c r="T43" s="163"/>
      <c r="U43" s="163"/>
      <c r="V43" s="163"/>
      <c r="W43" s="163"/>
      <c r="X43" s="163"/>
      <c r="Y43" s="163"/>
      <c r="Z43" s="163"/>
      <c r="AA43" s="163"/>
      <c r="AB43" s="163"/>
      <c r="AC43" s="163"/>
      <c r="AD43" s="163"/>
      <c r="AE43" s="163"/>
      <c r="AF43" s="163"/>
      <c r="AG43" s="163"/>
      <c r="AH43" s="163"/>
      <c r="AI43" s="163"/>
      <c r="AJ43" s="163"/>
      <c r="AK43" s="163"/>
      <c r="AL43" s="163"/>
      <c r="AM43" s="163"/>
      <c r="AN43" s="163"/>
      <c r="AO43" s="163"/>
      <c r="AP43" s="163"/>
      <c r="AQ43" s="163"/>
      <c r="AR43" s="163"/>
      <c r="AS43" s="163"/>
      <c r="AT43" s="163"/>
      <c r="AU43" s="163"/>
      <c r="AV43" s="163"/>
      <c r="AW43" s="163"/>
      <c r="AX43" s="163"/>
      <c r="AY43" s="163"/>
      <c r="AZ43" s="163"/>
      <c r="BA43" s="163"/>
      <c r="BB43" s="163"/>
      <c r="BC43" s="163"/>
      <c r="BD43" s="163"/>
      <c r="BE43" s="163"/>
      <c r="BF43" s="163"/>
      <c r="BG43" s="163"/>
      <c r="BH43" s="163"/>
      <c r="BI43" s="163"/>
      <c r="BJ43" s="163"/>
      <c r="BK43" s="163"/>
      <c r="BL43" s="163"/>
      <c r="BM43" s="163"/>
      <c r="BN43" s="163"/>
      <c r="BO43" s="163"/>
      <c r="BP43" s="163"/>
      <c r="BQ43" s="163"/>
      <c r="BR43" s="163"/>
    </row>
    <row r="44" spans="1:70" ht="51.75" customHeight="1" x14ac:dyDescent="0.3">
      <c r="A44" s="316"/>
      <c r="B44" s="281"/>
      <c r="C44" s="282"/>
      <c r="D44" s="312"/>
      <c r="E44" s="283"/>
      <c r="F44" s="280"/>
      <c r="G44" s="280"/>
      <c r="H44" s="280"/>
      <c r="I44" s="280"/>
      <c r="J44" s="280"/>
      <c r="K44" s="280"/>
      <c r="L44" s="280"/>
      <c r="M44" s="280"/>
      <c r="N44" s="163"/>
      <c r="O44" s="163"/>
      <c r="P44" s="163"/>
      <c r="Q44" s="163"/>
      <c r="R44" s="163"/>
      <c r="S44" s="163"/>
      <c r="T44" s="163"/>
      <c r="U44" s="163"/>
      <c r="V44" s="163"/>
      <c r="W44" s="163"/>
      <c r="X44" s="163"/>
      <c r="Y44" s="163"/>
      <c r="Z44" s="163"/>
      <c r="AA44" s="163"/>
      <c r="AB44" s="163"/>
      <c r="AC44" s="163"/>
      <c r="AD44" s="163"/>
      <c r="AE44" s="163"/>
      <c r="AF44" s="163"/>
      <c r="AG44" s="163"/>
      <c r="AH44" s="163"/>
      <c r="AI44" s="163"/>
      <c r="AJ44" s="163"/>
      <c r="AK44" s="163"/>
      <c r="AL44" s="163"/>
      <c r="AM44" s="163"/>
      <c r="AN44" s="163"/>
      <c r="AO44" s="163"/>
      <c r="AP44" s="163"/>
      <c r="AQ44" s="163"/>
      <c r="AR44" s="163"/>
      <c r="AS44" s="163"/>
      <c r="AT44" s="163"/>
      <c r="AU44" s="163"/>
      <c r="AV44" s="163"/>
      <c r="AW44" s="163"/>
      <c r="AX44" s="163"/>
      <c r="AY44" s="163"/>
      <c r="AZ44" s="163"/>
      <c r="BA44" s="163"/>
      <c r="BB44" s="163"/>
      <c r="BC44" s="163"/>
      <c r="BD44" s="163"/>
      <c r="BE44" s="163"/>
      <c r="BF44" s="163"/>
      <c r="BG44" s="163"/>
      <c r="BH44" s="163"/>
      <c r="BI44" s="163"/>
      <c r="BJ44" s="163"/>
      <c r="BK44" s="163"/>
      <c r="BL44" s="163"/>
      <c r="BM44" s="163"/>
      <c r="BN44" s="163"/>
      <c r="BO44" s="163"/>
      <c r="BP44" s="163"/>
      <c r="BQ44" s="163"/>
      <c r="BR44" s="163"/>
    </row>
    <row r="45" spans="1:70" ht="51.75" customHeight="1" x14ac:dyDescent="0.3">
      <c r="A45" s="316"/>
      <c r="B45" s="281"/>
      <c r="C45" s="282"/>
      <c r="D45" s="312"/>
      <c r="E45" s="283"/>
      <c r="F45" s="280" t="str">
        <f t="shared" si="10"/>
        <v>No</v>
      </c>
      <c r="G45" s="280" t="str">
        <f t="shared" si="10"/>
        <v>No</v>
      </c>
      <c r="H45" s="280" t="str">
        <f t="shared" si="10"/>
        <v>No</v>
      </c>
      <c r="I45" s="280" t="str">
        <f t="shared" si="10"/>
        <v>No</v>
      </c>
      <c r="J45" s="280" t="str">
        <f t="shared" si="10"/>
        <v>No</v>
      </c>
      <c r="K45" s="280" t="str">
        <f t="shared" si="10"/>
        <v>No</v>
      </c>
      <c r="L45" s="280" t="str">
        <f t="shared" si="10"/>
        <v>No</v>
      </c>
      <c r="M45" s="280" t="str">
        <f t="shared" si="10"/>
        <v>No</v>
      </c>
      <c r="N45" s="163"/>
      <c r="O45" s="163"/>
      <c r="P45" s="163"/>
      <c r="Q45" s="163"/>
      <c r="R45" s="163"/>
      <c r="S45" s="163"/>
      <c r="T45" s="163"/>
      <c r="U45" s="163"/>
      <c r="V45" s="163"/>
      <c r="W45" s="163"/>
      <c r="X45" s="163"/>
      <c r="Y45" s="163"/>
      <c r="Z45" s="163"/>
      <c r="AA45" s="163"/>
      <c r="AB45" s="163"/>
      <c r="AC45" s="163"/>
      <c r="AD45" s="163"/>
      <c r="AE45" s="163"/>
      <c r="AF45" s="163"/>
      <c r="AG45" s="163"/>
      <c r="AH45" s="163"/>
      <c r="AI45" s="163"/>
      <c r="AJ45" s="163"/>
      <c r="AK45" s="163"/>
      <c r="AL45" s="163"/>
      <c r="AM45" s="163"/>
      <c r="AN45" s="163"/>
      <c r="AO45" s="163"/>
      <c r="AP45" s="163"/>
      <c r="AQ45" s="163"/>
      <c r="AR45" s="163"/>
      <c r="AS45" s="163"/>
      <c r="AT45" s="163"/>
      <c r="AU45" s="163"/>
      <c r="AV45" s="163"/>
      <c r="AW45" s="163"/>
      <c r="AX45" s="163"/>
      <c r="AY45" s="163"/>
      <c r="AZ45" s="163"/>
      <c r="BA45" s="163"/>
      <c r="BB45" s="163"/>
      <c r="BC45" s="163"/>
      <c r="BD45" s="163"/>
      <c r="BE45" s="163"/>
      <c r="BF45" s="163"/>
      <c r="BG45" s="163"/>
      <c r="BH45" s="163"/>
      <c r="BI45" s="163"/>
      <c r="BJ45" s="163"/>
      <c r="BK45" s="163"/>
      <c r="BL45" s="163"/>
      <c r="BM45" s="163"/>
      <c r="BN45" s="163"/>
      <c r="BO45" s="163"/>
      <c r="BP45" s="163"/>
      <c r="BQ45" s="163"/>
      <c r="BR45" s="163"/>
    </row>
    <row r="46" spans="1:70" ht="51.75" customHeight="1" x14ac:dyDescent="0.3">
      <c r="A46" s="316"/>
      <c r="B46" s="281"/>
      <c r="C46" s="282"/>
      <c r="D46" s="312"/>
      <c r="E46" s="283"/>
      <c r="F46" s="280"/>
      <c r="G46" s="280"/>
      <c r="H46" s="280"/>
      <c r="I46" s="280"/>
      <c r="J46" s="280"/>
      <c r="K46" s="280"/>
      <c r="L46" s="280"/>
      <c r="M46" s="280"/>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3"/>
      <c r="BE46" s="163"/>
      <c r="BF46" s="163"/>
      <c r="BG46" s="163"/>
      <c r="BH46" s="163"/>
      <c r="BI46" s="163"/>
      <c r="BJ46" s="163"/>
      <c r="BK46" s="163"/>
      <c r="BL46" s="163"/>
      <c r="BM46" s="163"/>
      <c r="BN46" s="163"/>
      <c r="BO46" s="163"/>
      <c r="BP46" s="163"/>
      <c r="BQ46" s="163"/>
      <c r="BR46" s="163"/>
    </row>
    <row r="47" spans="1:70" ht="51.75" customHeight="1" x14ac:dyDescent="0.3">
      <c r="A47" s="316"/>
      <c r="B47" s="281"/>
      <c r="C47" s="282"/>
      <c r="D47" s="312"/>
      <c r="E47" s="283"/>
      <c r="F47" s="280"/>
      <c r="G47" s="280"/>
      <c r="H47" s="280"/>
      <c r="I47" s="280"/>
      <c r="J47" s="280"/>
      <c r="K47" s="280"/>
      <c r="L47" s="280"/>
      <c r="M47" s="280"/>
      <c r="N47" s="163"/>
      <c r="O47" s="163"/>
      <c r="P47" s="163"/>
      <c r="Q47" s="163"/>
      <c r="R47" s="163"/>
      <c r="S47" s="163"/>
      <c r="T47" s="163"/>
      <c r="U47" s="163"/>
      <c r="V47" s="163"/>
      <c r="W47" s="163"/>
      <c r="X47" s="163"/>
      <c r="Y47" s="163"/>
      <c r="Z47" s="163"/>
      <c r="AA47" s="163"/>
      <c r="AB47" s="163"/>
      <c r="AC47" s="163"/>
      <c r="AD47" s="163"/>
      <c r="AE47" s="163"/>
      <c r="AF47" s="163"/>
      <c r="AG47" s="163"/>
      <c r="AH47" s="163"/>
      <c r="AI47" s="163"/>
      <c r="AJ47" s="163"/>
      <c r="AK47" s="163"/>
      <c r="AL47" s="163"/>
      <c r="AM47" s="163"/>
      <c r="AN47" s="163"/>
      <c r="AO47" s="163"/>
      <c r="AP47" s="163"/>
      <c r="AQ47" s="163"/>
      <c r="AR47" s="163"/>
      <c r="AS47" s="163"/>
      <c r="AT47" s="163"/>
      <c r="AU47" s="163"/>
      <c r="AV47" s="163"/>
      <c r="AW47" s="163"/>
      <c r="AX47" s="163"/>
      <c r="AY47" s="163"/>
      <c r="AZ47" s="163"/>
      <c r="BA47" s="163"/>
      <c r="BB47" s="163"/>
      <c r="BC47" s="163"/>
      <c r="BD47" s="163"/>
      <c r="BE47" s="163"/>
      <c r="BF47" s="163"/>
      <c r="BG47" s="163"/>
      <c r="BH47" s="163"/>
      <c r="BI47" s="163"/>
      <c r="BJ47" s="163"/>
      <c r="BK47" s="163"/>
      <c r="BL47" s="163"/>
      <c r="BM47" s="163"/>
      <c r="BN47" s="163"/>
      <c r="BO47" s="163"/>
      <c r="BP47" s="163"/>
      <c r="BQ47" s="163"/>
      <c r="BR47" s="163"/>
    </row>
    <row r="48" spans="1:70" ht="51.75" customHeight="1" x14ac:dyDescent="0.3">
      <c r="A48" s="316"/>
      <c r="B48" s="281"/>
      <c r="C48" s="282"/>
      <c r="D48" s="312"/>
      <c r="E48" s="283"/>
      <c r="F48" s="280" t="str">
        <f t="shared" si="10"/>
        <v>No</v>
      </c>
      <c r="G48" s="280" t="str">
        <f t="shared" si="10"/>
        <v>No</v>
      </c>
      <c r="H48" s="280" t="str">
        <f t="shared" si="10"/>
        <v>No</v>
      </c>
      <c r="I48" s="280" t="str">
        <f t="shared" si="10"/>
        <v>No</v>
      </c>
      <c r="J48" s="280" t="str">
        <f t="shared" si="10"/>
        <v>No</v>
      </c>
      <c r="K48" s="280" t="str">
        <f t="shared" si="10"/>
        <v>No</v>
      </c>
      <c r="L48" s="280" t="str">
        <f t="shared" si="10"/>
        <v>No</v>
      </c>
      <c r="M48" s="280" t="str">
        <f t="shared" si="10"/>
        <v>No</v>
      </c>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3"/>
      <c r="BE48" s="163"/>
      <c r="BF48" s="163"/>
      <c r="BG48" s="163"/>
      <c r="BH48" s="163"/>
      <c r="BI48" s="163"/>
      <c r="BJ48" s="163"/>
      <c r="BK48" s="163"/>
      <c r="BL48" s="163"/>
      <c r="BM48" s="163"/>
      <c r="BN48" s="163"/>
      <c r="BO48" s="163"/>
      <c r="BP48" s="163"/>
      <c r="BQ48" s="163"/>
      <c r="BR48" s="163"/>
    </row>
    <row r="49" spans="1:70" ht="51.75" customHeight="1" x14ac:dyDescent="0.3">
      <c r="A49" s="316"/>
      <c r="B49" s="281"/>
      <c r="C49" s="282"/>
      <c r="D49" s="312"/>
      <c r="E49" s="283"/>
      <c r="F49" s="280"/>
      <c r="G49" s="280"/>
      <c r="H49" s="280"/>
      <c r="I49" s="280"/>
      <c r="J49" s="280"/>
      <c r="K49" s="280"/>
      <c r="L49" s="280"/>
      <c r="M49" s="280"/>
      <c r="N49" s="163"/>
      <c r="O49" s="163"/>
      <c r="P49" s="163"/>
      <c r="Q49" s="163"/>
      <c r="R49" s="163"/>
      <c r="S49" s="163"/>
      <c r="T49" s="163"/>
      <c r="U49" s="163"/>
      <c r="V49" s="163"/>
      <c r="W49" s="163"/>
      <c r="X49" s="163"/>
      <c r="Y49" s="163"/>
      <c r="Z49" s="163"/>
      <c r="AA49" s="163"/>
      <c r="AB49" s="163"/>
      <c r="AC49" s="163"/>
      <c r="AD49" s="163"/>
      <c r="AE49" s="163"/>
      <c r="AF49" s="163"/>
      <c r="AG49" s="163"/>
      <c r="AH49" s="163"/>
      <c r="AI49" s="163"/>
      <c r="AJ49" s="163"/>
      <c r="AK49" s="163"/>
      <c r="AL49" s="163"/>
      <c r="AM49" s="163"/>
      <c r="AN49" s="163"/>
      <c r="AO49" s="163"/>
      <c r="AP49" s="163"/>
      <c r="AQ49" s="163"/>
      <c r="AR49" s="163"/>
      <c r="AS49" s="163"/>
      <c r="AT49" s="163"/>
      <c r="AU49" s="163"/>
      <c r="AV49" s="163"/>
      <c r="AW49" s="163"/>
      <c r="AX49" s="163"/>
      <c r="AY49" s="163"/>
      <c r="AZ49" s="163"/>
      <c r="BA49" s="163"/>
      <c r="BB49" s="163"/>
      <c r="BC49" s="163"/>
      <c r="BD49" s="163"/>
      <c r="BE49" s="163"/>
      <c r="BF49" s="163"/>
      <c r="BG49" s="163"/>
      <c r="BH49" s="163"/>
      <c r="BI49" s="163"/>
      <c r="BJ49" s="163"/>
      <c r="BK49" s="163"/>
      <c r="BL49" s="163"/>
      <c r="BM49" s="163"/>
      <c r="BN49" s="163"/>
      <c r="BO49" s="163"/>
      <c r="BP49" s="163"/>
      <c r="BQ49" s="163"/>
      <c r="BR49" s="163"/>
    </row>
    <row r="50" spans="1:70" ht="51.75" customHeight="1" x14ac:dyDescent="0.3">
      <c r="A50" s="316"/>
      <c r="B50" s="281"/>
      <c r="C50" s="282"/>
      <c r="D50" s="312"/>
      <c r="E50" s="283"/>
      <c r="F50" s="280"/>
      <c r="G50" s="280"/>
      <c r="H50" s="280"/>
      <c r="I50" s="280"/>
      <c r="J50" s="280"/>
      <c r="K50" s="280"/>
      <c r="L50" s="280"/>
      <c r="M50" s="280"/>
      <c r="N50" s="163"/>
      <c r="O50" s="163"/>
      <c r="P50" s="163"/>
      <c r="Q50" s="163"/>
      <c r="R50" s="163"/>
      <c r="S50" s="163"/>
      <c r="T50" s="163"/>
      <c r="U50" s="163"/>
      <c r="V50" s="163"/>
      <c r="W50" s="163"/>
      <c r="X50" s="163"/>
      <c r="Y50" s="163"/>
      <c r="Z50" s="163"/>
      <c r="AA50" s="163"/>
      <c r="AB50" s="163"/>
      <c r="AC50" s="163"/>
      <c r="AD50" s="163"/>
      <c r="AE50" s="163"/>
      <c r="AF50" s="163"/>
      <c r="AG50" s="163"/>
      <c r="AH50" s="163"/>
      <c r="AI50" s="163"/>
      <c r="AJ50" s="163"/>
      <c r="AK50" s="163"/>
      <c r="AL50" s="163"/>
      <c r="AM50" s="163"/>
      <c r="AN50" s="163"/>
      <c r="AO50" s="163"/>
      <c r="AP50" s="163"/>
      <c r="AQ50" s="163"/>
      <c r="AR50" s="163"/>
      <c r="AS50" s="163"/>
      <c r="AT50" s="163"/>
      <c r="AU50" s="163"/>
      <c r="AV50" s="163"/>
      <c r="AW50" s="163"/>
      <c r="AX50" s="163"/>
      <c r="AY50" s="163"/>
      <c r="AZ50" s="163"/>
      <c r="BA50" s="163"/>
      <c r="BB50" s="163"/>
      <c r="BC50" s="163"/>
      <c r="BD50" s="163"/>
      <c r="BE50" s="163"/>
      <c r="BF50" s="163"/>
      <c r="BG50" s="163"/>
      <c r="BH50" s="163"/>
      <c r="BI50" s="163"/>
      <c r="BJ50" s="163"/>
      <c r="BK50" s="163"/>
      <c r="BL50" s="163"/>
      <c r="BM50" s="163"/>
      <c r="BN50" s="163"/>
      <c r="BO50" s="163"/>
      <c r="BP50" s="163"/>
      <c r="BQ50" s="163"/>
      <c r="BR50" s="163"/>
    </row>
    <row r="51" spans="1:70" ht="51.75" customHeight="1" x14ac:dyDescent="0.3">
      <c r="A51" s="316"/>
      <c r="B51" s="281"/>
      <c r="C51" s="282"/>
      <c r="D51" s="312"/>
      <c r="E51" s="283"/>
      <c r="F51" s="280" t="str">
        <f t="shared" si="10"/>
        <v>No</v>
      </c>
      <c r="G51" s="280" t="str">
        <f t="shared" si="10"/>
        <v>No</v>
      </c>
      <c r="H51" s="280" t="str">
        <f t="shared" si="10"/>
        <v>No</v>
      </c>
      <c r="I51" s="280" t="str">
        <f t="shared" si="10"/>
        <v>No</v>
      </c>
      <c r="J51" s="280" t="str">
        <f t="shared" si="10"/>
        <v>No</v>
      </c>
      <c r="K51" s="280" t="str">
        <f t="shared" si="10"/>
        <v>No</v>
      </c>
      <c r="L51" s="280" t="str">
        <f t="shared" si="10"/>
        <v>No</v>
      </c>
      <c r="M51" s="280" t="str">
        <f t="shared" si="10"/>
        <v>No</v>
      </c>
      <c r="N51" s="163"/>
      <c r="O51" s="163"/>
      <c r="P51" s="163"/>
      <c r="Q51" s="163"/>
      <c r="R51" s="163"/>
      <c r="S51" s="163"/>
      <c r="T51" s="163"/>
      <c r="U51" s="163"/>
      <c r="V51" s="163"/>
      <c r="W51" s="163"/>
      <c r="X51" s="163"/>
      <c r="Y51" s="163"/>
      <c r="Z51" s="163"/>
      <c r="AA51" s="163"/>
      <c r="AB51" s="163"/>
      <c r="AC51" s="163"/>
      <c r="AD51" s="163"/>
      <c r="AE51" s="163"/>
      <c r="AF51" s="163"/>
      <c r="AG51" s="163"/>
      <c r="AH51" s="163"/>
      <c r="AI51" s="163"/>
      <c r="AJ51" s="163"/>
      <c r="AK51" s="163"/>
      <c r="AL51" s="163"/>
      <c r="AM51" s="163"/>
      <c r="AN51" s="163"/>
      <c r="AO51" s="163"/>
      <c r="AP51" s="163"/>
      <c r="AQ51" s="163"/>
      <c r="AR51" s="163"/>
      <c r="AS51" s="163"/>
      <c r="AT51" s="163"/>
      <c r="AU51" s="163"/>
      <c r="AV51" s="163"/>
      <c r="AW51" s="163"/>
      <c r="AX51" s="163"/>
      <c r="AY51" s="163"/>
      <c r="AZ51" s="163"/>
      <c r="BA51" s="163"/>
      <c r="BB51" s="163"/>
      <c r="BC51" s="163"/>
      <c r="BD51" s="163"/>
      <c r="BE51" s="163"/>
      <c r="BF51" s="163"/>
      <c r="BG51" s="163"/>
      <c r="BH51" s="163"/>
      <c r="BI51" s="163"/>
      <c r="BJ51" s="163"/>
      <c r="BK51" s="163"/>
      <c r="BL51" s="163"/>
      <c r="BM51" s="163"/>
      <c r="BN51" s="163"/>
      <c r="BO51" s="163"/>
      <c r="BP51" s="163"/>
      <c r="BQ51" s="163"/>
      <c r="BR51" s="163"/>
    </row>
    <row r="52" spans="1:70" ht="51.75" customHeight="1" x14ac:dyDescent="0.3">
      <c r="A52" s="316"/>
      <c r="B52" s="281"/>
      <c r="C52" s="282"/>
      <c r="D52" s="312"/>
      <c r="E52" s="283"/>
      <c r="F52" s="280"/>
      <c r="G52" s="280"/>
      <c r="H52" s="280"/>
      <c r="I52" s="280"/>
      <c r="J52" s="280"/>
      <c r="K52" s="280"/>
      <c r="L52" s="280"/>
      <c r="M52" s="280"/>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3"/>
      <c r="BE52" s="163"/>
      <c r="BF52" s="163"/>
      <c r="BG52" s="163"/>
      <c r="BH52" s="163"/>
      <c r="BI52" s="163"/>
      <c r="BJ52" s="163"/>
      <c r="BK52" s="163"/>
      <c r="BL52" s="163"/>
      <c r="BM52" s="163"/>
      <c r="BN52" s="163"/>
      <c r="BO52" s="163"/>
      <c r="BP52" s="163"/>
      <c r="BQ52" s="163"/>
      <c r="BR52" s="163"/>
    </row>
    <row r="53" spans="1:70" ht="51.75" customHeight="1" x14ac:dyDescent="0.3">
      <c r="A53" s="316"/>
      <c r="B53" s="281"/>
      <c r="C53" s="282"/>
      <c r="D53" s="312"/>
      <c r="E53" s="283"/>
      <c r="F53" s="280"/>
      <c r="G53" s="280"/>
      <c r="H53" s="280"/>
      <c r="I53" s="280"/>
      <c r="J53" s="280"/>
      <c r="K53" s="280"/>
      <c r="L53" s="280"/>
      <c r="M53" s="280"/>
      <c r="N53" s="163"/>
      <c r="O53" s="163"/>
      <c r="P53" s="163"/>
      <c r="Q53" s="163"/>
      <c r="R53" s="163"/>
      <c r="S53" s="163"/>
      <c r="T53" s="163"/>
      <c r="U53" s="163"/>
      <c r="V53" s="163"/>
      <c r="W53" s="163"/>
      <c r="X53" s="163"/>
      <c r="Y53" s="163"/>
      <c r="Z53" s="163"/>
      <c r="AA53" s="163"/>
      <c r="AB53" s="163"/>
      <c r="AC53" s="163"/>
      <c r="AD53" s="163"/>
      <c r="AE53" s="163"/>
      <c r="AF53" s="163"/>
      <c r="AG53" s="163"/>
      <c r="AH53" s="163"/>
      <c r="AI53" s="163"/>
      <c r="AJ53" s="163"/>
      <c r="AK53" s="163"/>
      <c r="AL53" s="163"/>
      <c r="AM53" s="163"/>
      <c r="AN53" s="163"/>
      <c r="AO53" s="163"/>
      <c r="AP53" s="163"/>
      <c r="AQ53" s="163"/>
      <c r="AR53" s="163"/>
      <c r="AS53" s="163"/>
      <c r="AT53" s="163"/>
      <c r="AU53" s="163"/>
      <c r="AV53" s="163"/>
      <c r="AW53" s="163"/>
      <c r="AX53" s="163"/>
      <c r="AY53" s="163"/>
      <c r="AZ53" s="163"/>
      <c r="BA53" s="163"/>
      <c r="BB53" s="163"/>
      <c r="BC53" s="163"/>
      <c r="BD53" s="163"/>
      <c r="BE53" s="163"/>
      <c r="BF53" s="163"/>
      <c r="BG53" s="163"/>
      <c r="BH53" s="163"/>
      <c r="BI53" s="163"/>
      <c r="BJ53" s="163"/>
      <c r="BK53" s="163"/>
      <c r="BL53" s="163"/>
      <c r="BM53" s="163"/>
      <c r="BN53" s="163"/>
      <c r="BO53" s="163"/>
      <c r="BP53" s="163"/>
      <c r="BQ53" s="163"/>
      <c r="BR53" s="163"/>
    </row>
    <row r="54" spans="1:70" ht="51.75" customHeight="1" x14ac:dyDescent="0.3">
      <c r="A54" s="316"/>
      <c r="B54" s="281"/>
      <c r="C54" s="282"/>
      <c r="D54" s="312"/>
      <c r="E54" s="283"/>
      <c r="F54" s="280" t="str">
        <f t="shared" si="10"/>
        <v>No</v>
      </c>
      <c r="G54" s="280" t="str">
        <f t="shared" si="10"/>
        <v>No</v>
      </c>
      <c r="H54" s="280" t="str">
        <f t="shared" si="10"/>
        <v>No</v>
      </c>
      <c r="I54" s="280" t="str">
        <f t="shared" si="10"/>
        <v>No</v>
      </c>
      <c r="J54" s="280" t="str">
        <f t="shared" si="10"/>
        <v>No</v>
      </c>
      <c r="K54" s="280" t="str">
        <f t="shared" si="10"/>
        <v>No</v>
      </c>
      <c r="L54" s="280" t="str">
        <f t="shared" si="10"/>
        <v>No</v>
      </c>
      <c r="M54" s="280" t="str">
        <f t="shared" si="10"/>
        <v>No</v>
      </c>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3"/>
      <c r="BE54" s="163"/>
      <c r="BF54" s="163"/>
      <c r="BG54" s="163"/>
      <c r="BH54" s="163"/>
      <c r="BI54" s="163"/>
      <c r="BJ54" s="163"/>
      <c r="BK54" s="163"/>
      <c r="BL54" s="163"/>
      <c r="BM54" s="163"/>
      <c r="BN54" s="163"/>
      <c r="BO54" s="163"/>
      <c r="BP54" s="163"/>
      <c r="BQ54" s="163"/>
      <c r="BR54" s="163"/>
    </row>
    <row r="55" spans="1:70" ht="51.75" customHeight="1" x14ac:dyDescent="0.3">
      <c r="A55" s="316"/>
      <c r="B55" s="281"/>
      <c r="C55" s="282"/>
      <c r="D55" s="312"/>
      <c r="E55" s="283"/>
      <c r="F55" s="280"/>
      <c r="G55" s="280"/>
      <c r="H55" s="280"/>
      <c r="I55" s="280"/>
      <c r="J55" s="280"/>
      <c r="K55" s="280"/>
      <c r="L55" s="280"/>
      <c r="M55" s="280"/>
      <c r="N55" s="163"/>
      <c r="O55" s="163"/>
      <c r="P55" s="163"/>
      <c r="Q55" s="163"/>
      <c r="R55" s="163"/>
      <c r="S55" s="163"/>
      <c r="T55" s="163"/>
      <c r="U55" s="163"/>
      <c r="V55" s="163"/>
      <c r="W55" s="163"/>
      <c r="X55" s="163"/>
      <c r="Y55" s="163"/>
      <c r="Z55" s="163"/>
      <c r="AA55" s="163"/>
      <c r="AB55" s="163"/>
      <c r="AC55" s="163"/>
      <c r="AD55" s="163"/>
      <c r="AE55" s="163"/>
      <c r="AF55" s="163"/>
      <c r="AG55" s="163"/>
      <c r="AH55" s="163"/>
      <c r="AI55" s="163"/>
      <c r="AJ55" s="163"/>
      <c r="AK55" s="163"/>
      <c r="AL55" s="163"/>
      <c r="AM55" s="163"/>
      <c r="AN55" s="163"/>
      <c r="AO55" s="163"/>
      <c r="AP55" s="163"/>
      <c r="AQ55" s="163"/>
      <c r="AR55" s="163"/>
      <c r="AS55" s="163"/>
      <c r="AT55" s="163"/>
      <c r="AU55" s="163"/>
      <c r="AV55" s="163"/>
      <c r="AW55" s="163"/>
      <c r="AX55" s="163"/>
      <c r="AY55" s="163"/>
      <c r="AZ55" s="163"/>
      <c r="BA55" s="163"/>
      <c r="BB55" s="163"/>
      <c r="BC55" s="163"/>
      <c r="BD55" s="163"/>
      <c r="BE55" s="163"/>
      <c r="BF55" s="163"/>
      <c r="BG55" s="163"/>
      <c r="BH55" s="163"/>
      <c r="BI55" s="163"/>
      <c r="BJ55" s="163"/>
      <c r="BK55" s="163"/>
      <c r="BL55" s="163"/>
      <c r="BM55" s="163"/>
      <c r="BN55" s="163"/>
      <c r="BO55" s="163"/>
      <c r="BP55" s="163"/>
      <c r="BQ55" s="163"/>
      <c r="BR55" s="163"/>
    </row>
    <row r="56" spans="1:70" ht="51.75" customHeight="1" x14ac:dyDescent="0.3">
      <c r="A56" s="316"/>
      <c r="B56" s="281"/>
      <c r="C56" s="282"/>
      <c r="D56" s="312"/>
      <c r="E56" s="283"/>
      <c r="F56" s="280"/>
      <c r="G56" s="280"/>
      <c r="H56" s="280"/>
      <c r="I56" s="280"/>
      <c r="J56" s="280"/>
      <c r="K56" s="280"/>
      <c r="L56" s="280"/>
      <c r="M56" s="280"/>
      <c r="N56" s="163"/>
      <c r="O56" s="163"/>
      <c r="P56" s="163"/>
      <c r="Q56" s="163"/>
      <c r="R56" s="163"/>
      <c r="S56" s="163"/>
      <c r="T56" s="163"/>
      <c r="U56" s="163"/>
      <c r="V56" s="163"/>
      <c r="W56" s="163"/>
      <c r="X56" s="163"/>
      <c r="Y56" s="163"/>
      <c r="Z56" s="163"/>
      <c r="AA56" s="163"/>
      <c r="AB56" s="163"/>
      <c r="AC56" s="163"/>
      <c r="AD56" s="163"/>
      <c r="AE56" s="163"/>
      <c r="AF56" s="163"/>
      <c r="AG56" s="163"/>
      <c r="AH56" s="163"/>
      <c r="AI56" s="163"/>
      <c r="AJ56" s="163"/>
      <c r="AK56" s="163"/>
      <c r="AL56" s="163"/>
      <c r="AM56" s="163"/>
      <c r="AN56" s="163"/>
      <c r="AO56" s="163"/>
      <c r="AP56" s="163"/>
      <c r="AQ56" s="163"/>
      <c r="AR56" s="163"/>
      <c r="AS56" s="163"/>
      <c r="AT56" s="163"/>
      <c r="AU56" s="163"/>
      <c r="AV56" s="163"/>
      <c r="AW56" s="163"/>
      <c r="AX56" s="163"/>
      <c r="AY56" s="163"/>
      <c r="AZ56" s="163"/>
      <c r="BA56" s="163"/>
      <c r="BB56" s="163"/>
      <c r="BC56" s="163"/>
      <c r="BD56" s="163"/>
      <c r="BE56" s="163"/>
      <c r="BF56" s="163"/>
      <c r="BG56" s="163"/>
      <c r="BH56" s="163"/>
      <c r="BI56" s="163"/>
      <c r="BJ56" s="163"/>
      <c r="BK56" s="163"/>
      <c r="BL56" s="163"/>
      <c r="BM56" s="163"/>
      <c r="BN56" s="163"/>
      <c r="BO56" s="163"/>
      <c r="BP56" s="163"/>
      <c r="BQ56" s="163"/>
      <c r="BR56" s="163"/>
    </row>
    <row r="57" spans="1:70" ht="51.75" customHeight="1" x14ac:dyDescent="0.3">
      <c r="A57" s="316"/>
      <c r="B57" s="281"/>
      <c r="C57" s="282"/>
      <c r="D57" s="312"/>
      <c r="E57" s="283"/>
      <c r="F57" s="280" t="str">
        <f t="shared" si="10"/>
        <v>No</v>
      </c>
      <c r="G57" s="280" t="str">
        <f t="shared" si="10"/>
        <v>No</v>
      </c>
      <c r="H57" s="280" t="str">
        <f t="shared" si="10"/>
        <v>No</v>
      </c>
      <c r="I57" s="280" t="str">
        <f t="shared" si="10"/>
        <v>No</v>
      </c>
      <c r="J57" s="280" t="str">
        <f t="shared" si="10"/>
        <v>No</v>
      </c>
      <c r="K57" s="280" t="str">
        <f t="shared" si="10"/>
        <v>No</v>
      </c>
      <c r="L57" s="280" t="str">
        <f t="shared" si="10"/>
        <v>No</v>
      </c>
      <c r="M57" s="280" t="str">
        <f t="shared" si="10"/>
        <v>No</v>
      </c>
      <c r="N57" s="163"/>
      <c r="O57" s="163"/>
      <c r="P57" s="163"/>
      <c r="Q57" s="163"/>
      <c r="R57" s="163"/>
      <c r="S57" s="163"/>
      <c r="T57" s="163"/>
      <c r="U57" s="163"/>
      <c r="V57" s="163"/>
      <c r="W57" s="163"/>
      <c r="X57" s="163"/>
      <c r="Y57" s="163"/>
      <c r="Z57" s="163"/>
      <c r="AA57" s="163"/>
      <c r="AB57" s="163"/>
      <c r="AC57" s="163"/>
      <c r="AD57" s="163"/>
      <c r="AE57" s="163"/>
      <c r="AF57" s="163"/>
      <c r="AG57" s="163"/>
      <c r="AH57" s="163"/>
      <c r="AI57" s="163"/>
      <c r="AJ57" s="163"/>
      <c r="AK57" s="163"/>
      <c r="AL57" s="163"/>
      <c r="AM57" s="163"/>
      <c r="AN57" s="163"/>
      <c r="AO57" s="163"/>
      <c r="AP57" s="163"/>
      <c r="AQ57" s="163"/>
      <c r="AR57" s="163"/>
      <c r="AS57" s="163"/>
      <c r="AT57" s="163"/>
      <c r="AU57" s="163"/>
      <c r="AV57" s="163"/>
      <c r="AW57" s="163"/>
      <c r="AX57" s="163"/>
      <c r="AY57" s="163"/>
      <c r="AZ57" s="163"/>
      <c r="BA57" s="163"/>
      <c r="BB57" s="163"/>
      <c r="BC57" s="163"/>
      <c r="BD57" s="163"/>
      <c r="BE57" s="163"/>
      <c r="BF57" s="163"/>
      <c r="BG57" s="163"/>
      <c r="BH57" s="163"/>
      <c r="BI57" s="163"/>
      <c r="BJ57" s="163"/>
      <c r="BK57" s="163"/>
      <c r="BL57" s="163"/>
      <c r="BM57" s="163"/>
      <c r="BN57" s="163"/>
      <c r="BO57" s="163"/>
      <c r="BP57" s="163"/>
      <c r="BQ57" s="163"/>
      <c r="BR57" s="163"/>
    </row>
    <row r="58" spans="1:70" ht="51.75" customHeight="1" x14ac:dyDescent="0.3">
      <c r="A58" s="316"/>
      <c r="B58" s="281"/>
      <c r="C58" s="282"/>
      <c r="D58" s="312"/>
      <c r="E58" s="283"/>
      <c r="F58" s="280"/>
      <c r="G58" s="280"/>
      <c r="H58" s="280"/>
      <c r="I58" s="280"/>
      <c r="J58" s="280"/>
      <c r="K58" s="280"/>
      <c r="L58" s="280"/>
      <c r="M58" s="280"/>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3"/>
      <c r="BE58" s="163"/>
      <c r="BF58" s="163"/>
      <c r="BG58" s="163"/>
      <c r="BH58" s="163"/>
      <c r="BI58" s="163"/>
      <c r="BJ58" s="163"/>
      <c r="BK58" s="163"/>
      <c r="BL58" s="163"/>
      <c r="BM58" s="163"/>
      <c r="BN58" s="163"/>
      <c r="BO58" s="163"/>
      <c r="BP58" s="163"/>
      <c r="BQ58" s="163"/>
      <c r="BR58" s="163"/>
    </row>
    <row r="59" spans="1:70" ht="51.75" customHeight="1" x14ac:dyDescent="0.3">
      <c r="A59" s="316"/>
      <c r="B59" s="281"/>
      <c r="C59" s="282"/>
      <c r="D59" s="312"/>
      <c r="E59" s="283"/>
      <c r="F59" s="280"/>
      <c r="G59" s="280"/>
      <c r="H59" s="280"/>
      <c r="I59" s="280"/>
      <c r="J59" s="280"/>
      <c r="K59" s="280"/>
      <c r="L59" s="280"/>
      <c r="M59" s="280"/>
      <c r="N59" s="163"/>
      <c r="O59" s="163"/>
      <c r="P59" s="163"/>
      <c r="Q59" s="163"/>
      <c r="R59" s="163"/>
      <c r="S59" s="163"/>
      <c r="T59" s="163"/>
      <c r="U59" s="163"/>
      <c r="V59" s="163"/>
      <c r="W59" s="163"/>
      <c r="X59" s="163"/>
      <c r="Y59" s="163"/>
      <c r="Z59" s="163"/>
      <c r="AA59" s="163"/>
      <c r="AB59" s="163"/>
      <c r="AC59" s="163"/>
      <c r="AD59" s="163"/>
      <c r="AE59" s="163"/>
      <c r="AF59" s="163"/>
      <c r="AG59" s="163"/>
      <c r="AH59" s="163"/>
      <c r="AI59" s="163"/>
      <c r="AJ59" s="163"/>
      <c r="AK59" s="163"/>
      <c r="AL59" s="163"/>
      <c r="AM59" s="163"/>
      <c r="AN59" s="163"/>
      <c r="AO59" s="163"/>
      <c r="AP59" s="163"/>
      <c r="AQ59" s="163"/>
      <c r="AR59" s="163"/>
      <c r="AS59" s="163"/>
      <c r="AT59" s="163"/>
      <c r="AU59" s="163"/>
      <c r="AV59" s="163"/>
      <c r="AW59" s="163"/>
      <c r="AX59" s="163"/>
      <c r="AY59" s="163"/>
      <c r="AZ59" s="163"/>
      <c r="BA59" s="163"/>
      <c r="BB59" s="163"/>
      <c r="BC59" s="163"/>
      <c r="BD59" s="163"/>
      <c r="BE59" s="163"/>
      <c r="BF59" s="163"/>
      <c r="BG59" s="163"/>
      <c r="BH59" s="163"/>
      <c r="BI59" s="163"/>
      <c r="BJ59" s="163"/>
      <c r="BK59" s="163"/>
      <c r="BL59" s="163"/>
      <c r="BM59" s="163"/>
      <c r="BN59" s="163"/>
      <c r="BO59" s="163"/>
      <c r="BP59" s="163"/>
      <c r="BQ59" s="163"/>
      <c r="BR59" s="163"/>
    </row>
    <row r="60" spans="1:70" ht="51.75" customHeight="1" x14ac:dyDescent="0.3">
      <c r="A60" s="316"/>
      <c r="B60" s="281"/>
      <c r="C60" s="282"/>
      <c r="D60" s="312"/>
      <c r="E60" s="283"/>
      <c r="F60" s="280" t="str">
        <f t="shared" si="10"/>
        <v>No</v>
      </c>
      <c r="G60" s="280" t="str">
        <f t="shared" si="10"/>
        <v>No</v>
      </c>
      <c r="H60" s="280" t="str">
        <f t="shared" si="10"/>
        <v>No</v>
      </c>
      <c r="I60" s="280" t="str">
        <f t="shared" si="10"/>
        <v>No</v>
      </c>
      <c r="J60" s="280" t="str">
        <f t="shared" si="10"/>
        <v>No</v>
      </c>
      <c r="K60" s="280" t="str">
        <f t="shared" si="10"/>
        <v>No</v>
      </c>
      <c r="L60" s="280" t="str">
        <f t="shared" si="10"/>
        <v>No</v>
      </c>
      <c r="M60" s="280" t="str">
        <f t="shared" si="10"/>
        <v>No</v>
      </c>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3"/>
      <c r="BE60" s="163"/>
      <c r="BF60" s="163"/>
      <c r="BG60" s="163"/>
      <c r="BH60" s="163"/>
      <c r="BI60" s="163"/>
      <c r="BJ60" s="163"/>
      <c r="BK60" s="163"/>
      <c r="BL60" s="163"/>
      <c r="BM60" s="163"/>
      <c r="BN60" s="163"/>
      <c r="BO60" s="163"/>
      <c r="BP60" s="163"/>
      <c r="BQ60" s="163"/>
      <c r="BR60" s="163"/>
    </row>
    <row r="61" spans="1:70" ht="51.75" customHeight="1" x14ac:dyDescent="0.3">
      <c r="A61" s="316"/>
      <c r="B61" s="281"/>
      <c r="C61" s="282"/>
      <c r="D61" s="312"/>
      <c r="E61" s="283"/>
      <c r="F61" s="280"/>
      <c r="G61" s="280"/>
      <c r="H61" s="280"/>
      <c r="I61" s="280"/>
      <c r="J61" s="280"/>
      <c r="K61" s="280"/>
      <c r="L61" s="280"/>
      <c r="M61" s="280"/>
      <c r="N61" s="163"/>
      <c r="O61" s="163"/>
      <c r="P61" s="163"/>
      <c r="Q61" s="163"/>
      <c r="R61" s="163"/>
      <c r="S61" s="163"/>
      <c r="T61" s="163"/>
      <c r="U61" s="163"/>
      <c r="V61" s="163"/>
      <c r="W61" s="163"/>
      <c r="X61" s="163"/>
      <c r="Y61" s="163"/>
      <c r="Z61" s="163"/>
      <c r="AA61" s="163"/>
      <c r="AB61" s="163"/>
      <c r="AC61" s="163"/>
      <c r="AD61" s="163"/>
      <c r="AE61" s="163"/>
      <c r="AF61" s="163"/>
      <c r="AG61" s="163"/>
      <c r="AH61" s="163"/>
      <c r="AI61" s="163"/>
      <c r="AJ61" s="163"/>
      <c r="AK61" s="163"/>
      <c r="AL61" s="163"/>
      <c r="AM61" s="163"/>
      <c r="AN61" s="163"/>
      <c r="AO61" s="163"/>
      <c r="AP61" s="163"/>
      <c r="AQ61" s="163"/>
      <c r="AR61" s="163"/>
      <c r="AS61" s="163"/>
      <c r="AT61" s="163"/>
      <c r="AU61" s="163"/>
      <c r="AV61" s="163"/>
      <c r="AW61" s="163"/>
      <c r="AX61" s="163"/>
      <c r="AY61" s="163"/>
      <c r="AZ61" s="163"/>
      <c r="BA61" s="163"/>
      <c r="BB61" s="163"/>
      <c r="BC61" s="163"/>
      <c r="BD61" s="163"/>
      <c r="BE61" s="163"/>
      <c r="BF61" s="163"/>
      <c r="BG61" s="163"/>
      <c r="BH61" s="163"/>
      <c r="BI61" s="163"/>
      <c r="BJ61" s="163"/>
      <c r="BK61" s="163"/>
      <c r="BL61" s="163"/>
      <c r="BM61" s="163"/>
      <c r="BN61" s="163"/>
      <c r="BO61" s="163"/>
      <c r="BP61" s="163"/>
      <c r="BQ61" s="163"/>
      <c r="BR61" s="163"/>
    </row>
    <row r="62" spans="1:70" ht="51.75" customHeight="1" x14ac:dyDescent="0.3">
      <c r="A62" s="316"/>
      <c r="B62" s="281"/>
      <c r="C62" s="282"/>
      <c r="D62" s="312"/>
      <c r="E62" s="283"/>
      <c r="F62" s="280"/>
      <c r="G62" s="280"/>
      <c r="H62" s="280"/>
      <c r="I62" s="280"/>
      <c r="J62" s="280"/>
      <c r="K62" s="280"/>
      <c r="L62" s="280"/>
      <c r="M62" s="280"/>
      <c r="N62" s="163"/>
      <c r="O62" s="163"/>
      <c r="P62" s="163"/>
      <c r="Q62" s="163"/>
      <c r="R62" s="163"/>
      <c r="S62" s="163"/>
      <c r="T62" s="163"/>
      <c r="U62" s="163"/>
      <c r="V62" s="163"/>
      <c r="W62" s="163"/>
      <c r="X62" s="163"/>
      <c r="Y62" s="163"/>
      <c r="Z62" s="163"/>
      <c r="AA62" s="163"/>
      <c r="AB62" s="163"/>
      <c r="AC62" s="163"/>
      <c r="AD62" s="163"/>
      <c r="AE62" s="163"/>
      <c r="AF62" s="163"/>
      <c r="AG62" s="163"/>
      <c r="AH62" s="163"/>
      <c r="AI62" s="163"/>
      <c r="AJ62" s="163"/>
      <c r="AK62" s="163"/>
      <c r="AL62" s="163"/>
      <c r="AM62" s="163"/>
      <c r="AN62" s="163"/>
      <c r="AO62" s="163"/>
      <c r="AP62" s="163"/>
      <c r="AQ62" s="163"/>
      <c r="AR62" s="163"/>
      <c r="AS62" s="163"/>
      <c r="AT62" s="163"/>
      <c r="AU62" s="163"/>
      <c r="AV62" s="163"/>
      <c r="AW62" s="163"/>
      <c r="AX62" s="163"/>
      <c r="AY62" s="163"/>
      <c r="AZ62" s="163"/>
      <c r="BA62" s="163"/>
      <c r="BB62" s="163"/>
      <c r="BC62" s="163"/>
      <c r="BD62" s="163"/>
      <c r="BE62" s="163"/>
      <c r="BF62" s="163"/>
      <c r="BG62" s="163"/>
      <c r="BH62" s="163"/>
      <c r="BI62" s="163"/>
      <c r="BJ62" s="163"/>
      <c r="BK62" s="163"/>
      <c r="BL62" s="163"/>
      <c r="BM62" s="163"/>
      <c r="BN62" s="163"/>
      <c r="BO62" s="163"/>
      <c r="BP62" s="163"/>
      <c r="BQ62" s="163"/>
      <c r="BR62" s="163"/>
    </row>
    <row r="63" spans="1:70" ht="51.75" customHeight="1" x14ac:dyDescent="0.3">
      <c r="A63" s="316"/>
      <c r="B63" s="281"/>
      <c r="C63" s="282"/>
      <c r="D63" s="312"/>
      <c r="E63" s="283"/>
      <c r="F63" s="280" t="str">
        <f t="shared" si="10"/>
        <v>No</v>
      </c>
      <c r="G63" s="280" t="str">
        <f t="shared" si="10"/>
        <v>No</v>
      </c>
      <c r="H63" s="280" t="str">
        <f t="shared" si="10"/>
        <v>No</v>
      </c>
      <c r="I63" s="280" t="str">
        <f t="shared" si="10"/>
        <v>No</v>
      </c>
      <c r="J63" s="280" t="str">
        <f t="shared" si="10"/>
        <v>No</v>
      </c>
      <c r="K63" s="280" t="str">
        <f t="shared" si="10"/>
        <v>No</v>
      </c>
      <c r="L63" s="280" t="str">
        <f t="shared" si="10"/>
        <v>No</v>
      </c>
      <c r="M63" s="280" t="str">
        <f t="shared" si="10"/>
        <v>No</v>
      </c>
      <c r="N63" s="163"/>
      <c r="O63" s="163"/>
      <c r="P63" s="163"/>
      <c r="Q63" s="163"/>
      <c r="R63" s="163"/>
      <c r="S63" s="163"/>
      <c r="T63" s="163"/>
      <c r="U63" s="163"/>
      <c r="V63" s="163"/>
      <c r="W63" s="163"/>
      <c r="X63" s="163"/>
      <c r="Y63" s="163"/>
      <c r="Z63" s="163"/>
      <c r="AA63" s="163"/>
      <c r="AB63" s="163"/>
      <c r="AC63" s="163"/>
      <c r="AD63" s="163"/>
      <c r="AE63" s="163"/>
      <c r="AF63" s="163"/>
      <c r="AG63" s="163"/>
      <c r="AH63" s="163"/>
      <c r="AI63" s="163"/>
      <c r="AJ63" s="163"/>
      <c r="AK63" s="163"/>
      <c r="AL63" s="163"/>
      <c r="AM63" s="163"/>
      <c r="AN63" s="163"/>
      <c r="AO63" s="163"/>
      <c r="AP63" s="163"/>
      <c r="AQ63" s="163"/>
      <c r="AR63" s="163"/>
      <c r="AS63" s="163"/>
      <c r="AT63" s="163"/>
      <c r="AU63" s="163"/>
      <c r="AV63" s="163"/>
      <c r="AW63" s="163"/>
      <c r="AX63" s="163"/>
      <c r="AY63" s="163"/>
      <c r="AZ63" s="163"/>
      <c r="BA63" s="163"/>
      <c r="BB63" s="163"/>
      <c r="BC63" s="163"/>
      <c r="BD63" s="163"/>
      <c r="BE63" s="163"/>
      <c r="BF63" s="163"/>
      <c r="BG63" s="163"/>
      <c r="BH63" s="163"/>
      <c r="BI63" s="163"/>
      <c r="BJ63" s="163"/>
      <c r="BK63" s="163"/>
      <c r="BL63" s="163"/>
      <c r="BM63" s="163"/>
      <c r="BN63" s="163"/>
      <c r="BO63" s="163"/>
      <c r="BP63" s="163"/>
      <c r="BQ63" s="163"/>
      <c r="BR63" s="163"/>
    </row>
    <row r="64" spans="1:70" ht="51.75" customHeight="1" x14ac:dyDescent="0.3">
      <c r="A64" s="316"/>
      <c r="B64" s="281"/>
      <c r="C64" s="282"/>
      <c r="D64" s="312"/>
      <c r="E64" s="283"/>
      <c r="F64" s="280"/>
      <c r="G64" s="280"/>
      <c r="H64" s="280"/>
      <c r="I64" s="280"/>
      <c r="J64" s="280"/>
      <c r="K64" s="280"/>
      <c r="L64" s="280"/>
      <c r="M64" s="280"/>
      <c r="N64" s="163"/>
      <c r="O64" s="163"/>
      <c r="P64" s="163"/>
      <c r="Q64" s="163"/>
      <c r="R64" s="163"/>
      <c r="S64" s="163"/>
      <c r="T64" s="163"/>
      <c r="U64" s="163"/>
      <c r="V64" s="163"/>
      <c r="W64" s="163"/>
      <c r="X64" s="163"/>
      <c r="Y64" s="163"/>
      <c r="Z64" s="163"/>
      <c r="AA64" s="163"/>
      <c r="AB64" s="163"/>
      <c r="AC64" s="163"/>
      <c r="AD64" s="163"/>
      <c r="AE64" s="163"/>
      <c r="AF64" s="163"/>
      <c r="AG64" s="163"/>
      <c r="AH64" s="163"/>
      <c r="AI64" s="163"/>
      <c r="AJ64" s="163"/>
      <c r="AK64" s="163"/>
      <c r="AL64" s="163"/>
      <c r="AM64" s="163"/>
      <c r="AN64" s="163"/>
      <c r="AO64" s="163"/>
      <c r="AP64" s="163"/>
      <c r="AQ64" s="163"/>
      <c r="AR64" s="163"/>
      <c r="AS64" s="163"/>
      <c r="AT64" s="163"/>
      <c r="AU64" s="163"/>
      <c r="AV64" s="163"/>
      <c r="AW64" s="163"/>
      <c r="AX64" s="163"/>
      <c r="AY64" s="163"/>
      <c r="AZ64" s="163"/>
      <c r="BA64" s="163"/>
      <c r="BB64" s="163"/>
      <c r="BC64" s="163"/>
      <c r="BD64" s="163"/>
      <c r="BE64" s="163"/>
      <c r="BF64" s="163"/>
      <c r="BG64" s="163"/>
      <c r="BH64" s="163"/>
      <c r="BI64" s="163"/>
      <c r="BJ64" s="163"/>
      <c r="BK64" s="163"/>
      <c r="BL64" s="163"/>
      <c r="BM64" s="163"/>
      <c r="BN64" s="163"/>
      <c r="BO64" s="163"/>
      <c r="BP64" s="163"/>
      <c r="BQ64" s="163"/>
      <c r="BR64" s="163"/>
    </row>
    <row r="65" spans="1:70" ht="51.75" customHeight="1" x14ac:dyDescent="0.3">
      <c r="A65" s="316"/>
      <c r="B65" s="281"/>
      <c r="C65" s="282"/>
      <c r="D65" s="312"/>
      <c r="E65" s="283"/>
      <c r="F65" s="280"/>
      <c r="G65" s="280"/>
      <c r="H65" s="280"/>
      <c r="I65" s="280"/>
      <c r="J65" s="280"/>
      <c r="K65" s="280"/>
      <c r="L65" s="280"/>
      <c r="M65" s="280"/>
      <c r="N65" s="163"/>
      <c r="O65" s="163"/>
      <c r="P65" s="163"/>
      <c r="Q65" s="163"/>
      <c r="R65" s="163"/>
      <c r="S65" s="163"/>
      <c r="T65" s="163"/>
      <c r="U65" s="163"/>
      <c r="V65" s="163"/>
      <c r="W65" s="163"/>
      <c r="X65" s="163"/>
      <c r="Y65" s="163"/>
      <c r="Z65" s="163"/>
      <c r="AA65" s="163"/>
      <c r="AB65" s="163"/>
      <c r="AC65" s="163"/>
      <c r="AD65" s="163"/>
      <c r="AE65" s="163"/>
      <c r="AF65" s="163"/>
      <c r="AG65" s="163"/>
      <c r="AH65" s="163"/>
      <c r="AI65" s="163"/>
      <c r="AJ65" s="163"/>
      <c r="AK65" s="163"/>
      <c r="AL65" s="163"/>
      <c r="AM65" s="163"/>
      <c r="AN65" s="163"/>
      <c r="AO65" s="163"/>
      <c r="AP65" s="163"/>
      <c r="AQ65" s="163"/>
      <c r="AR65" s="163"/>
      <c r="AS65" s="163"/>
      <c r="AT65" s="163"/>
      <c r="AU65" s="163"/>
      <c r="AV65" s="163"/>
      <c r="AW65" s="163"/>
      <c r="AX65" s="163"/>
      <c r="AY65" s="163"/>
      <c r="AZ65" s="163"/>
      <c r="BA65" s="163"/>
      <c r="BB65" s="163"/>
      <c r="BC65" s="163"/>
      <c r="BD65" s="163"/>
      <c r="BE65" s="163"/>
      <c r="BF65" s="163"/>
      <c r="BG65" s="163"/>
      <c r="BH65" s="163"/>
      <c r="BI65" s="163"/>
      <c r="BJ65" s="163"/>
      <c r="BK65" s="163"/>
      <c r="BL65" s="163"/>
      <c r="BM65" s="163"/>
      <c r="BN65" s="163"/>
      <c r="BO65" s="163"/>
      <c r="BP65" s="163"/>
      <c r="BQ65" s="163"/>
      <c r="BR65" s="163"/>
    </row>
    <row r="66" spans="1:70" ht="51.75" customHeight="1" x14ac:dyDescent="0.3">
      <c r="A66" s="316"/>
      <c r="B66" s="281"/>
      <c r="C66" s="282"/>
      <c r="D66" s="312"/>
      <c r="E66" s="283"/>
      <c r="F66" s="280" t="str">
        <f t="shared" si="10"/>
        <v>No</v>
      </c>
      <c r="G66" s="280" t="str">
        <f t="shared" si="10"/>
        <v>No</v>
      </c>
      <c r="H66" s="280" t="str">
        <f t="shared" si="10"/>
        <v>No</v>
      </c>
      <c r="I66" s="280" t="str">
        <f t="shared" si="10"/>
        <v>No</v>
      </c>
      <c r="J66" s="280" t="str">
        <f t="shared" si="10"/>
        <v>No</v>
      </c>
      <c r="K66" s="280" t="str">
        <f t="shared" si="10"/>
        <v>No</v>
      </c>
      <c r="L66" s="280" t="str">
        <f t="shared" si="10"/>
        <v>No</v>
      </c>
      <c r="M66" s="280" t="str">
        <f t="shared" si="10"/>
        <v>No</v>
      </c>
      <c r="N66" s="163"/>
      <c r="O66" s="163"/>
      <c r="P66" s="163"/>
      <c r="Q66" s="163"/>
      <c r="R66" s="163"/>
      <c r="S66" s="163"/>
      <c r="T66" s="163"/>
      <c r="U66" s="163"/>
      <c r="V66" s="163"/>
      <c r="W66" s="163"/>
      <c r="X66" s="163"/>
      <c r="Y66" s="163"/>
      <c r="Z66" s="163"/>
      <c r="AA66" s="163"/>
      <c r="AB66" s="163"/>
      <c r="AC66" s="163"/>
      <c r="AD66" s="163"/>
      <c r="AE66" s="163"/>
      <c r="AF66" s="163"/>
      <c r="AG66" s="163"/>
      <c r="AH66" s="163"/>
      <c r="AI66" s="163"/>
      <c r="AJ66" s="163"/>
      <c r="AK66" s="163"/>
      <c r="AL66" s="163"/>
      <c r="AM66" s="163"/>
      <c r="AN66" s="163"/>
      <c r="AO66" s="163"/>
      <c r="AP66" s="163"/>
      <c r="AQ66" s="163"/>
      <c r="AR66" s="163"/>
      <c r="AS66" s="163"/>
      <c r="AT66" s="163"/>
      <c r="AU66" s="163"/>
      <c r="AV66" s="163"/>
      <c r="AW66" s="163"/>
      <c r="AX66" s="163"/>
      <c r="AY66" s="163"/>
      <c r="AZ66" s="163"/>
      <c r="BA66" s="163"/>
      <c r="BB66" s="163"/>
      <c r="BC66" s="163"/>
      <c r="BD66" s="163"/>
      <c r="BE66" s="163"/>
      <c r="BF66" s="163"/>
      <c r="BG66" s="163"/>
      <c r="BH66" s="163"/>
      <c r="BI66" s="163"/>
      <c r="BJ66" s="163"/>
      <c r="BK66" s="163"/>
      <c r="BL66" s="163"/>
      <c r="BM66" s="163"/>
      <c r="BN66" s="163"/>
      <c r="BO66" s="163"/>
      <c r="BP66" s="163"/>
      <c r="BQ66" s="163"/>
      <c r="BR66" s="163"/>
    </row>
    <row r="67" spans="1:70" ht="51.75" customHeight="1" x14ac:dyDescent="0.3">
      <c r="A67" s="316"/>
      <c r="B67" s="281"/>
      <c r="C67" s="282"/>
      <c r="D67" s="312"/>
      <c r="E67" s="283"/>
      <c r="F67" s="280"/>
      <c r="G67" s="280"/>
      <c r="H67" s="280"/>
      <c r="I67" s="280"/>
      <c r="J67" s="280"/>
      <c r="K67" s="280"/>
      <c r="L67" s="280"/>
      <c r="M67" s="280"/>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3"/>
      <c r="BE67" s="163"/>
      <c r="BF67" s="163"/>
      <c r="BG67" s="163"/>
      <c r="BH67" s="163"/>
      <c r="BI67" s="163"/>
      <c r="BJ67" s="163"/>
      <c r="BK67" s="163"/>
      <c r="BL67" s="163"/>
      <c r="BM67" s="163"/>
      <c r="BN67" s="163"/>
      <c r="BO67" s="163"/>
      <c r="BP67" s="163"/>
      <c r="BQ67" s="163"/>
      <c r="BR67" s="163"/>
    </row>
    <row r="68" spans="1:70" ht="51.75" customHeight="1" x14ac:dyDescent="0.3">
      <c r="A68" s="316"/>
      <c r="B68" s="281"/>
      <c r="C68" s="282"/>
      <c r="D68" s="312"/>
      <c r="E68" s="283"/>
      <c r="F68" s="280"/>
      <c r="G68" s="280"/>
      <c r="H68" s="280"/>
      <c r="I68" s="280"/>
      <c r="J68" s="280"/>
      <c r="K68" s="280"/>
      <c r="L68" s="280"/>
      <c r="M68" s="280"/>
      <c r="N68" s="163"/>
      <c r="O68" s="163"/>
      <c r="P68" s="163"/>
      <c r="Q68" s="163"/>
      <c r="R68" s="163"/>
      <c r="S68" s="163"/>
      <c r="T68" s="163"/>
      <c r="U68" s="163"/>
      <c r="V68" s="163"/>
      <c r="W68" s="163"/>
      <c r="X68" s="163"/>
      <c r="Y68" s="163"/>
      <c r="Z68" s="163"/>
      <c r="AA68" s="163"/>
      <c r="AB68" s="163"/>
      <c r="AC68" s="163"/>
      <c r="AD68" s="163"/>
      <c r="AE68" s="163"/>
      <c r="AF68" s="163"/>
      <c r="AG68" s="163"/>
      <c r="AH68" s="163"/>
      <c r="AI68" s="163"/>
      <c r="AJ68" s="163"/>
      <c r="AK68" s="163"/>
      <c r="AL68" s="163"/>
      <c r="AM68" s="163"/>
      <c r="AN68" s="163"/>
      <c r="AO68" s="163"/>
      <c r="AP68" s="163"/>
      <c r="AQ68" s="163"/>
      <c r="AR68" s="163"/>
      <c r="AS68" s="163"/>
      <c r="AT68" s="163"/>
      <c r="AU68" s="163"/>
      <c r="AV68" s="163"/>
      <c r="AW68" s="163"/>
      <c r="AX68" s="163"/>
      <c r="AY68" s="163"/>
      <c r="AZ68" s="163"/>
      <c r="BA68" s="163"/>
      <c r="BB68" s="163"/>
      <c r="BC68" s="163"/>
      <c r="BD68" s="163"/>
      <c r="BE68" s="163"/>
      <c r="BF68" s="163"/>
      <c r="BG68" s="163"/>
      <c r="BH68" s="163"/>
      <c r="BI68" s="163"/>
      <c r="BJ68" s="163"/>
      <c r="BK68" s="163"/>
      <c r="BL68" s="163"/>
      <c r="BM68" s="163"/>
      <c r="BN68" s="163"/>
      <c r="BO68" s="163"/>
      <c r="BP68" s="163"/>
      <c r="BQ68" s="163"/>
      <c r="BR68" s="163"/>
    </row>
    <row r="69" spans="1:70" ht="51.75" customHeight="1" x14ac:dyDescent="0.3">
      <c r="A69" s="316"/>
      <c r="B69" s="281"/>
      <c r="C69" s="282"/>
      <c r="D69" s="312"/>
      <c r="E69" s="283"/>
      <c r="F69" s="280" t="str">
        <f t="shared" si="10"/>
        <v>No</v>
      </c>
      <c r="G69" s="280" t="str">
        <f t="shared" si="10"/>
        <v>No</v>
      </c>
      <c r="H69" s="280" t="str">
        <f t="shared" si="10"/>
        <v>No</v>
      </c>
      <c r="I69" s="280" t="str">
        <f t="shared" si="10"/>
        <v>No</v>
      </c>
      <c r="J69" s="280" t="str">
        <f t="shared" si="10"/>
        <v>No</v>
      </c>
      <c r="K69" s="280" t="str">
        <f t="shared" si="10"/>
        <v>No</v>
      </c>
      <c r="L69" s="280" t="str">
        <f t="shared" si="10"/>
        <v>No</v>
      </c>
      <c r="M69" s="280" t="str">
        <f t="shared" si="10"/>
        <v>No</v>
      </c>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3"/>
      <c r="BE69" s="163"/>
      <c r="BF69" s="163"/>
      <c r="BG69" s="163"/>
      <c r="BH69" s="163"/>
      <c r="BI69" s="163"/>
      <c r="BJ69" s="163"/>
      <c r="BK69" s="163"/>
      <c r="BL69" s="163"/>
      <c r="BM69" s="163"/>
      <c r="BN69" s="163"/>
      <c r="BO69" s="163"/>
      <c r="BP69" s="163"/>
      <c r="BQ69" s="163"/>
      <c r="BR69" s="163"/>
    </row>
    <row r="70" spans="1:70" ht="51.75" customHeight="1" x14ac:dyDescent="0.3">
      <c r="A70" s="316"/>
      <c r="B70" s="281"/>
      <c r="C70" s="282"/>
      <c r="D70" s="312"/>
      <c r="E70" s="283"/>
      <c r="F70" s="280"/>
      <c r="G70" s="280"/>
      <c r="H70" s="280"/>
      <c r="I70" s="280"/>
      <c r="J70" s="280"/>
      <c r="K70" s="280"/>
      <c r="L70" s="280"/>
      <c r="M70" s="280"/>
      <c r="N70" s="163"/>
      <c r="O70" s="163"/>
      <c r="P70" s="163"/>
      <c r="Q70" s="163"/>
      <c r="R70" s="163"/>
      <c r="S70" s="163"/>
      <c r="T70" s="163"/>
      <c r="U70" s="163"/>
      <c r="V70" s="163"/>
      <c r="W70" s="163"/>
      <c r="X70" s="163"/>
      <c r="Y70" s="163"/>
      <c r="Z70" s="163"/>
      <c r="AA70" s="163"/>
      <c r="AB70" s="163"/>
      <c r="AC70" s="163"/>
      <c r="AD70" s="163"/>
      <c r="AE70" s="163"/>
      <c r="AF70" s="163"/>
      <c r="AG70" s="163"/>
      <c r="AH70" s="163"/>
      <c r="AI70" s="163"/>
      <c r="AJ70" s="163"/>
      <c r="AK70" s="163"/>
      <c r="AL70" s="163"/>
      <c r="AM70" s="163"/>
      <c r="AN70" s="163"/>
      <c r="AO70" s="163"/>
      <c r="AP70" s="163"/>
      <c r="AQ70" s="163"/>
      <c r="AR70" s="163"/>
      <c r="AS70" s="163"/>
      <c r="AT70" s="163"/>
      <c r="AU70" s="163"/>
      <c r="AV70" s="163"/>
      <c r="AW70" s="163"/>
      <c r="AX70" s="163"/>
      <c r="AY70" s="163"/>
      <c r="AZ70" s="163"/>
      <c r="BA70" s="163"/>
      <c r="BB70" s="163"/>
      <c r="BC70" s="163"/>
      <c r="BD70" s="163"/>
      <c r="BE70" s="163"/>
      <c r="BF70" s="163"/>
      <c r="BG70" s="163"/>
      <c r="BH70" s="163"/>
      <c r="BI70" s="163"/>
      <c r="BJ70" s="163"/>
      <c r="BK70" s="163"/>
      <c r="BL70" s="163"/>
      <c r="BM70" s="163"/>
      <c r="BN70" s="163"/>
      <c r="BO70" s="163"/>
      <c r="BP70" s="163"/>
      <c r="BQ70" s="163"/>
      <c r="BR70" s="163"/>
    </row>
    <row r="71" spans="1:70" ht="51.75" customHeight="1" x14ac:dyDescent="0.3">
      <c r="A71" s="316"/>
      <c r="B71" s="281"/>
      <c r="C71" s="282"/>
      <c r="D71" s="312"/>
      <c r="E71" s="283"/>
      <c r="F71" s="280"/>
      <c r="G71" s="280"/>
      <c r="H71" s="280"/>
      <c r="I71" s="280"/>
      <c r="J71" s="280"/>
      <c r="K71" s="280"/>
      <c r="L71" s="280"/>
      <c r="M71" s="280"/>
      <c r="N71" s="163"/>
      <c r="O71" s="163"/>
      <c r="P71" s="163"/>
      <c r="Q71" s="163"/>
      <c r="R71" s="163"/>
      <c r="S71" s="163"/>
      <c r="T71" s="163"/>
      <c r="U71" s="163"/>
      <c r="V71" s="163"/>
      <c r="W71" s="163"/>
      <c r="X71" s="163"/>
      <c r="Y71" s="163"/>
      <c r="Z71" s="163"/>
      <c r="AA71" s="163"/>
      <c r="AB71" s="163"/>
      <c r="AC71" s="163"/>
      <c r="AD71" s="163"/>
      <c r="AE71" s="163"/>
      <c r="AF71" s="163"/>
      <c r="AG71" s="163"/>
      <c r="AH71" s="163"/>
      <c r="AI71" s="163"/>
      <c r="AJ71" s="163"/>
      <c r="AK71" s="163"/>
      <c r="AL71" s="163"/>
      <c r="AM71" s="163"/>
      <c r="AN71" s="163"/>
      <c r="AO71" s="163"/>
      <c r="AP71" s="163"/>
      <c r="AQ71" s="163"/>
      <c r="AR71" s="163"/>
      <c r="AS71" s="163"/>
      <c r="AT71" s="163"/>
      <c r="AU71" s="163"/>
      <c r="AV71" s="163"/>
      <c r="AW71" s="163"/>
      <c r="AX71" s="163"/>
      <c r="AY71" s="163"/>
      <c r="AZ71" s="163"/>
      <c r="BA71" s="163"/>
      <c r="BB71" s="163"/>
      <c r="BC71" s="163"/>
      <c r="BD71" s="163"/>
      <c r="BE71" s="163"/>
      <c r="BF71" s="163"/>
      <c r="BG71" s="163"/>
      <c r="BH71" s="163"/>
      <c r="BI71" s="163"/>
      <c r="BJ71" s="163"/>
      <c r="BK71" s="163"/>
      <c r="BL71" s="163"/>
      <c r="BM71" s="163"/>
      <c r="BN71" s="163"/>
      <c r="BO71" s="163"/>
      <c r="BP71" s="163"/>
      <c r="BQ71" s="163"/>
      <c r="BR71" s="163"/>
    </row>
    <row r="72" spans="1:70" x14ac:dyDescent="0.3">
      <c r="A72" s="163"/>
      <c r="B72" s="163"/>
      <c r="C72" s="163"/>
      <c r="D72" s="163"/>
      <c r="E72" s="163"/>
      <c r="F72" s="163"/>
      <c r="G72" s="163"/>
      <c r="H72" s="163"/>
      <c r="I72" s="163"/>
      <c r="J72" s="163"/>
      <c r="K72" s="163"/>
      <c r="L72" s="163"/>
      <c r="M72" s="163"/>
      <c r="N72" s="163"/>
      <c r="O72" s="163"/>
      <c r="P72" s="163"/>
      <c r="Q72" s="163"/>
      <c r="R72" s="163"/>
      <c r="S72" s="163"/>
      <c r="T72" s="163"/>
      <c r="U72" s="163"/>
      <c r="V72" s="163"/>
      <c r="W72" s="163"/>
      <c r="X72" s="163"/>
      <c r="Y72" s="163"/>
      <c r="Z72" s="163"/>
      <c r="AA72" s="163"/>
      <c r="AB72" s="163"/>
      <c r="AC72" s="163"/>
      <c r="AD72" s="163"/>
      <c r="AE72" s="163"/>
      <c r="AF72" s="163"/>
      <c r="AG72" s="163"/>
      <c r="AH72" s="163"/>
      <c r="AI72" s="163"/>
      <c r="AJ72" s="163"/>
      <c r="AK72" s="163"/>
      <c r="AL72" s="163"/>
      <c r="AM72" s="163"/>
      <c r="AN72" s="163"/>
      <c r="AO72" s="163"/>
      <c r="AP72" s="163"/>
      <c r="AQ72" s="163"/>
      <c r="AR72" s="163"/>
      <c r="AS72" s="163"/>
      <c r="AT72" s="163"/>
      <c r="AU72" s="163"/>
      <c r="AV72" s="163"/>
      <c r="AW72" s="163"/>
      <c r="AX72" s="163"/>
      <c r="AY72" s="163"/>
      <c r="AZ72" s="163"/>
      <c r="BA72" s="163"/>
      <c r="BB72" s="163"/>
      <c r="BC72" s="163"/>
      <c r="BD72" s="163"/>
      <c r="BE72" s="163"/>
      <c r="BF72" s="163"/>
      <c r="BG72" s="163"/>
      <c r="BH72" s="163"/>
      <c r="BI72" s="163"/>
      <c r="BJ72" s="163"/>
      <c r="BK72" s="163"/>
      <c r="BL72" s="163"/>
      <c r="BM72" s="163"/>
      <c r="BN72" s="163"/>
      <c r="BO72" s="163"/>
      <c r="BP72" s="163"/>
      <c r="BQ72" s="163"/>
      <c r="BR72" s="163"/>
    </row>
    <row r="73" spans="1:70" x14ac:dyDescent="0.3">
      <c r="A73" s="163"/>
      <c r="B73" s="163"/>
      <c r="C73" s="163"/>
      <c r="D73" s="163"/>
      <c r="E73" s="163"/>
      <c r="F73" s="163"/>
      <c r="G73" s="163"/>
      <c r="H73" s="163"/>
      <c r="I73" s="163"/>
      <c r="J73" s="163"/>
      <c r="K73" s="163"/>
      <c r="L73" s="163"/>
      <c r="M73" s="163"/>
      <c r="N73" s="163"/>
      <c r="O73" s="163"/>
      <c r="P73" s="163"/>
      <c r="Q73" s="163"/>
      <c r="R73" s="163"/>
      <c r="S73" s="163"/>
      <c r="T73" s="163"/>
      <c r="U73" s="163"/>
      <c r="V73" s="163"/>
      <c r="W73" s="163"/>
      <c r="X73" s="163"/>
      <c r="Y73" s="163"/>
      <c r="Z73" s="163"/>
      <c r="AA73" s="163"/>
      <c r="AB73" s="163"/>
      <c r="AC73" s="163"/>
      <c r="AD73" s="163"/>
      <c r="AE73" s="163"/>
      <c r="AF73" s="163"/>
      <c r="AG73" s="163"/>
      <c r="AH73" s="163"/>
      <c r="AI73" s="163"/>
      <c r="AJ73" s="163"/>
      <c r="AK73" s="163"/>
      <c r="AL73" s="163"/>
      <c r="AM73" s="163"/>
      <c r="AN73" s="163"/>
      <c r="AO73" s="163"/>
      <c r="AP73" s="163"/>
      <c r="AQ73" s="163"/>
      <c r="AR73" s="163"/>
      <c r="AS73" s="163"/>
      <c r="AT73" s="163"/>
      <c r="AU73" s="163"/>
      <c r="AV73" s="163"/>
      <c r="AW73" s="163"/>
      <c r="AX73" s="163"/>
      <c r="AY73" s="163"/>
      <c r="AZ73" s="163"/>
      <c r="BA73" s="163"/>
      <c r="BB73" s="163"/>
      <c r="BC73" s="163"/>
      <c r="BD73" s="163"/>
      <c r="BE73" s="163"/>
      <c r="BF73" s="163"/>
      <c r="BG73" s="163"/>
      <c r="BH73" s="163"/>
      <c r="BI73" s="163"/>
      <c r="BJ73" s="163"/>
      <c r="BK73" s="163"/>
      <c r="BL73" s="163"/>
      <c r="BM73" s="163"/>
      <c r="BN73" s="163"/>
      <c r="BO73" s="163"/>
      <c r="BP73" s="163"/>
      <c r="BQ73" s="163"/>
      <c r="BR73" s="163"/>
    </row>
    <row r="74" spans="1:70" x14ac:dyDescent="0.3">
      <c r="A74" s="163"/>
      <c r="B74" s="163"/>
      <c r="C74" s="163"/>
      <c r="D74" s="163"/>
      <c r="E74" s="163"/>
      <c r="F74" s="163"/>
      <c r="G74" s="163"/>
      <c r="H74" s="163"/>
      <c r="I74" s="163"/>
      <c r="J74" s="163"/>
      <c r="K74" s="163"/>
      <c r="L74" s="163"/>
      <c r="M74" s="163"/>
      <c r="N74" s="163"/>
      <c r="O74" s="163"/>
      <c r="P74" s="163"/>
      <c r="Q74" s="163"/>
      <c r="R74" s="163"/>
      <c r="S74" s="163"/>
      <c r="T74" s="163"/>
      <c r="U74" s="163"/>
      <c r="V74" s="163"/>
      <c r="W74" s="163"/>
      <c r="X74" s="163"/>
      <c r="Y74" s="163"/>
      <c r="Z74" s="163"/>
      <c r="AA74" s="163"/>
      <c r="AB74" s="163"/>
      <c r="AC74" s="163"/>
      <c r="AD74" s="163"/>
      <c r="AE74" s="163"/>
      <c r="AF74" s="163"/>
      <c r="AG74" s="163"/>
      <c r="AH74" s="163"/>
      <c r="AI74" s="163"/>
      <c r="AJ74" s="163"/>
      <c r="AK74" s="163"/>
      <c r="AL74" s="163"/>
      <c r="AM74" s="163"/>
      <c r="AN74" s="163"/>
      <c r="AO74" s="163"/>
      <c r="AP74" s="163"/>
      <c r="AQ74" s="163"/>
      <c r="AR74" s="163"/>
      <c r="AS74" s="163"/>
      <c r="AT74" s="163"/>
      <c r="AU74" s="163"/>
      <c r="AV74" s="163"/>
      <c r="AW74" s="163"/>
      <c r="AX74" s="163"/>
      <c r="AY74" s="163"/>
      <c r="AZ74" s="163"/>
      <c r="BA74" s="163"/>
      <c r="BB74" s="163"/>
      <c r="BC74" s="163"/>
      <c r="BD74" s="163"/>
      <c r="BE74" s="163"/>
      <c r="BF74" s="163"/>
      <c r="BG74" s="163"/>
      <c r="BH74" s="163"/>
      <c r="BI74" s="163"/>
      <c r="BJ74" s="163"/>
      <c r="BK74" s="163"/>
      <c r="BL74" s="163"/>
      <c r="BM74" s="163"/>
      <c r="BN74" s="163"/>
      <c r="BO74" s="163"/>
      <c r="BP74" s="163"/>
      <c r="BQ74" s="163"/>
      <c r="BR74" s="163"/>
    </row>
    <row r="75" spans="1:70" x14ac:dyDescent="0.3">
      <c r="A75" s="163"/>
      <c r="B75" s="163"/>
      <c r="C75" s="163"/>
      <c r="D75" s="163"/>
      <c r="E75" s="163"/>
      <c r="F75" s="163"/>
      <c r="G75" s="163"/>
      <c r="H75" s="163"/>
      <c r="I75" s="163"/>
      <c r="J75" s="163"/>
      <c r="K75" s="163"/>
      <c r="L75" s="163"/>
      <c r="M75" s="163"/>
      <c r="N75" s="163"/>
      <c r="O75" s="163"/>
      <c r="P75" s="163"/>
      <c r="Q75" s="163"/>
      <c r="R75" s="163"/>
      <c r="S75" s="163"/>
      <c r="T75" s="163"/>
      <c r="U75" s="163"/>
      <c r="V75" s="163"/>
      <c r="W75" s="163"/>
      <c r="X75" s="163"/>
      <c r="Y75" s="163"/>
      <c r="Z75" s="163"/>
      <c r="AA75" s="163"/>
      <c r="AB75" s="163"/>
      <c r="AC75" s="163"/>
      <c r="AD75" s="163"/>
      <c r="AE75" s="163"/>
      <c r="AF75" s="163"/>
      <c r="AG75" s="163"/>
      <c r="AH75" s="163"/>
      <c r="AI75" s="163"/>
      <c r="AJ75" s="163"/>
      <c r="AK75" s="163"/>
      <c r="AL75" s="163"/>
      <c r="AM75" s="163"/>
      <c r="AN75" s="163"/>
      <c r="AO75" s="163"/>
      <c r="AP75" s="163"/>
      <c r="AQ75" s="163"/>
      <c r="AR75" s="163"/>
      <c r="AS75" s="163"/>
      <c r="AT75" s="163"/>
      <c r="AU75" s="163"/>
      <c r="AV75" s="163"/>
      <c r="AW75" s="163"/>
      <c r="AX75" s="163"/>
      <c r="AY75" s="163"/>
      <c r="AZ75" s="163"/>
      <c r="BA75" s="163"/>
      <c r="BB75" s="163"/>
      <c r="BC75" s="163"/>
      <c r="BD75" s="163"/>
      <c r="BE75" s="163"/>
      <c r="BF75" s="163"/>
      <c r="BG75" s="163"/>
      <c r="BH75" s="163"/>
      <c r="BI75" s="163"/>
      <c r="BJ75" s="163"/>
      <c r="BK75" s="163"/>
      <c r="BL75" s="163"/>
      <c r="BM75" s="163"/>
      <c r="BN75" s="163"/>
      <c r="BO75" s="163"/>
      <c r="BP75" s="163"/>
      <c r="BQ75" s="163"/>
      <c r="BR75" s="163"/>
    </row>
    <row r="76" spans="1:70" x14ac:dyDescent="0.3">
      <c r="A76" s="163"/>
      <c r="B76" s="163"/>
      <c r="C76" s="163"/>
      <c r="D76" s="163"/>
      <c r="E76" s="163"/>
      <c r="F76" s="163"/>
      <c r="G76" s="163"/>
      <c r="H76" s="163"/>
      <c r="I76" s="163"/>
      <c r="J76" s="163"/>
      <c r="K76" s="163"/>
      <c r="L76" s="163"/>
      <c r="M76" s="163"/>
      <c r="N76" s="163"/>
      <c r="O76" s="163"/>
      <c r="P76" s="163"/>
      <c r="Q76" s="163"/>
      <c r="R76" s="163"/>
      <c r="S76" s="163"/>
      <c r="T76" s="163"/>
      <c r="U76" s="163"/>
      <c r="V76" s="163"/>
      <c r="W76" s="163"/>
      <c r="X76" s="163"/>
      <c r="Y76" s="163"/>
      <c r="Z76" s="163"/>
      <c r="AA76" s="163"/>
      <c r="AB76" s="163"/>
      <c r="AC76" s="163"/>
      <c r="AD76" s="163"/>
      <c r="AE76" s="163"/>
      <c r="AF76" s="163"/>
      <c r="AG76" s="163"/>
      <c r="AH76" s="163"/>
      <c r="AI76" s="163"/>
      <c r="AJ76" s="163"/>
      <c r="AK76" s="163"/>
      <c r="AL76" s="163"/>
      <c r="AM76" s="163"/>
      <c r="AN76" s="163"/>
      <c r="AO76" s="163"/>
      <c r="AP76" s="163"/>
      <c r="AQ76" s="163"/>
      <c r="AR76" s="163"/>
      <c r="AS76" s="163"/>
      <c r="AT76" s="163"/>
      <c r="AU76" s="163"/>
      <c r="AV76" s="163"/>
      <c r="AW76" s="163"/>
      <c r="AX76" s="163"/>
      <c r="AY76" s="163"/>
      <c r="AZ76" s="163"/>
      <c r="BA76" s="163"/>
      <c r="BB76" s="163"/>
      <c r="BC76" s="163"/>
      <c r="BD76" s="163"/>
      <c r="BE76" s="163"/>
      <c r="BF76" s="163"/>
      <c r="BG76" s="163"/>
      <c r="BH76" s="163"/>
      <c r="BI76" s="163"/>
      <c r="BJ76" s="163"/>
      <c r="BK76" s="163"/>
      <c r="BL76" s="163"/>
      <c r="BM76" s="163"/>
      <c r="BN76" s="163"/>
      <c r="BO76" s="163"/>
      <c r="BP76" s="163"/>
      <c r="BQ76" s="163"/>
      <c r="BR76" s="163"/>
    </row>
    <row r="77" spans="1:70" x14ac:dyDescent="0.3">
      <c r="A77" s="163"/>
      <c r="B77" s="163"/>
      <c r="C77" s="163"/>
      <c r="D77" s="163"/>
      <c r="E77" s="163"/>
      <c r="F77" s="163"/>
      <c r="G77" s="163"/>
      <c r="H77" s="163"/>
      <c r="I77" s="163"/>
      <c r="J77" s="163"/>
      <c r="K77" s="163"/>
      <c r="L77" s="163"/>
      <c r="M77" s="163"/>
      <c r="N77" s="163"/>
      <c r="O77" s="163"/>
      <c r="P77" s="163"/>
      <c r="Q77" s="163"/>
      <c r="R77" s="163"/>
      <c r="S77" s="163"/>
      <c r="T77" s="163"/>
      <c r="U77" s="163"/>
      <c r="V77" s="163"/>
      <c r="W77" s="163"/>
      <c r="X77" s="163"/>
      <c r="Y77" s="163"/>
      <c r="Z77" s="163"/>
      <c r="AA77" s="163"/>
      <c r="AB77" s="163"/>
      <c r="AC77" s="163"/>
    </row>
    <row r="78" spans="1:70" x14ac:dyDescent="0.3">
      <c r="A78" s="163"/>
      <c r="B78" s="163"/>
      <c r="C78" s="163"/>
      <c r="D78" s="163"/>
      <c r="E78" s="163"/>
      <c r="F78" s="163"/>
      <c r="G78" s="163"/>
      <c r="H78" s="163"/>
      <c r="I78" s="163"/>
      <c r="J78" s="163"/>
      <c r="K78" s="163"/>
      <c r="L78" s="163"/>
      <c r="M78" s="163"/>
      <c r="N78" s="163"/>
      <c r="O78" s="163"/>
      <c r="P78" s="163"/>
      <c r="Q78" s="163"/>
      <c r="R78" s="163"/>
      <c r="S78" s="163"/>
      <c r="T78" s="163"/>
      <c r="U78" s="163"/>
      <c r="V78" s="163"/>
      <c r="W78" s="163"/>
      <c r="X78" s="163"/>
      <c r="Y78" s="163"/>
      <c r="Z78" s="163"/>
      <c r="AA78" s="163"/>
      <c r="AB78" s="163"/>
      <c r="AC78" s="163"/>
    </row>
    <row r="79" spans="1:70" x14ac:dyDescent="0.3">
      <c r="A79" s="163"/>
      <c r="B79" s="163"/>
      <c r="C79" s="163"/>
      <c r="D79" s="163"/>
      <c r="E79" s="163"/>
      <c r="F79" s="163"/>
      <c r="G79" s="163"/>
      <c r="H79" s="163"/>
      <c r="I79" s="163"/>
      <c r="J79" s="163"/>
      <c r="K79" s="163"/>
      <c r="L79" s="163"/>
      <c r="M79" s="163"/>
      <c r="N79" s="163"/>
      <c r="O79" s="163"/>
      <c r="P79" s="163"/>
      <c r="Q79" s="163"/>
      <c r="R79" s="163"/>
      <c r="S79" s="163"/>
      <c r="T79" s="163"/>
      <c r="U79" s="163"/>
      <c r="V79" s="163"/>
      <c r="W79" s="163"/>
      <c r="X79" s="163"/>
      <c r="Y79" s="163"/>
      <c r="Z79" s="163"/>
      <c r="AA79" s="163"/>
      <c r="AB79" s="163"/>
      <c r="AC79" s="163"/>
    </row>
    <row r="80" spans="1:70" x14ac:dyDescent="0.3">
      <c r="A80" s="163"/>
      <c r="B80" s="163"/>
      <c r="C80" s="163"/>
      <c r="D80" s="163"/>
      <c r="E80" s="163"/>
      <c r="F80" s="163"/>
      <c r="G80" s="163"/>
      <c r="H80" s="163"/>
      <c r="I80" s="163"/>
      <c r="J80" s="163"/>
      <c r="K80" s="163"/>
      <c r="L80" s="163"/>
      <c r="M80" s="163"/>
      <c r="N80" s="163"/>
      <c r="O80" s="163"/>
      <c r="P80" s="163"/>
      <c r="Q80" s="163"/>
      <c r="R80" s="163"/>
      <c r="S80" s="163"/>
      <c r="T80" s="163"/>
      <c r="U80" s="163"/>
      <c r="V80" s="163"/>
      <c r="W80" s="163"/>
      <c r="X80" s="163"/>
      <c r="Y80" s="163"/>
      <c r="Z80" s="163"/>
      <c r="AA80" s="163"/>
      <c r="AB80" s="163"/>
      <c r="AC80" s="163"/>
    </row>
    <row r="81" spans="1:29" x14ac:dyDescent="0.3">
      <c r="A81" s="163"/>
      <c r="B81" s="163"/>
      <c r="C81" s="163"/>
      <c r="D81" s="163"/>
      <c r="E81" s="163"/>
      <c r="F81" s="163"/>
      <c r="G81" s="163"/>
      <c r="H81" s="163"/>
      <c r="I81" s="163"/>
      <c r="J81" s="163"/>
      <c r="K81" s="163"/>
      <c r="L81" s="163"/>
      <c r="M81" s="163"/>
      <c r="N81" s="163"/>
      <c r="O81" s="163"/>
      <c r="P81" s="163"/>
      <c r="Q81" s="163"/>
      <c r="R81" s="163"/>
      <c r="S81" s="163"/>
      <c r="T81" s="163"/>
      <c r="U81" s="163"/>
      <c r="V81" s="163"/>
      <c r="W81" s="163"/>
      <c r="X81" s="163"/>
      <c r="Y81" s="163"/>
      <c r="Z81" s="163"/>
      <c r="AA81" s="163"/>
      <c r="AB81" s="163"/>
      <c r="AC81" s="163"/>
    </row>
    <row r="82" spans="1:29" x14ac:dyDescent="0.3">
      <c r="A82" s="163"/>
      <c r="B82" s="163"/>
      <c r="C82" s="163"/>
      <c r="D82" s="163"/>
      <c r="E82" s="163"/>
      <c r="F82" s="163"/>
      <c r="G82" s="163"/>
      <c r="H82" s="163"/>
      <c r="I82" s="163"/>
      <c r="J82" s="163"/>
      <c r="K82" s="163"/>
      <c r="L82" s="163"/>
      <c r="M82" s="163"/>
      <c r="N82" s="163"/>
      <c r="O82" s="163"/>
      <c r="P82" s="163"/>
      <c r="Q82" s="163"/>
      <c r="R82" s="163"/>
      <c r="S82" s="163"/>
      <c r="T82" s="163"/>
      <c r="U82" s="163"/>
      <c r="V82" s="163"/>
      <c r="W82" s="163"/>
      <c r="X82" s="163"/>
      <c r="Y82" s="163"/>
      <c r="Z82" s="163"/>
      <c r="AA82" s="163"/>
      <c r="AB82" s="163"/>
      <c r="AC82" s="163"/>
    </row>
    <row r="83" spans="1:29" x14ac:dyDescent="0.3">
      <c r="A83" s="163"/>
      <c r="B83" s="163"/>
      <c r="C83" s="163"/>
      <c r="D83" s="163"/>
      <c r="E83" s="163"/>
      <c r="F83" s="163"/>
      <c r="G83" s="163"/>
      <c r="H83" s="163"/>
      <c r="I83" s="163"/>
      <c r="J83" s="163"/>
      <c r="K83" s="163"/>
      <c r="L83" s="163"/>
      <c r="M83" s="163"/>
      <c r="N83" s="163"/>
      <c r="O83" s="163"/>
      <c r="P83" s="163"/>
      <c r="Q83" s="163"/>
      <c r="R83" s="163"/>
      <c r="S83" s="163"/>
      <c r="T83" s="163"/>
      <c r="U83" s="163"/>
      <c r="V83" s="163"/>
      <c r="W83" s="163"/>
      <c r="X83" s="163"/>
      <c r="Y83" s="163"/>
      <c r="Z83" s="163"/>
      <c r="AA83" s="163"/>
      <c r="AB83" s="163"/>
      <c r="AC83" s="163"/>
    </row>
    <row r="84" spans="1:29" x14ac:dyDescent="0.3">
      <c r="A84" s="163"/>
      <c r="B84" s="163"/>
      <c r="C84" s="163"/>
      <c r="D84" s="163"/>
      <c r="E84" s="163"/>
      <c r="F84" s="163"/>
      <c r="G84" s="163"/>
      <c r="H84" s="163"/>
      <c r="I84" s="163"/>
      <c r="J84" s="163"/>
      <c r="K84" s="163"/>
      <c r="L84" s="163"/>
      <c r="M84" s="163"/>
      <c r="N84" s="163"/>
      <c r="O84" s="163"/>
      <c r="P84" s="163"/>
      <c r="Q84" s="163"/>
      <c r="R84" s="163"/>
      <c r="S84" s="163"/>
      <c r="T84" s="163"/>
      <c r="U84" s="163"/>
      <c r="V84" s="163"/>
      <c r="W84" s="163"/>
      <c r="X84" s="163"/>
      <c r="Y84" s="163"/>
      <c r="Z84" s="163"/>
      <c r="AA84" s="163"/>
      <c r="AB84" s="163"/>
      <c r="AC84" s="163"/>
    </row>
    <row r="85" spans="1:29" x14ac:dyDescent="0.3">
      <c r="A85" s="179"/>
      <c r="B85" s="179"/>
      <c r="C85" s="163"/>
      <c r="D85" s="163"/>
      <c r="E85" s="163"/>
      <c r="F85" s="163"/>
      <c r="G85" s="163"/>
      <c r="H85" s="163"/>
      <c r="I85" s="163"/>
      <c r="J85" s="163"/>
      <c r="K85" s="163"/>
      <c r="L85" s="163"/>
      <c r="M85" s="163"/>
      <c r="N85" s="163"/>
      <c r="O85" s="163"/>
      <c r="P85" s="163"/>
      <c r="Q85" s="163"/>
      <c r="R85" s="163"/>
      <c r="S85" s="163"/>
      <c r="T85" s="163"/>
      <c r="U85" s="163"/>
      <c r="V85" s="163"/>
      <c r="W85" s="163"/>
      <c r="X85" s="163"/>
      <c r="Y85" s="163"/>
      <c r="Z85" s="163"/>
      <c r="AA85" s="163"/>
      <c r="AB85" s="163"/>
      <c r="AC85" s="163"/>
    </row>
    <row r="86" spans="1:29" x14ac:dyDescent="0.3">
      <c r="A86" s="179"/>
      <c r="B86" s="179"/>
      <c r="C86" s="163"/>
      <c r="D86" s="163"/>
      <c r="E86" s="163"/>
      <c r="F86" s="163"/>
      <c r="G86" s="163"/>
      <c r="H86" s="163"/>
      <c r="I86" s="163"/>
      <c r="J86" s="163"/>
      <c r="K86" s="163"/>
      <c r="L86" s="163"/>
      <c r="M86" s="163"/>
      <c r="N86" s="163"/>
      <c r="O86" s="163"/>
      <c r="P86" s="163"/>
      <c r="Q86" s="163"/>
      <c r="R86" s="163"/>
      <c r="S86" s="163"/>
      <c r="T86" s="163"/>
      <c r="U86" s="163"/>
      <c r="V86" s="163"/>
      <c r="W86" s="163"/>
      <c r="X86" s="163"/>
      <c r="Y86" s="163"/>
      <c r="Z86" s="163"/>
      <c r="AA86" s="163"/>
      <c r="AB86" s="163"/>
      <c r="AC86" s="163"/>
    </row>
    <row r="87" spans="1:29" x14ac:dyDescent="0.3">
      <c r="A87" s="179"/>
      <c r="B87" s="179"/>
      <c r="C87" s="163"/>
      <c r="D87" s="163"/>
      <c r="E87" s="163"/>
      <c r="F87" s="163"/>
      <c r="G87" s="163"/>
      <c r="H87" s="163"/>
      <c r="I87" s="163"/>
      <c r="J87" s="163"/>
      <c r="K87" s="163"/>
      <c r="L87" s="163"/>
      <c r="M87" s="163"/>
      <c r="N87" s="163"/>
      <c r="O87" s="163"/>
      <c r="P87" s="163"/>
      <c r="Q87" s="163"/>
      <c r="R87" s="163"/>
      <c r="S87" s="163"/>
      <c r="T87" s="163"/>
      <c r="U87" s="163"/>
      <c r="V87" s="163"/>
      <c r="W87" s="163"/>
      <c r="X87" s="163"/>
      <c r="Y87" s="163"/>
      <c r="Z87" s="163"/>
      <c r="AA87" s="163"/>
      <c r="AB87" s="163"/>
      <c r="AC87" s="163"/>
    </row>
    <row r="88" spans="1:29" x14ac:dyDescent="0.3">
      <c r="A88" s="163"/>
      <c r="B88" s="163"/>
      <c r="C88" s="163"/>
      <c r="D88" s="163"/>
      <c r="E88" s="163"/>
      <c r="F88" s="163"/>
      <c r="G88" s="163"/>
      <c r="H88" s="163"/>
      <c r="I88" s="163"/>
      <c r="J88" s="163"/>
      <c r="K88" s="163"/>
      <c r="L88" s="163"/>
      <c r="M88" s="163"/>
    </row>
  </sheetData>
  <sheetProtection algorithmName="SHA-512" hashValue="HkLaQaeTOD2x6rheQ8mcqrCkeEGSH4mm4/ICTGtGtkO0LOnmVxiHtqjjOiXx+aia1cwzpV/ywiPlSiaGFQF0Rg==" saltValue="sx09GlaimrmV/e3e2VFdTg==" spinCount="100000" sheet="1" objects="1" scenarios="1"/>
  <mergeCells count="255">
    <mergeCell ref="M69:M71"/>
    <mergeCell ref="B66:B68"/>
    <mergeCell ref="C66:C68"/>
    <mergeCell ref="D66:D68"/>
    <mergeCell ref="E66:E68"/>
    <mergeCell ref="F66:F68"/>
    <mergeCell ref="G66:G68"/>
    <mergeCell ref="H66:H68"/>
    <mergeCell ref="I66:I68"/>
    <mergeCell ref="J66:J68"/>
    <mergeCell ref="K60:K62"/>
    <mergeCell ref="L60:L62"/>
    <mergeCell ref="M60:M62"/>
    <mergeCell ref="B63:B65"/>
    <mergeCell ref="C63:C65"/>
    <mergeCell ref="D63:D65"/>
    <mergeCell ref="E63:E65"/>
    <mergeCell ref="F63:F65"/>
    <mergeCell ref="G63:G65"/>
    <mergeCell ref="H63:H65"/>
    <mergeCell ref="I63:I65"/>
    <mergeCell ref="J63:J65"/>
    <mergeCell ref="K63:K65"/>
    <mergeCell ref="L63:L65"/>
    <mergeCell ref="M63:M65"/>
    <mergeCell ref="B60:B62"/>
    <mergeCell ref="C60:C62"/>
    <mergeCell ref="D60:D62"/>
    <mergeCell ref="E60:E62"/>
    <mergeCell ref="F60:F62"/>
    <mergeCell ref="G60:G62"/>
    <mergeCell ref="H60:H62"/>
    <mergeCell ref="I60:I62"/>
    <mergeCell ref="J60:J62"/>
    <mergeCell ref="K54:K56"/>
    <mergeCell ref="L54:L56"/>
    <mergeCell ref="M54:M56"/>
    <mergeCell ref="B57:B59"/>
    <mergeCell ref="C57:C59"/>
    <mergeCell ref="D57:D59"/>
    <mergeCell ref="E57:E59"/>
    <mergeCell ref="F57:F59"/>
    <mergeCell ref="G57:G59"/>
    <mergeCell ref="H57:H59"/>
    <mergeCell ref="I57:I59"/>
    <mergeCell ref="J57:J59"/>
    <mergeCell ref="K57:K59"/>
    <mergeCell ref="L57:L59"/>
    <mergeCell ref="M57:M59"/>
    <mergeCell ref="B54:B56"/>
    <mergeCell ref="C54:C56"/>
    <mergeCell ref="D54:D56"/>
    <mergeCell ref="E54:E56"/>
    <mergeCell ref="F54:F56"/>
    <mergeCell ref="G54:G56"/>
    <mergeCell ref="H54:H56"/>
    <mergeCell ref="I54:I56"/>
    <mergeCell ref="J54:J56"/>
    <mergeCell ref="K48:K50"/>
    <mergeCell ref="L48:L50"/>
    <mergeCell ref="M48:M50"/>
    <mergeCell ref="B51:B53"/>
    <mergeCell ref="C51:C53"/>
    <mergeCell ref="D51:D53"/>
    <mergeCell ref="E51:E53"/>
    <mergeCell ref="F51:F53"/>
    <mergeCell ref="G51:G53"/>
    <mergeCell ref="H51:H53"/>
    <mergeCell ref="I51:I53"/>
    <mergeCell ref="J51:J53"/>
    <mergeCell ref="K51:K53"/>
    <mergeCell ref="L51:L53"/>
    <mergeCell ref="M51:M53"/>
    <mergeCell ref="B48:B50"/>
    <mergeCell ref="C48:C50"/>
    <mergeCell ref="D48:D50"/>
    <mergeCell ref="E48:E50"/>
    <mergeCell ref="F48:F50"/>
    <mergeCell ref="G48:G50"/>
    <mergeCell ref="H48:H50"/>
    <mergeCell ref="I48:I50"/>
    <mergeCell ref="J48:J50"/>
    <mergeCell ref="K42:K44"/>
    <mergeCell ref="L42:L44"/>
    <mergeCell ref="M42:M44"/>
    <mergeCell ref="B45:B47"/>
    <mergeCell ref="C45:C47"/>
    <mergeCell ref="D45:D47"/>
    <mergeCell ref="E45:E47"/>
    <mergeCell ref="F45:F47"/>
    <mergeCell ref="G45:G47"/>
    <mergeCell ref="H45:H47"/>
    <mergeCell ref="I45:I47"/>
    <mergeCell ref="J45:J47"/>
    <mergeCell ref="K45:K47"/>
    <mergeCell ref="L45:L47"/>
    <mergeCell ref="M45:M47"/>
    <mergeCell ref="B42:B44"/>
    <mergeCell ref="C42:C44"/>
    <mergeCell ref="D42:D44"/>
    <mergeCell ref="E42:E44"/>
    <mergeCell ref="F42:F44"/>
    <mergeCell ref="G42:G44"/>
    <mergeCell ref="H42:H44"/>
    <mergeCell ref="I42:I44"/>
    <mergeCell ref="J42:J44"/>
    <mergeCell ref="D2:L2"/>
    <mergeCell ref="D3:L4"/>
    <mergeCell ref="D5:L5"/>
    <mergeCell ref="D6:L6"/>
    <mergeCell ref="D12:D14"/>
    <mergeCell ref="D15:D17"/>
    <mergeCell ref="D18:D20"/>
    <mergeCell ref="D21:D23"/>
    <mergeCell ref="G21:G23"/>
    <mergeCell ref="H21:H23"/>
    <mergeCell ref="I21:I23"/>
    <mergeCell ref="J21:J23"/>
    <mergeCell ref="K12:K14"/>
    <mergeCell ref="L12:L14"/>
    <mergeCell ref="K15:K17"/>
    <mergeCell ref="L15:L17"/>
    <mergeCell ref="K21:K23"/>
    <mergeCell ref="L21:L23"/>
    <mergeCell ref="A2:C2"/>
    <mergeCell ref="M2:M3"/>
    <mergeCell ref="A3:C6"/>
    <mergeCell ref="A7:M7"/>
    <mergeCell ref="A9:M9"/>
    <mergeCell ref="A10:A11"/>
    <mergeCell ref="E10:E11"/>
    <mergeCell ref="F10:M10"/>
    <mergeCell ref="M12:M14"/>
    <mergeCell ref="A12:A71"/>
    <mergeCell ref="K66:K68"/>
    <mergeCell ref="L66:L68"/>
    <mergeCell ref="M66:M68"/>
    <mergeCell ref="B69:B71"/>
    <mergeCell ref="C69:C71"/>
    <mergeCell ref="D69:D71"/>
    <mergeCell ref="E69:E71"/>
    <mergeCell ref="F69:F71"/>
    <mergeCell ref="G69:G71"/>
    <mergeCell ref="H69:H71"/>
    <mergeCell ref="I69:I71"/>
    <mergeCell ref="J69:J71"/>
    <mergeCell ref="K69:K71"/>
    <mergeCell ref="L69:L71"/>
    <mergeCell ref="C12:C14"/>
    <mergeCell ref="E12:E14"/>
    <mergeCell ref="F12:F14"/>
    <mergeCell ref="G12:G14"/>
    <mergeCell ref="H12:H14"/>
    <mergeCell ref="I12:I14"/>
    <mergeCell ref="J12:J14"/>
    <mergeCell ref="B12:B14"/>
    <mergeCell ref="B10:C10"/>
    <mergeCell ref="D10:D11"/>
    <mergeCell ref="B18:B20"/>
    <mergeCell ref="C18:C20"/>
    <mergeCell ref="E18:E20"/>
    <mergeCell ref="F18:F20"/>
    <mergeCell ref="G18:G20"/>
    <mergeCell ref="H18:H20"/>
    <mergeCell ref="I18:I20"/>
    <mergeCell ref="J18:J20"/>
    <mergeCell ref="M15:M17"/>
    <mergeCell ref="K18:K20"/>
    <mergeCell ref="L18:L20"/>
    <mergeCell ref="M18:M20"/>
    <mergeCell ref="B15:B17"/>
    <mergeCell ref="C15:C17"/>
    <mergeCell ref="E15:E17"/>
    <mergeCell ref="F15:F17"/>
    <mergeCell ref="G15:G17"/>
    <mergeCell ref="H15:H17"/>
    <mergeCell ref="I15:I17"/>
    <mergeCell ref="J15:J17"/>
    <mergeCell ref="M21:M23"/>
    <mergeCell ref="K24:K26"/>
    <mergeCell ref="L24:L26"/>
    <mergeCell ref="M24:M26"/>
    <mergeCell ref="M27:M29"/>
    <mergeCell ref="B21:B23"/>
    <mergeCell ref="C21:C23"/>
    <mergeCell ref="E21:E23"/>
    <mergeCell ref="F21:F23"/>
    <mergeCell ref="K27:K29"/>
    <mergeCell ref="L27:L29"/>
    <mergeCell ref="B24:B26"/>
    <mergeCell ref="C24:C26"/>
    <mergeCell ref="E24:E26"/>
    <mergeCell ref="F24:F26"/>
    <mergeCell ref="G24:G26"/>
    <mergeCell ref="H24:H26"/>
    <mergeCell ref="I24:I26"/>
    <mergeCell ref="J24:J26"/>
    <mergeCell ref="D24:D26"/>
    <mergeCell ref="D27:D29"/>
    <mergeCell ref="I27:I29"/>
    <mergeCell ref="M30:M32"/>
    <mergeCell ref="B27:B29"/>
    <mergeCell ref="C27:C29"/>
    <mergeCell ref="E27:E29"/>
    <mergeCell ref="F27:F29"/>
    <mergeCell ref="G27:G29"/>
    <mergeCell ref="H27:H29"/>
    <mergeCell ref="B30:B32"/>
    <mergeCell ref="C30:C32"/>
    <mergeCell ref="E30:E32"/>
    <mergeCell ref="F30:F32"/>
    <mergeCell ref="G30:G32"/>
    <mergeCell ref="H30:H32"/>
    <mergeCell ref="I30:I32"/>
    <mergeCell ref="J30:J32"/>
    <mergeCell ref="D30:D32"/>
    <mergeCell ref="J27:J29"/>
    <mergeCell ref="K30:K32"/>
    <mergeCell ref="L30:L32"/>
    <mergeCell ref="B33:B35"/>
    <mergeCell ref="C33:C35"/>
    <mergeCell ref="E33:E35"/>
    <mergeCell ref="F33:F35"/>
    <mergeCell ref="M33:M35"/>
    <mergeCell ref="B36:B38"/>
    <mergeCell ref="C36:C38"/>
    <mergeCell ref="E36:E38"/>
    <mergeCell ref="F36:F38"/>
    <mergeCell ref="G36:G38"/>
    <mergeCell ref="H36:H38"/>
    <mergeCell ref="I36:I38"/>
    <mergeCell ref="J36:J38"/>
    <mergeCell ref="G33:G35"/>
    <mergeCell ref="H33:H35"/>
    <mergeCell ref="I33:I35"/>
    <mergeCell ref="J33:J35"/>
    <mergeCell ref="K33:K35"/>
    <mergeCell ref="L33:L35"/>
    <mergeCell ref="K36:K38"/>
    <mergeCell ref="L36:L38"/>
    <mergeCell ref="D33:D35"/>
    <mergeCell ref="D36:D38"/>
    <mergeCell ref="M39:M41"/>
    <mergeCell ref="M36:M38"/>
    <mergeCell ref="B39:B41"/>
    <mergeCell ref="C39:C41"/>
    <mergeCell ref="E39:E41"/>
    <mergeCell ref="F39:F41"/>
    <mergeCell ref="G39:G41"/>
    <mergeCell ref="H39:H41"/>
    <mergeCell ref="I39:I41"/>
    <mergeCell ref="J39:J41"/>
    <mergeCell ref="K39:K41"/>
    <mergeCell ref="L39:L41"/>
    <mergeCell ref="D39:D41"/>
  </mergeCells>
  <conditionalFormatting sqref="F12:M71">
    <cfRule type="containsText" dxfId="3"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2"/>
  <dimension ref="A1:BR91"/>
  <sheetViews>
    <sheetView view="pageBreakPreview" topLeftCell="A3" zoomScale="40" zoomScaleNormal="10" zoomScaleSheetLayoutView="40" workbookViewId="0">
      <selection activeCell="A10" sqref="A10:A11"/>
    </sheetView>
  </sheetViews>
  <sheetFormatPr baseColWidth="10" defaultColWidth="11.42578125" defaultRowHeight="16.5" x14ac:dyDescent="0.3"/>
  <cols>
    <col min="1" max="1" width="81.5703125" style="149" customWidth="1"/>
    <col min="2" max="2" width="20.5703125" style="149" bestFit="1" customWidth="1"/>
    <col min="3" max="4" width="90.85546875" style="149" customWidth="1"/>
    <col min="5" max="5" width="41.140625" style="149" customWidth="1"/>
    <col min="6" max="6" width="90.85546875" style="149" customWidth="1"/>
    <col min="7" max="8" width="48.7109375" style="149" customWidth="1"/>
    <col min="9" max="10" width="90.85546875" style="149" customWidth="1"/>
    <col min="11" max="11" width="39.7109375" style="149" customWidth="1"/>
    <col min="12" max="12" width="40.855468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2.75" customHeight="1" x14ac:dyDescent="0.35">
      <c r="A2" s="319" t="s">
        <v>60</v>
      </c>
      <c r="B2" s="320"/>
      <c r="C2" s="320"/>
      <c r="D2" s="332" t="s">
        <v>109</v>
      </c>
      <c r="E2" s="333"/>
      <c r="F2" s="333"/>
      <c r="G2" s="333"/>
      <c r="H2" s="333"/>
      <c r="I2" s="333"/>
      <c r="J2" s="333"/>
      <c r="K2" s="333"/>
      <c r="L2" s="334"/>
      <c r="M2" s="321" t="s">
        <v>110</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323"/>
      <c r="B3" s="324"/>
      <c r="C3" s="324"/>
      <c r="D3" s="335" t="s">
        <v>63</v>
      </c>
      <c r="E3" s="336"/>
      <c r="F3" s="336"/>
      <c r="G3" s="336"/>
      <c r="H3" s="336"/>
      <c r="I3" s="336"/>
      <c r="J3" s="336"/>
      <c r="K3" s="336"/>
      <c r="L3" s="337"/>
      <c r="M3" s="322"/>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323"/>
      <c r="B4" s="324"/>
      <c r="C4" s="324"/>
      <c r="D4" s="338"/>
      <c r="E4" s="339"/>
      <c r="F4" s="339"/>
      <c r="G4" s="339"/>
      <c r="H4" s="339"/>
      <c r="I4" s="339"/>
      <c r="J4" s="339"/>
      <c r="K4" s="339"/>
      <c r="L4" s="340"/>
      <c r="M4" s="174"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323"/>
      <c r="B5" s="324"/>
      <c r="C5" s="324"/>
      <c r="D5" s="341" t="s">
        <v>65</v>
      </c>
      <c r="E5" s="342"/>
      <c r="F5" s="342"/>
      <c r="G5" s="342"/>
      <c r="H5" s="342"/>
      <c r="I5" s="342"/>
      <c r="J5" s="342"/>
      <c r="K5" s="342"/>
      <c r="L5" s="343"/>
      <c r="M5" s="174" t="s">
        <v>111</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323"/>
      <c r="B6" s="324"/>
      <c r="C6" s="324"/>
      <c r="D6" s="344" t="s">
        <v>67</v>
      </c>
      <c r="E6" s="345"/>
      <c r="F6" s="345"/>
      <c r="G6" s="345"/>
      <c r="H6" s="345"/>
      <c r="I6" s="345"/>
      <c r="J6" s="345"/>
      <c r="K6" s="345"/>
      <c r="L6" s="346"/>
      <c r="M6" s="18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325"/>
      <c r="B7" s="326"/>
      <c r="C7" s="326"/>
      <c r="D7" s="326"/>
      <c r="E7" s="326"/>
      <c r="F7" s="326"/>
      <c r="G7" s="326"/>
      <c r="H7" s="326"/>
      <c r="I7" s="326"/>
      <c r="J7" s="326"/>
      <c r="K7" s="326"/>
      <c r="L7" s="326"/>
      <c r="M7" s="327"/>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328" t="s">
        <v>1186</v>
      </c>
      <c r="B9" s="329"/>
      <c r="C9" s="329"/>
      <c r="D9" s="329"/>
      <c r="E9" s="329"/>
      <c r="F9" s="329"/>
      <c r="G9" s="329"/>
      <c r="H9" s="329"/>
      <c r="I9" s="329"/>
      <c r="J9" s="329"/>
      <c r="K9" s="329"/>
      <c r="L9" s="329"/>
      <c r="M9" s="329"/>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1.75" customHeight="1" x14ac:dyDescent="0.35">
      <c r="A10" s="330" t="s">
        <v>112</v>
      </c>
      <c r="B10" s="330" t="s">
        <v>113</v>
      </c>
      <c r="C10" s="330"/>
      <c r="D10" s="330" t="s">
        <v>125</v>
      </c>
      <c r="E10" s="330" t="s">
        <v>115</v>
      </c>
      <c r="F10" s="330" t="s">
        <v>116</v>
      </c>
      <c r="G10" s="330"/>
      <c r="H10" s="330"/>
      <c r="I10" s="330"/>
      <c r="J10" s="330"/>
      <c r="K10" s="330"/>
      <c r="L10" s="330"/>
      <c r="M10" s="330"/>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49" customHeight="1" x14ac:dyDescent="0.35">
      <c r="A11" s="330"/>
      <c r="B11" s="154" t="s">
        <v>117</v>
      </c>
      <c r="C11" s="154" t="s">
        <v>21</v>
      </c>
      <c r="D11" s="330"/>
      <c r="E11" s="330"/>
      <c r="F11" s="154" t="s">
        <v>118</v>
      </c>
      <c r="G11" s="154" t="s">
        <v>119</v>
      </c>
      <c r="H11" s="154" t="s">
        <v>129</v>
      </c>
      <c r="I11" s="154" t="s">
        <v>121</v>
      </c>
      <c r="J11" s="154" t="s">
        <v>127</v>
      </c>
      <c r="K11" s="154" t="s">
        <v>95</v>
      </c>
      <c r="L11" s="154" t="s">
        <v>123</v>
      </c>
      <c r="M11" s="154" t="s">
        <v>124</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ht="43.5" customHeight="1" x14ac:dyDescent="0.3">
      <c r="A12" s="331" t="str">
        <f>A9</f>
        <v>MATRIZ DE MONITOREO DE RIESGOS III TRIMESTRE
 (JULIO - SEPTIEMBRE)</v>
      </c>
      <c r="B12" s="317"/>
      <c r="C12" s="318"/>
      <c r="D12" s="312"/>
      <c r="E12" s="283"/>
      <c r="F12" s="280" t="str">
        <f t="shared" ref="F12:M12" si="0">IFERROR(IF($E12="","No",IF($E12="No","No"," "))," ")</f>
        <v>No</v>
      </c>
      <c r="G12" s="280" t="str">
        <f t="shared" si="0"/>
        <v>No</v>
      </c>
      <c r="H12" s="280" t="str">
        <f t="shared" si="0"/>
        <v>No</v>
      </c>
      <c r="I12" s="280" t="str">
        <f t="shared" si="0"/>
        <v>No</v>
      </c>
      <c r="J12" s="280" t="str">
        <f t="shared" si="0"/>
        <v>No</v>
      </c>
      <c r="K12" s="280" t="str">
        <f t="shared" si="0"/>
        <v>No</v>
      </c>
      <c r="L12" s="280" t="str">
        <f t="shared" si="0"/>
        <v>No</v>
      </c>
      <c r="M12" s="280" t="str">
        <f t="shared" si="0"/>
        <v>No</v>
      </c>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c r="BI12" s="148"/>
      <c r="BJ12" s="148"/>
      <c r="BK12" s="148"/>
      <c r="BL12" s="148"/>
      <c r="BM12" s="148"/>
      <c r="BN12" s="148"/>
      <c r="BO12" s="148"/>
      <c r="BP12" s="148"/>
      <c r="BQ12" s="148"/>
      <c r="BR12" s="148"/>
    </row>
    <row r="13" spans="1:70" ht="43.5" customHeight="1" x14ac:dyDescent="0.3">
      <c r="A13" s="331"/>
      <c r="B13" s="317"/>
      <c r="C13" s="318"/>
      <c r="D13" s="312"/>
      <c r="E13" s="283"/>
      <c r="F13" s="280"/>
      <c r="G13" s="280"/>
      <c r="H13" s="280"/>
      <c r="I13" s="280"/>
      <c r="J13" s="280"/>
      <c r="K13" s="280"/>
      <c r="L13" s="280"/>
      <c r="M13" s="280"/>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c r="BI13" s="148"/>
      <c r="BJ13" s="148"/>
      <c r="BK13" s="148"/>
      <c r="BL13" s="148"/>
      <c r="BM13" s="148"/>
      <c r="BN13" s="148"/>
      <c r="BO13" s="148"/>
      <c r="BP13" s="148"/>
      <c r="BQ13" s="148"/>
      <c r="BR13" s="148"/>
    </row>
    <row r="14" spans="1:70" ht="43.5" customHeight="1" x14ac:dyDescent="0.3">
      <c r="A14" s="331"/>
      <c r="B14" s="317"/>
      <c r="C14" s="318"/>
      <c r="D14" s="312"/>
      <c r="E14" s="283"/>
      <c r="F14" s="280"/>
      <c r="G14" s="280"/>
      <c r="H14" s="280"/>
      <c r="I14" s="280"/>
      <c r="J14" s="280"/>
      <c r="K14" s="280"/>
      <c r="L14" s="280"/>
      <c r="M14" s="280"/>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c r="BI14" s="148"/>
      <c r="BJ14" s="148"/>
      <c r="BK14" s="148"/>
      <c r="BL14" s="148"/>
      <c r="BM14" s="148"/>
      <c r="BN14" s="148"/>
      <c r="BO14" s="148"/>
      <c r="BP14" s="148"/>
      <c r="BQ14" s="148"/>
      <c r="BR14" s="148"/>
    </row>
    <row r="15" spans="1:70" ht="43.5" customHeight="1" x14ac:dyDescent="0.3">
      <c r="A15" s="331"/>
      <c r="B15" s="317"/>
      <c r="C15" s="318"/>
      <c r="D15" s="312"/>
      <c r="E15" s="283"/>
      <c r="F15" s="280" t="str">
        <f t="shared" ref="F15:M39" si="1">IFERROR(IF($E15="","No",IF($E15="No","No"," "))," ")</f>
        <v>No</v>
      </c>
      <c r="G15" s="280" t="str">
        <f t="shared" si="1"/>
        <v>No</v>
      </c>
      <c r="H15" s="280" t="str">
        <f t="shared" si="1"/>
        <v>No</v>
      </c>
      <c r="I15" s="280" t="str">
        <f t="shared" si="1"/>
        <v>No</v>
      </c>
      <c r="J15" s="280" t="str">
        <f t="shared" si="1"/>
        <v>No</v>
      </c>
      <c r="K15" s="280" t="str">
        <f t="shared" si="1"/>
        <v>No</v>
      </c>
      <c r="L15" s="280" t="str">
        <f t="shared" si="1"/>
        <v>No</v>
      </c>
      <c r="M15" s="280" t="str">
        <f t="shared" si="1"/>
        <v>No</v>
      </c>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row>
    <row r="16" spans="1:70" ht="43.5" customHeight="1" x14ac:dyDescent="0.3">
      <c r="A16" s="331"/>
      <c r="B16" s="317"/>
      <c r="C16" s="318"/>
      <c r="D16" s="312"/>
      <c r="E16" s="283"/>
      <c r="F16" s="280"/>
      <c r="G16" s="280"/>
      <c r="H16" s="280"/>
      <c r="I16" s="280"/>
      <c r="J16" s="280"/>
      <c r="K16" s="280"/>
      <c r="L16" s="280"/>
      <c r="M16" s="280"/>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c r="BI16" s="148"/>
      <c r="BJ16" s="148"/>
      <c r="BK16" s="148"/>
      <c r="BL16" s="148"/>
      <c r="BM16" s="148"/>
      <c r="BN16" s="148"/>
      <c r="BO16" s="148"/>
      <c r="BP16" s="148"/>
      <c r="BQ16" s="148"/>
      <c r="BR16" s="148"/>
    </row>
    <row r="17" spans="1:70" ht="43.5" customHeight="1" x14ac:dyDescent="0.3">
      <c r="A17" s="331"/>
      <c r="B17" s="317"/>
      <c r="C17" s="318"/>
      <c r="D17" s="312"/>
      <c r="E17" s="283"/>
      <c r="F17" s="280"/>
      <c r="G17" s="280"/>
      <c r="H17" s="280"/>
      <c r="I17" s="280"/>
      <c r="J17" s="280"/>
      <c r="K17" s="280"/>
      <c r="L17" s="280"/>
      <c r="M17" s="280"/>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c r="BI17" s="148"/>
      <c r="BJ17" s="148"/>
      <c r="BK17" s="148"/>
      <c r="BL17" s="148"/>
      <c r="BM17" s="148"/>
      <c r="BN17" s="148"/>
      <c r="BO17" s="148"/>
      <c r="BP17" s="148"/>
      <c r="BQ17" s="148"/>
      <c r="BR17" s="148"/>
    </row>
    <row r="18" spans="1:70" ht="43.5" customHeight="1" x14ac:dyDescent="0.3">
      <c r="A18" s="331"/>
      <c r="B18" s="317"/>
      <c r="C18" s="318"/>
      <c r="D18" s="312"/>
      <c r="E18" s="283"/>
      <c r="F18" s="280" t="str">
        <f t="shared" ref="F18" si="2">IFERROR(IF($E18="","No",IF($E18="No","No"," "))," ")</f>
        <v>No</v>
      </c>
      <c r="G18" s="280" t="str">
        <f t="shared" si="1"/>
        <v>No</v>
      </c>
      <c r="H18" s="280" t="str">
        <f t="shared" si="1"/>
        <v>No</v>
      </c>
      <c r="I18" s="280" t="str">
        <f t="shared" si="1"/>
        <v>No</v>
      </c>
      <c r="J18" s="280" t="str">
        <f t="shared" si="1"/>
        <v>No</v>
      </c>
      <c r="K18" s="280" t="str">
        <f t="shared" si="1"/>
        <v>No</v>
      </c>
      <c r="L18" s="280" t="str">
        <f t="shared" si="1"/>
        <v>No</v>
      </c>
      <c r="M18" s="280" t="str">
        <f t="shared" si="1"/>
        <v>No</v>
      </c>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row>
    <row r="19" spans="1:70" ht="43.5" customHeight="1" x14ac:dyDescent="0.3">
      <c r="A19" s="331"/>
      <c r="B19" s="317"/>
      <c r="C19" s="318"/>
      <c r="D19" s="312"/>
      <c r="E19" s="283"/>
      <c r="F19" s="280"/>
      <c r="G19" s="280"/>
      <c r="H19" s="280"/>
      <c r="I19" s="280"/>
      <c r="J19" s="280"/>
      <c r="K19" s="280"/>
      <c r="L19" s="280"/>
      <c r="M19" s="280"/>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c r="BI19" s="148"/>
      <c r="BJ19" s="148"/>
      <c r="BK19" s="148"/>
      <c r="BL19" s="148"/>
      <c r="BM19" s="148"/>
      <c r="BN19" s="148"/>
      <c r="BO19" s="148"/>
      <c r="BP19" s="148"/>
      <c r="BQ19" s="148"/>
      <c r="BR19" s="148"/>
    </row>
    <row r="20" spans="1:70" ht="43.5" customHeight="1" x14ac:dyDescent="0.3">
      <c r="A20" s="331"/>
      <c r="B20" s="317"/>
      <c r="C20" s="318"/>
      <c r="D20" s="312"/>
      <c r="E20" s="283"/>
      <c r="F20" s="280"/>
      <c r="G20" s="280"/>
      <c r="H20" s="280"/>
      <c r="I20" s="280"/>
      <c r="J20" s="280"/>
      <c r="K20" s="280"/>
      <c r="L20" s="280"/>
      <c r="M20" s="280"/>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c r="BI20" s="148"/>
      <c r="BJ20" s="148"/>
      <c r="BK20" s="148"/>
      <c r="BL20" s="148"/>
      <c r="BM20" s="148"/>
      <c r="BN20" s="148"/>
      <c r="BO20" s="148"/>
      <c r="BP20" s="148"/>
      <c r="BQ20" s="148"/>
      <c r="BR20" s="148"/>
    </row>
    <row r="21" spans="1:70" ht="43.5" customHeight="1" x14ac:dyDescent="0.3">
      <c r="A21" s="331"/>
      <c r="B21" s="317"/>
      <c r="C21" s="318"/>
      <c r="D21" s="312"/>
      <c r="E21" s="283"/>
      <c r="F21" s="280" t="str">
        <f t="shared" ref="F21" si="3">IFERROR(IF($E21="","No",IF($E21="No","No"," "))," ")</f>
        <v>No</v>
      </c>
      <c r="G21" s="280" t="str">
        <f t="shared" si="1"/>
        <v>No</v>
      </c>
      <c r="H21" s="280" t="str">
        <f t="shared" si="1"/>
        <v>No</v>
      </c>
      <c r="I21" s="280" t="str">
        <f t="shared" si="1"/>
        <v>No</v>
      </c>
      <c r="J21" s="280" t="str">
        <f t="shared" si="1"/>
        <v>No</v>
      </c>
      <c r="K21" s="280" t="str">
        <f t="shared" si="1"/>
        <v>No</v>
      </c>
      <c r="L21" s="280" t="str">
        <f t="shared" si="1"/>
        <v>No</v>
      </c>
      <c r="M21" s="280" t="str">
        <f t="shared" si="1"/>
        <v>No</v>
      </c>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row>
    <row r="22" spans="1:70" ht="43.5" customHeight="1" x14ac:dyDescent="0.3">
      <c r="A22" s="331"/>
      <c r="B22" s="317"/>
      <c r="C22" s="318"/>
      <c r="D22" s="312"/>
      <c r="E22" s="283"/>
      <c r="F22" s="280"/>
      <c r="G22" s="280"/>
      <c r="H22" s="280"/>
      <c r="I22" s="280"/>
      <c r="J22" s="280"/>
      <c r="K22" s="280"/>
      <c r="L22" s="280"/>
      <c r="M22" s="280"/>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c r="BI22" s="148"/>
      <c r="BJ22" s="148"/>
      <c r="BK22" s="148"/>
      <c r="BL22" s="148"/>
      <c r="BM22" s="148"/>
      <c r="BN22" s="148"/>
      <c r="BO22" s="148"/>
      <c r="BP22" s="148"/>
      <c r="BQ22" s="148"/>
      <c r="BR22" s="148"/>
    </row>
    <row r="23" spans="1:70" ht="43.5" customHeight="1" x14ac:dyDescent="0.3">
      <c r="A23" s="331"/>
      <c r="B23" s="317"/>
      <c r="C23" s="318"/>
      <c r="D23" s="312"/>
      <c r="E23" s="283"/>
      <c r="F23" s="280"/>
      <c r="G23" s="280"/>
      <c r="H23" s="280"/>
      <c r="I23" s="280"/>
      <c r="J23" s="280"/>
      <c r="K23" s="280"/>
      <c r="L23" s="280"/>
      <c r="M23" s="280"/>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c r="BI23" s="148"/>
      <c r="BJ23" s="148"/>
      <c r="BK23" s="148"/>
      <c r="BL23" s="148"/>
      <c r="BM23" s="148"/>
      <c r="BN23" s="148"/>
      <c r="BO23" s="148"/>
      <c r="BP23" s="148"/>
      <c r="BQ23" s="148"/>
      <c r="BR23" s="148"/>
    </row>
    <row r="24" spans="1:70" ht="43.5" customHeight="1" x14ac:dyDescent="0.3">
      <c r="A24" s="331"/>
      <c r="B24" s="317"/>
      <c r="C24" s="318"/>
      <c r="D24" s="312"/>
      <c r="E24" s="283"/>
      <c r="F24" s="280" t="str">
        <f t="shared" ref="F24" si="4">IFERROR(IF($E24="","No",IF($E24="No","No"," "))," ")</f>
        <v>No</v>
      </c>
      <c r="G24" s="280" t="str">
        <f t="shared" si="1"/>
        <v>No</v>
      </c>
      <c r="H24" s="280" t="str">
        <f t="shared" si="1"/>
        <v>No</v>
      </c>
      <c r="I24" s="280" t="str">
        <f t="shared" si="1"/>
        <v>No</v>
      </c>
      <c r="J24" s="280" t="str">
        <f t="shared" si="1"/>
        <v>No</v>
      </c>
      <c r="K24" s="280" t="str">
        <f t="shared" si="1"/>
        <v>No</v>
      </c>
      <c r="L24" s="280" t="str">
        <f t="shared" si="1"/>
        <v>No</v>
      </c>
      <c r="M24" s="280" t="str">
        <f t="shared" si="1"/>
        <v>No</v>
      </c>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c r="BI24" s="148"/>
      <c r="BJ24" s="148"/>
      <c r="BK24" s="148"/>
      <c r="BL24" s="148"/>
      <c r="BM24" s="148"/>
      <c r="BN24" s="148"/>
      <c r="BO24" s="148"/>
      <c r="BP24" s="148"/>
      <c r="BQ24" s="148"/>
      <c r="BR24" s="148"/>
    </row>
    <row r="25" spans="1:70" ht="43.5" customHeight="1" x14ac:dyDescent="0.3">
      <c r="A25" s="331"/>
      <c r="B25" s="317"/>
      <c r="C25" s="318"/>
      <c r="D25" s="312"/>
      <c r="E25" s="283"/>
      <c r="F25" s="280"/>
      <c r="G25" s="280"/>
      <c r="H25" s="280"/>
      <c r="I25" s="280"/>
      <c r="J25" s="280"/>
      <c r="K25" s="280"/>
      <c r="L25" s="280"/>
      <c r="M25" s="280"/>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c r="BI25" s="148"/>
      <c r="BJ25" s="148"/>
      <c r="BK25" s="148"/>
      <c r="BL25" s="148"/>
      <c r="BM25" s="148"/>
      <c r="BN25" s="148"/>
      <c r="BO25" s="148"/>
      <c r="BP25" s="148"/>
      <c r="BQ25" s="148"/>
      <c r="BR25" s="148"/>
    </row>
    <row r="26" spans="1:70" ht="43.5" customHeight="1" x14ac:dyDescent="0.3">
      <c r="A26" s="331"/>
      <c r="B26" s="317"/>
      <c r="C26" s="318"/>
      <c r="D26" s="312"/>
      <c r="E26" s="283"/>
      <c r="F26" s="280"/>
      <c r="G26" s="280"/>
      <c r="H26" s="280"/>
      <c r="I26" s="280"/>
      <c r="J26" s="280"/>
      <c r="K26" s="280"/>
      <c r="L26" s="280"/>
      <c r="M26" s="280"/>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8"/>
      <c r="BJ26" s="148"/>
      <c r="BK26" s="148"/>
      <c r="BL26" s="148"/>
      <c r="BM26" s="148"/>
      <c r="BN26" s="148"/>
      <c r="BO26" s="148"/>
      <c r="BP26" s="148"/>
      <c r="BQ26" s="148"/>
      <c r="BR26" s="148"/>
    </row>
    <row r="27" spans="1:70" ht="43.5" customHeight="1" x14ac:dyDescent="0.3">
      <c r="A27" s="331"/>
      <c r="B27" s="317"/>
      <c r="C27" s="318"/>
      <c r="D27" s="312"/>
      <c r="E27" s="283"/>
      <c r="F27" s="280" t="str">
        <f t="shared" ref="F27" si="5">IFERROR(IF($E27="","No",IF($E27="No","No"," "))," ")</f>
        <v>No</v>
      </c>
      <c r="G27" s="280" t="str">
        <f t="shared" si="1"/>
        <v>No</v>
      </c>
      <c r="H27" s="280" t="str">
        <f t="shared" si="1"/>
        <v>No</v>
      </c>
      <c r="I27" s="280" t="str">
        <f t="shared" si="1"/>
        <v>No</v>
      </c>
      <c r="J27" s="280" t="str">
        <f t="shared" si="1"/>
        <v>No</v>
      </c>
      <c r="K27" s="280" t="str">
        <f t="shared" si="1"/>
        <v>No</v>
      </c>
      <c r="L27" s="280" t="str">
        <f t="shared" si="1"/>
        <v>No</v>
      </c>
      <c r="M27" s="280" t="str">
        <f t="shared" si="1"/>
        <v>No</v>
      </c>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c r="BI27" s="148"/>
      <c r="BJ27" s="148"/>
      <c r="BK27" s="148"/>
      <c r="BL27" s="148"/>
      <c r="BM27" s="148"/>
      <c r="BN27" s="148"/>
      <c r="BO27" s="148"/>
      <c r="BP27" s="148"/>
      <c r="BQ27" s="148"/>
      <c r="BR27" s="148"/>
    </row>
    <row r="28" spans="1:70" ht="43.5" customHeight="1" x14ac:dyDescent="0.3">
      <c r="A28" s="331"/>
      <c r="B28" s="317"/>
      <c r="C28" s="318"/>
      <c r="D28" s="312"/>
      <c r="E28" s="283"/>
      <c r="F28" s="280"/>
      <c r="G28" s="280"/>
      <c r="H28" s="280"/>
      <c r="I28" s="280"/>
      <c r="J28" s="280"/>
      <c r="K28" s="280"/>
      <c r="L28" s="280"/>
      <c r="M28" s="280"/>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c r="BI28" s="148"/>
      <c r="BJ28" s="148"/>
      <c r="BK28" s="148"/>
      <c r="BL28" s="148"/>
      <c r="BM28" s="148"/>
      <c r="BN28" s="148"/>
      <c r="BO28" s="148"/>
      <c r="BP28" s="148"/>
      <c r="BQ28" s="148"/>
      <c r="BR28" s="148"/>
    </row>
    <row r="29" spans="1:70" ht="43.5" customHeight="1" x14ac:dyDescent="0.3">
      <c r="A29" s="331"/>
      <c r="B29" s="317"/>
      <c r="C29" s="318"/>
      <c r="D29" s="312"/>
      <c r="E29" s="283"/>
      <c r="F29" s="280"/>
      <c r="G29" s="280"/>
      <c r="H29" s="280"/>
      <c r="I29" s="280"/>
      <c r="J29" s="280"/>
      <c r="K29" s="280"/>
      <c r="L29" s="280"/>
      <c r="M29" s="280"/>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c r="BI29" s="148"/>
      <c r="BJ29" s="148"/>
      <c r="BK29" s="148"/>
      <c r="BL29" s="148"/>
      <c r="BM29" s="148"/>
      <c r="BN29" s="148"/>
      <c r="BO29" s="148"/>
      <c r="BP29" s="148"/>
      <c r="BQ29" s="148"/>
      <c r="BR29" s="148"/>
    </row>
    <row r="30" spans="1:70" ht="43.5" customHeight="1" x14ac:dyDescent="0.3">
      <c r="A30" s="331"/>
      <c r="B30" s="317"/>
      <c r="C30" s="318"/>
      <c r="D30" s="312"/>
      <c r="E30" s="283"/>
      <c r="F30" s="280" t="str">
        <f t="shared" ref="F30" si="6">IFERROR(IF($E30="","No",IF($E30="No","No"," "))," ")</f>
        <v>No</v>
      </c>
      <c r="G30" s="280" t="str">
        <f t="shared" si="1"/>
        <v>No</v>
      </c>
      <c r="H30" s="280" t="str">
        <f t="shared" si="1"/>
        <v>No</v>
      </c>
      <c r="I30" s="280" t="str">
        <f t="shared" si="1"/>
        <v>No</v>
      </c>
      <c r="J30" s="280" t="str">
        <f t="shared" si="1"/>
        <v>No</v>
      </c>
      <c r="K30" s="280" t="str">
        <f t="shared" si="1"/>
        <v>No</v>
      </c>
      <c r="L30" s="280" t="str">
        <f t="shared" si="1"/>
        <v>No</v>
      </c>
      <c r="M30" s="280" t="str">
        <f t="shared" si="1"/>
        <v>No</v>
      </c>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c r="BI30" s="148"/>
      <c r="BJ30" s="148"/>
      <c r="BK30" s="148"/>
      <c r="BL30" s="148"/>
      <c r="BM30" s="148"/>
      <c r="BN30" s="148"/>
      <c r="BO30" s="148"/>
      <c r="BP30" s="148"/>
      <c r="BQ30" s="148"/>
      <c r="BR30" s="148"/>
    </row>
    <row r="31" spans="1:70" ht="43.5" customHeight="1" x14ac:dyDescent="0.3">
      <c r="A31" s="331"/>
      <c r="B31" s="317"/>
      <c r="C31" s="318"/>
      <c r="D31" s="312"/>
      <c r="E31" s="283"/>
      <c r="F31" s="280"/>
      <c r="G31" s="280"/>
      <c r="H31" s="280"/>
      <c r="I31" s="280"/>
      <c r="J31" s="280"/>
      <c r="K31" s="280"/>
      <c r="L31" s="280"/>
      <c r="M31" s="280"/>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c r="BI31" s="148"/>
      <c r="BJ31" s="148"/>
      <c r="BK31" s="148"/>
      <c r="BL31" s="148"/>
      <c r="BM31" s="148"/>
      <c r="BN31" s="148"/>
      <c r="BO31" s="148"/>
      <c r="BP31" s="148"/>
      <c r="BQ31" s="148"/>
      <c r="BR31" s="148"/>
    </row>
    <row r="32" spans="1:70" ht="43.5" customHeight="1" x14ac:dyDescent="0.3">
      <c r="A32" s="331"/>
      <c r="B32" s="317"/>
      <c r="C32" s="318"/>
      <c r="D32" s="312"/>
      <c r="E32" s="283"/>
      <c r="F32" s="280"/>
      <c r="G32" s="280"/>
      <c r="H32" s="280"/>
      <c r="I32" s="280"/>
      <c r="J32" s="280"/>
      <c r="K32" s="280"/>
      <c r="L32" s="280"/>
      <c r="M32" s="280"/>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c r="BI32" s="148"/>
      <c r="BJ32" s="148"/>
      <c r="BK32" s="148"/>
      <c r="BL32" s="148"/>
      <c r="BM32" s="148"/>
      <c r="BN32" s="148"/>
      <c r="BO32" s="148"/>
      <c r="BP32" s="148"/>
      <c r="BQ32" s="148"/>
      <c r="BR32" s="148"/>
    </row>
    <row r="33" spans="1:70" ht="43.5" customHeight="1" x14ac:dyDescent="0.3">
      <c r="A33" s="331"/>
      <c r="B33" s="317"/>
      <c r="C33" s="318"/>
      <c r="D33" s="312"/>
      <c r="E33" s="283"/>
      <c r="F33" s="280" t="str">
        <f t="shared" ref="F33" si="7">IFERROR(IF($E33="","No",IF($E33="No","No"," "))," ")</f>
        <v>No</v>
      </c>
      <c r="G33" s="280" t="str">
        <f t="shared" si="1"/>
        <v>No</v>
      </c>
      <c r="H33" s="280" t="str">
        <f t="shared" si="1"/>
        <v>No</v>
      </c>
      <c r="I33" s="280" t="str">
        <f t="shared" si="1"/>
        <v>No</v>
      </c>
      <c r="J33" s="280" t="str">
        <f t="shared" si="1"/>
        <v>No</v>
      </c>
      <c r="K33" s="280" t="str">
        <f t="shared" si="1"/>
        <v>No</v>
      </c>
      <c r="L33" s="280" t="str">
        <f t="shared" si="1"/>
        <v>No</v>
      </c>
      <c r="M33" s="280" t="str">
        <f t="shared" si="1"/>
        <v>No</v>
      </c>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c r="BI33" s="148"/>
      <c r="BJ33" s="148"/>
      <c r="BK33" s="148"/>
      <c r="BL33" s="148"/>
      <c r="BM33" s="148"/>
      <c r="BN33" s="148"/>
      <c r="BO33" s="148"/>
      <c r="BP33" s="148"/>
      <c r="BQ33" s="148"/>
      <c r="BR33" s="148"/>
    </row>
    <row r="34" spans="1:70" ht="43.5" customHeight="1" x14ac:dyDescent="0.3">
      <c r="A34" s="331"/>
      <c r="B34" s="317"/>
      <c r="C34" s="318"/>
      <c r="D34" s="312"/>
      <c r="E34" s="283"/>
      <c r="F34" s="280"/>
      <c r="G34" s="280"/>
      <c r="H34" s="280"/>
      <c r="I34" s="280"/>
      <c r="J34" s="280"/>
      <c r="K34" s="280"/>
      <c r="L34" s="280"/>
      <c r="M34" s="280"/>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c r="BI34" s="148"/>
      <c r="BJ34" s="148"/>
      <c r="BK34" s="148"/>
      <c r="BL34" s="148"/>
      <c r="BM34" s="148"/>
      <c r="BN34" s="148"/>
      <c r="BO34" s="148"/>
      <c r="BP34" s="148"/>
      <c r="BQ34" s="148"/>
      <c r="BR34" s="148"/>
    </row>
    <row r="35" spans="1:70" ht="43.5" customHeight="1" x14ac:dyDescent="0.3">
      <c r="A35" s="331"/>
      <c r="B35" s="317"/>
      <c r="C35" s="318"/>
      <c r="D35" s="312"/>
      <c r="E35" s="283"/>
      <c r="F35" s="280"/>
      <c r="G35" s="280"/>
      <c r="H35" s="280"/>
      <c r="I35" s="280"/>
      <c r="J35" s="280"/>
      <c r="K35" s="280"/>
      <c r="L35" s="280"/>
      <c r="M35" s="280"/>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c r="BI35" s="148"/>
      <c r="BJ35" s="148"/>
      <c r="BK35" s="148"/>
      <c r="BL35" s="148"/>
      <c r="BM35" s="148"/>
      <c r="BN35" s="148"/>
      <c r="BO35" s="148"/>
      <c r="BP35" s="148"/>
      <c r="BQ35" s="148"/>
      <c r="BR35" s="148"/>
    </row>
    <row r="36" spans="1:70" ht="43.5" customHeight="1" x14ac:dyDescent="0.3">
      <c r="A36" s="331"/>
      <c r="B36" s="317"/>
      <c r="C36" s="318"/>
      <c r="D36" s="312"/>
      <c r="E36" s="283"/>
      <c r="F36" s="280" t="str">
        <f t="shared" ref="F36" si="8">IFERROR(IF($E36="","No",IF($E36="No","No"," "))," ")</f>
        <v>No</v>
      </c>
      <c r="G36" s="280" t="str">
        <f t="shared" si="1"/>
        <v>No</v>
      </c>
      <c r="H36" s="280" t="str">
        <f t="shared" si="1"/>
        <v>No</v>
      </c>
      <c r="I36" s="280" t="str">
        <f t="shared" si="1"/>
        <v>No</v>
      </c>
      <c r="J36" s="280" t="str">
        <f t="shared" si="1"/>
        <v>No</v>
      </c>
      <c r="K36" s="280" t="str">
        <f t="shared" si="1"/>
        <v>No</v>
      </c>
      <c r="L36" s="280" t="str">
        <f t="shared" si="1"/>
        <v>No</v>
      </c>
      <c r="M36" s="280" t="str">
        <f t="shared" si="1"/>
        <v>No</v>
      </c>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c r="BI36" s="148"/>
      <c r="BJ36" s="148"/>
      <c r="BK36" s="148"/>
      <c r="BL36" s="148"/>
      <c r="BM36" s="148"/>
      <c r="BN36" s="148"/>
      <c r="BO36" s="148"/>
      <c r="BP36" s="148"/>
      <c r="BQ36" s="148"/>
      <c r="BR36" s="148"/>
    </row>
    <row r="37" spans="1:70" ht="43.5" customHeight="1" x14ac:dyDescent="0.3">
      <c r="A37" s="331"/>
      <c r="B37" s="317"/>
      <c r="C37" s="318"/>
      <c r="D37" s="312"/>
      <c r="E37" s="283"/>
      <c r="F37" s="280"/>
      <c r="G37" s="280"/>
      <c r="H37" s="280"/>
      <c r="I37" s="280"/>
      <c r="J37" s="280"/>
      <c r="K37" s="280"/>
      <c r="L37" s="280"/>
      <c r="M37" s="280"/>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c r="BI37" s="148"/>
      <c r="BJ37" s="148"/>
      <c r="BK37" s="148"/>
      <c r="BL37" s="148"/>
      <c r="BM37" s="148"/>
      <c r="BN37" s="148"/>
      <c r="BO37" s="148"/>
      <c r="BP37" s="148"/>
      <c r="BQ37" s="148"/>
      <c r="BR37" s="148"/>
    </row>
    <row r="38" spans="1:70" ht="43.5" customHeight="1" x14ac:dyDescent="0.3">
      <c r="A38" s="331"/>
      <c r="B38" s="317"/>
      <c r="C38" s="318"/>
      <c r="D38" s="312"/>
      <c r="E38" s="283"/>
      <c r="F38" s="280"/>
      <c r="G38" s="280"/>
      <c r="H38" s="280"/>
      <c r="I38" s="280"/>
      <c r="J38" s="280"/>
      <c r="K38" s="280"/>
      <c r="L38" s="280"/>
      <c r="M38" s="280"/>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c r="BI38" s="148"/>
      <c r="BJ38" s="148"/>
      <c r="BK38" s="148"/>
      <c r="BL38" s="148"/>
      <c r="BM38" s="148"/>
      <c r="BN38" s="148"/>
      <c r="BO38" s="148"/>
      <c r="BP38" s="148"/>
      <c r="BQ38" s="148"/>
      <c r="BR38" s="148"/>
    </row>
    <row r="39" spans="1:70" ht="43.5" customHeight="1" x14ac:dyDescent="0.3">
      <c r="A39" s="331"/>
      <c r="B39" s="317"/>
      <c r="C39" s="318"/>
      <c r="D39" s="312"/>
      <c r="E39" s="283"/>
      <c r="F39" s="280" t="str">
        <f t="shared" ref="F39" si="9">IFERROR(IF($E39="","No",IF($E39="No","No"," "))," ")</f>
        <v>No</v>
      </c>
      <c r="G39" s="280" t="str">
        <f t="shared" si="1"/>
        <v>No</v>
      </c>
      <c r="H39" s="280" t="str">
        <f t="shared" si="1"/>
        <v>No</v>
      </c>
      <c r="I39" s="280" t="str">
        <f t="shared" si="1"/>
        <v>No</v>
      </c>
      <c r="J39" s="280" t="str">
        <f t="shared" si="1"/>
        <v>No</v>
      </c>
      <c r="K39" s="280" t="str">
        <f t="shared" si="1"/>
        <v>No</v>
      </c>
      <c r="L39" s="280" t="str">
        <f t="shared" si="1"/>
        <v>No</v>
      </c>
      <c r="M39" s="280" t="str">
        <f t="shared" si="1"/>
        <v>No</v>
      </c>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c r="BI39" s="148"/>
      <c r="BJ39" s="148"/>
      <c r="BK39" s="148"/>
      <c r="BL39" s="148"/>
      <c r="BM39" s="148"/>
      <c r="BN39" s="148"/>
      <c r="BO39" s="148"/>
      <c r="BP39" s="148"/>
      <c r="BQ39" s="148"/>
      <c r="BR39" s="148"/>
    </row>
    <row r="40" spans="1:70" ht="43.5" customHeight="1" x14ac:dyDescent="0.3">
      <c r="A40" s="331"/>
      <c r="B40" s="317"/>
      <c r="C40" s="318"/>
      <c r="D40" s="312"/>
      <c r="E40" s="283"/>
      <c r="F40" s="280"/>
      <c r="G40" s="280"/>
      <c r="H40" s="280"/>
      <c r="I40" s="280"/>
      <c r="J40" s="280"/>
      <c r="K40" s="280"/>
      <c r="L40" s="280"/>
      <c r="M40" s="280"/>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c r="BI40" s="148"/>
      <c r="BJ40" s="148"/>
      <c r="BK40" s="148"/>
      <c r="BL40" s="148"/>
      <c r="BM40" s="148"/>
      <c r="BN40" s="148"/>
      <c r="BO40" s="148"/>
      <c r="BP40" s="148"/>
      <c r="BQ40" s="148"/>
      <c r="BR40" s="148"/>
    </row>
    <row r="41" spans="1:70" ht="43.5" customHeight="1" x14ac:dyDescent="0.3">
      <c r="A41" s="331"/>
      <c r="B41" s="317"/>
      <c r="C41" s="318"/>
      <c r="D41" s="312"/>
      <c r="E41" s="283"/>
      <c r="F41" s="280"/>
      <c r="G41" s="280"/>
      <c r="H41" s="280"/>
      <c r="I41" s="280"/>
      <c r="J41" s="280"/>
      <c r="K41" s="280"/>
      <c r="L41" s="280"/>
      <c r="M41" s="280"/>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row>
    <row r="42" spans="1:70" ht="43.5" customHeight="1" x14ac:dyDescent="0.3">
      <c r="A42" s="331"/>
      <c r="B42" s="317"/>
      <c r="C42" s="318"/>
      <c r="D42" s="312"/>
      <c r="E42" s="283"/>
      <c r="F42" s="280" t="str">
        <f t="shared" ref="F42:M69" si="10">IFERROR(IF($E42="","No",IF($E42="No","No"," "))," ")</f>
        <v>No</v>
      </c>
      <c r="G42" s="280" t="str">
        <f t="shared" si="10"/>
        <v>No</v>
      </c>
      <c r="H42" s="280" t="str">
        <f t="shared" si="10"/>
        <v>No</v>
      </c>
      <c r="I42" s="280" t="str">
        <f t="shared" si="10"/>
        <v>No</v>
      </c>
      <c r="J42" s="280" t="str">
        <f t="shared" si="10"/>
        <v>No</v>
      </c>
      <c r="K42" s="280" t="str">
        <f t="shared" si="10"/>
        <v>No</v>
      </c>
      <c r="L42" s="280" t="str">
        <f t="shared" si="10"/>
        <v>No</v>
      </c>
      <c r="M42" s="280" t="str">
        <f t="shared" si="10"/>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3.5" customHeight="1" x14ac:dyDescent="0.3">
      <c r="A43" s="331"/>
      <c r="B43" s="317"/>
      <c r="C43" s="318"/>
      <c r="D43" s="312"/>
      <c r="E43" s="283"/>
      <c r="F43" s="280"/>
      <c r="G43" s="280"/>
      <c r="H43" s="280"/>
      <c r="I43" s="280"/>
      <c r="J43" s="280"/>
      <c r="K43" s="280"/>
      <c r="L43" s="280"/>
      <c r="M43" s="280"/>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3.5" customHeight="1" x14ac:dyDescent="0.3">
      <c r="A44" s="331"/>
      <c r="B44" s="317"/>
      <c r="C44" s="318"/>
      <c r="D44" s="312"/>
      <c r="E44" s="283"/>
      <c r="F44" s="280"/>
      <c r="G44" s="280"/>
      <c r="H44" s="280"/>
      <c r="I44" s="280"/>
      <c r="J44" s="280"/>
      <c r="K44" s="280"/>
      <c r="L44" s="280"/>
      <c r="M44" s="280"/>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3.5" customHeight="1" x14ac:dyDescent="0.3">
      <c r="A45" s="331"/>
      <c r="B45" s="317"/>
      <c r="C45" s="318"/>
      <c r="D45" s="312"/>
      <c r="E45" s="283"/>
      <c r="F45" s="280" t="str">
        <f t="shared" si="10"/>
        <v>No</v>
      </c>
      <c r="G45" s="280" t="str">
        <f t="shared" si="10"/>
        <v>No</v>
      </c>
      <c r="H45" s="280" t="str">
        <f t="shared" si="10"/>
        <v>No</v>
      </c>
      <c r="I45" s="280" t="str">
        <f t="shared" si="10"/>
        <v>No</v>
      </c>
      <c r="J45" s="280" t="str">
        <f t="shared" si="10"/>
        <v>No</v>
      </c>
      <c r="K45" s="280" t="str">
        <f t="shared" si="10"/>
        <v>No</v>
      </c>
      <c r="L45" s="280" t="str">
        <f t="shared" si="10"/>
        <v>No</v>
      </c>
      <c r="M45" s="280" t="str">
        <f t="shared" si="10"/>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3.5" customHeight="1" x14ac:dyDescent="0.3">
      <c r="A46" s="331"/>
      <c r="B46" s="317"/>
      <c r="C46" s="318"/>
      <c r="D46" s="312"/>
      <c r="E46" s="283"/>
      <c r="F46" s="280"/>
      <c r="G46" s="280"/>
      <c r="H46" s="280"/>
      <c r="I46" s="280"/>
      <c r="J46" s="280"/>
      <c r="K46" s="280"/>
      <c r="L46" s="280"/>
      <c r="M46" s="280"/>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3.5" customHeight="1" x14ac:dyDescent="0.3">
      <c r="A47" s="331"/>
      <c r="B47" s="317"/>
      <c r="C47" s="318"/>
      <c r="D47" s="312"/>
      <c r="E47" s="283"/>
      <c r="F47" s="280"/>
      <c r="G47" s="280"/>
      <c r="H47" s="280"/>
      <c r="I47" s="280"/>
      <c r="J47" s="280"/>
      <c r="K47" s="280"/>
      <c r="L47" s="280"/>
      <c r="M47" s="280"/>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3.5" customHeight="1" x14ac:dyDescent="0.3">
      <c r="A48" s="331"/>
      <c r="B48" s="317"/>
      <c r="C48" s="318"/>
      <c r="D48" s="312"/>
      <c r="E48" s="283"/>
      <c r="F48" s="280" t="str">
        <f t="shared" si="10"/>
        <v>No</v>
      </c>
      <c r="G48" s="280" t="str">
        <f t="shared" si="10"/>
        <v>No</v>
      </c>
      <c r="H48" s="280" t="str">
        <f t="shared" si="10"/>
        <v>No</v>
      </c>
      <c r="I48" s="280" t="str">
        <f t="shared" si="10"/>
        <v>No</v>
      </c>
      <c r="J48" s="280" t="str">
        <f t="shared" si="10"/>
        <v>No</v>
      </c>
      <c r="K48" s="280" t="str">
        <f t="shared" si="10"/>
        <v>No</v>
      </c>
      <c r="L48" s="280" t="str">
        <f t="shared" si="10"/>
        <v>No</v>
      </c>
      <c r="M48" s="280" t="str">
        <f t="shared" si="10"/>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3.5" customHeight="1" x14ac:dyDescent="0.3">
      <c r="A49" s="331"/>
      <c r="B49" s="317"/>
      <c r="C49" s="318"/>
      <c r="D49" s="312"/>
      <c r="E49" s="283"/>
      <c r="F49" s="280"/>
      <c r="G49" s="280"/>
      <c r="H49" s="280"/>
      <c r="I49" s="280"/>
      <c r="J49" s="280"/>
      <c r="K49" s="280"/>
      <c r="L49" s="280"/>
      <c r="M49" s="280"/>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3.5" customHeight="1" x14ac:dyDescent="0.3">
      <c r="A50" s="331"/>
      <c r="B50" s="317"/>
      <c r="C50" s="318"/>
      <c r="D50" s="312"/>
      <c r="E50" s="283"/>
      <c r="F50" s="280"/>
      <c r="G50" s="280"/>
      <c r="H50" s="280"/>
      <c r="I50" s="280"/>
      <c r="J50" s="280"/>
      <c r="K50" s="280"/>
      <c r="L50" s="280"/>
      <c r="M50" s="280"/>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3.5" customHeight="1" x14ac:dyDescent="0.3">
      <c r="A51" s="331"/>
      <c r="B51" s="317"/>
      <c r="C51" s="318"/>
      <c r="D51" s="312"/>
      <c r="E51" s="283"/>
      <c r="F51" s="280" t="str">
        <f t="shared" si="10"/>
        <v>No</v>
      </c>
      <c r="G51" s="280" t="str">
        <f t="shared" si="10"/>
        <v>No</v>
      </c>
      <c r="H51" s="280" t="str">
        <f t="shared" si="10"/>
        <v>No</v>
      </c>
      <c r="I51" s="280" t="str">
        <f t="shared" si="10"/>
        <v>No</v>
      </c>
      <c r="J51" s="280" t="str">
        <f t="shared" si="10"/>
        <v>No</v>
      </c>
      <c r="K51" s="280" t="str">
        <f t="shared" si="10"/>
        <v>No</v>
      </c>
      <c r="L51" s="280" t="str">
        <f t="shared" si="10"/>
        <v>No</v>
      </c>
      <c r="M51" s="280" t="str">
        <f t="shared" si="10"/>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3.5" customHeight="1" x14ac:dyDescent="0.3">
      <c r="A52" s="331"/>
      <c r="B52" s="317"/>
      <c r="C52" s="318"/>
      <c r="D52" s="312"/>
      <c r="E52" s="283"/>
      <c r="F52" s="280"/>
      <c r="G52" s="280"/>
      <c r="H52" s="280"/>
      <c r="I52" s="280"/>
      <c r="J52" s="280"/>
      <c r="K52" s="280"/>
      <c r="L52" s="280"/>
      <c r="M52" s="280"/>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3.5" customHeight="1" x14ac:dyDescent="0.3">
      <c r="A53" s="331"/>
      <c r="B53" s="317"/>
      <c r="C53" s="318"/>
      <c r="D53" s="312"/>
      <c r="E53" s="283"/>
      <c r="F53" s="280"/>
      <c r="G53" s="280"/>
      <c r="H53" s="280"/>
      <c r="I53" s="280"/>
      <c r="J53" s="280"/>
      <c r="K53" s="280"/>
      <c r="L53" s="280"/>
      <c r="M53" s="280"/>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3.5" customHeight="1" x14ac:dyDescent="0.3">
      <c r="A54" s="331"/>
      <c r="B54" s="317"/>
      <c r="C54" s="318"/>
      <c r="D54" s="312"/>
      <c r="E54" s="283"/>
      <c r="F54" s="280" t="str">
        <f t="shared" si="10"/>
        <v>No</v>
      </c>
      <c r="G54" s="280" t="str">
        <f t="shared" si="10"/>
        <v>No</v>
      </c>
      <c r="H54" s="280" t="str">
        <f t="shared" si="10"/>
        <v>No</v>
      </c>
      <c r="I54" s="280" t="str">
        <f t="shared" si="10"/>
        <v>No</v>
      </c>
      <c r="J54" s="280" t="str">
        <f t="shared" si="10"/>
        <v>No</v>
      </c>
      <c r="K54" s="280" t="str">
        <f t="shared" si="10"/>
        <v>No</v>
      </c>
      <c r="L54" s="280" t="str">
        <f t="shared" si="10"/>
        <v>No</v>
      </c>
      <c r="M54" s="280" t="str">
        <f t="shared" si="10"/>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3.5" customHeight="1" x14ac:dyDescent="0.3">
      <c r="A55" s="331"/>
      <c r="B55" s="317"/>
      <c r="C55" s="318"/>
      <c r="D55" s="312"/>
      <c r="E55" s="283"/>
      <c r="F55" s="280"/>
      <c r="G55" s="280"/>
      <c r="H55" s="280"/>
      <c r="I55" s="280"/>
      <c r="J55" s="280"/>
      <c r="K55" s="280"/>
      <c r="L55" s="280"/>
      <c r="M55" s="280"/>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3.5" customHeight="1" x14ac:dyDescent="0.3">
      <c r="A56" s="331"/>
      <c r="B56" s="317"/>
      <c r="C56" s="318"/>
      <c r="D56" s="312"/>
      <c r="E56" s="283"/>
      <c r="F56" s="280"/>
      <c r="G56" s="280"/>
      <c r="H56" s="280"/>
      <c r="I56" s="280"/>
      <c r="J56" s="280"/>
      <c r="K56" s="280"/>
      <c r="L56" s="280"/>
      <c r="M56" s="280"/>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3.5" customHeight="1" x14ac:dyDescent="0.3">
      <c r="A57" s="331"/>
      <c r="B57" s="317"/>
      <c r="C57" s="318"/>
      <c r="D57" s="312"/>
      <c r="E57" s="283"/>
      <c r="F57" s="280" t="str">
        <f t="shared" si="10"/>
        <v>No</v>
      </c>
      <c r="G57" s="280" t="str">
        <f t="shared" si="10"/>
        <v>No</v>
      </c>
      <c r="H57" s="280" t="str">
        <f t="shared" si="10"/>
        <v>No</v>
      </c>
      <c r="I57" s="280" t="str">
        <f t="shared" si="10"/>
        <v>No</v>
      </c>
      <c r="J57" s="280" t="str">
        <f t="shared" si="10"/>
        <v>No</v>
      </c>
      <c r="K57" s="280" t="str">
        <f t="shared" si="10"/>
        <v>No</v>
      </c>
      <c r="L57" s="280" t="str">
        <f t="shared" si="10"/>
        <v>No</v>
      </c>
      <c r="M57" s="280" t="str">
        <f t="shared" si="10"/>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3.5" customHeight="1" x14ac:dyDescent="0.3">
      <c r="A58" s="331"/>
      <c r="B58" s="317"/>
      <c r="C58" s="318"/>
      <c r="D58" s="312"/>
      <c r="E58" s="283"/>
      <c r="F58" s="280"/>
      <c r="G58" s="280"/>
      <c r="H58" s="280"/>
      <c r="I58" s="280"/>
      <c r="J58" s="280"/>
      <c r="K58" s="280"/>
      <c r="L58" s="280"/>
      <c r="M58" s="280"/>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3.5" customHeight="1" x14ac:dyDescent="0.3">
      <c r="A59" s="331"/>
      <c r="B59" s="317"/>
      <c r="C59" s="318"/>
      <c r="D59" s="312"/>
      <c r="E59" s="283"/>
      <c r="F59" s="280"/>
      <c r="G59" s="280"/>
      <c r="H59" s="280"/>
      <c r="I59" s="280"/>
      <c r="J59" s="280"/>
      <c r="K59" s="280"/>
      <c r="L59" s="280"/>
      <c r="M59" s="280"/>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3.5" customHeight="1" x14ac:dyDescent="0.3">
      <c r="A60" s="331"/>
      <c r="B60" s="317"/>
      <c r="C60" s="318"/>
      <c r="D60" s="312"/>
      <c r="E60" s="283"/>
      <c r="F60" s="280" t="str">
        <f t="shared" si="10"/>
        <v>No</v>
      </c>
      <c r="G60" s="280" t="str">
        <f t="shared" si="10"/>
        <v>No</v>
      </c>
      <c r="H60" s="280" t="str">
        <f t="shared" si="10"/>
        <v>No</v>
      </c>
      <c r="I60" s="280" t="str">
        <f t="shared" si="10"/>
        <v>No</v>
      </c>
      <c r="J60" s="280" t="str">
        <f t="shared" si="10"/>
        <v>No</v>
      </c>
      <c r="K60" s="280" t="str">
        <f t="shared" si="10"/>
        <v>No</v>
      </c>
      <c r="L60" s="280" t="str">
        <f t="shared" si="10"/>
        <v>No</v>
      </c>
      <c r="M60" s="280" t="str">
        <f t="shared" si="10"/>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3.5" customHeight="1" x14ac:dyDescent="0.3">
      <c r="A61" s="331"/>
      <c r="B61" s="317"/>
      <c r="C61" s="318"/>
      <c r="D61" s="312"/>
      <c r="E61" s="283"/>
      <c r="F61" s="280"/>
      <c r="G61" s="280"/>
      <c r="H61" s="280"/>
      <c r="I61" s="280"/>
      <c r="J61" s="280"/>
      <c r="K61" s="280"/>
      <c r="L61" s="280"/>
      <c r="M61" s="280"/>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3.5" customHeight="1" x14ac:dyDescent="0.3">
      <c r="A62" s="331"/>
      <c r="B62" s="317"/>
      <c r="C62" s="318"/>
      <c r="D62" s="312"/>
      <c r="E62" s="283"/>
      <c r="F62" s="280"/>
      <c r="G62" s="280"/>
      <c r="H62" s="280"/>
      <c r="I62" s="280"/>
      <c r="J62" s="280"/>
      <c r="K62" s="280"/>
      <c r="L62" s="280"/>
      <c r="M62" s="280"/>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3.5" customHeight="1" x14ac:dyDescent="0.3">
      <c r="A63" s="331"/>
      <c r="B63" s="317"/>
      <c r="C63" s="318"/>
      <c r="D63" s="312"/>
      <c r="E63" s="283"/>
      <c r="F63" s="280" t="str">
        <f t="shared" si="10"/>
        <v>No</v>
      </c>
      <c r="G63" s="280" t="str">
        <f t="shared" si="10"/>
        <v>No</v>
      </c>
      <c r="H63" s="280" t="str">
        <f t="shared" si="10"/>
        <v>No</v>
      </c>
      <c r="I63" s="280" t="str">
        <f t="shared" si="10"/>
        <v>No</v>
      </c>
      <c r="J63" s="280" t="str">
        <f t="shared" si="10"/>
        <v>No</v>
      </c>
      <c r="K63" s="280" t="str">
        <f t="shared" si="10"/>
        <v>No</v>
      </c>
      <c r="L63" s="280" t="str">
        <f t="shared" si="10"/>
        <v>No</v>
      </c>
      <c r="M63" s="280" t="str">
        <f t="shared" si="10"/>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3.5" customHeight="1" x14ac:dyDescent="0.3">
      <c r="A64" s="331"/>
      <c r="B64" s="317"/>
      <c r="C64" s="318"/>
      <c r="D64" s="312"/>
      <c r="E64" s="283"/>
      <c r="F64" s="280"/>
      <c r="G64" s="280"/>
      <c r="H64" s="280"/>
      <c r="I64" s="280"/>
      <c r="J64" s="280"/>
      <c r="K64" s="280"/>
      <c r="L64" s="280"/>
      <c r="M64" s="280"/>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3.5" customHeight="1" x14ac:dyDescent="0.3">
      <c r="A65" s="331"/>
      <c r="B65" s="317"/>
      <c r="C65" s="318"/>
      <c r="D65" s="312"/>
      <c r="E65" s="283"/>
      <c r="F65" s="280"/>
      <c r="G65" s="280"/>
      <c r="H65" s="280"/>
      <c r="I65" s="280"/>
      <c r="J65" s="280"/>
      <c r="K65" s="280"/>
      <c r="L65" s="280"/>
      <c r="M65" s="280"/>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3.5" customHeight="1" x14ac:dyDescent="0.3">
      <c r="A66" s="331"/>
      <c r="B66" s="317"/>
      <c r="C66" s="318"/>
      <c r="D66" s="312"/>
      <c r="E66" s="283"/>
      <c r="F66" s="280" t="str">
        <f t="shared" si="10"/>
        <v>No</v>
      </c>
      <c r="G66" s="280" t="str">
        <f t="shared" si="10"/>
        <v>No</v>
      </c>
      <c r="H66" s="280" t="str">
        <f t="shared" si="10"/>
        <v>No</v>
      </c>
      <c r="I66" s="280" t="str">
        <f t="shared" si="10"/>
        <v>No</v>
      </c>
      <c r="J66" s="280" t="str">
        <f t="shared" si="10"/>
        <v>No</v>
      </c>
      <c r="K66" s="280" t="str">
        <f t="shared" si="10"/>
        <v>No</v>
      </c>
      <c r="L66" s="280" t="str">
        <f t="shared" si="10"/>
        <v>No</v>
      </c>
      <c r="M66" s="280" t="str">
        <f t="shared" si="10"/>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3.5" customHeight="1" x14ac:dyDescent="0.3">
      <c r="A67" s="331"/>
      <c r="B67" s="317"/>
      <c r="C67" s="318"/>
      <c r="D67" s="312"/>
      <c r="E67" s="283"/>
      <c r="F67" s="280"/>
      <c r="G67" s="280"/>
      <c r="H67" s="280"/>
      <c r="I67" s="280"/>
      <c r="J67" s="280"/>
      <c r="K67" s="280"/>
      <c r="L67" s="280"/>
      <c r="M67" s="280"/>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3.5" customHeight="1" x14ac:dyDescent="0.3">
      <c r="A68" s="331"/>
      <c r="B68" s="317"/>
      <c r="C68" s="318"/>
      <c r="D68" s="312"/>
      <c r="E68" s="283"/>
      <c r="F68" s="280"/>
      <c r="G68" s="280"/>
      <c r="H68" s="280"/>
      <c r="I68" s="280"/>
      <c r="J68" s="280"/>
      <c r="K68" s="280"/>
      <c r="L68" s="280"/>
      <c r="M68" s="280"/>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3.5" customHeight="1" x14ac:dyDescent="0.3">
      <c r="A69" s="331"/>
      <c r="B69" s="317"/>
      <c r="C69" s="318"/>
      <c r="D69" s="312"/>
      <c r="E69" s="283"/>
      <c r="F69" s="280" t="str">
        <f t="shared" si="10"/>
        <v>No</v>
      </c>
      <c r="G69" s="280" t="str">
        <f t="shared" si="10"/>
        <v>No</v>
      </c>
      <c r="H69" s="280" t="str">
        <f t="shared" si="10"/>
        <v>No</v>
      </c>
      <c r="I69" s="280" t="str">
        <f t="shared" si="10"/>
        <v>No</v>
      </c>
      <c r="J69" s="280" t="str">
        <f t="shared" si="10"/>
        <v>No</v>
      </c>
      <c r="K69" s="280" t="str">
        <f t="shared" si="10"/>
        <v>No</v>
      </c>
      <c r="L69" s="280" t="str">
        <f t="shared" si="10"/>
        <v>No</v>
      </c>
      <c r="M69" s="280" t="str">
        <f t="shared" si="10"/>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3.5" customHeight="1" x14ac:dyDescent="0.3">
      <c r="A70" s="331"/>
      <c r="B70" s="317"/>
      <c r="C70" s="318"/>
      <c r="D70" s="312"/>
      <c r="E70" s="283"/>
      <c r="F70" s="280"/>
      <c r="G70" s="280"/>
      <c r="H70" s="280"/>
      <c r="I70" s="280"/>
      <c r="J70" s="280"/>
      <c r="K70" s="280"/>
      <c r="L70" s="280"/>
      <c r="M70" s="280"/>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3.5" customHeight="1" x14ac:dyDescent="0.3">
      <c r="A71" s="331"/>
      <c r="B71" s="317"/>
      <c r="C71" s="318"/>
      <c r="D71" s="312"/>
      <c r="E71" s="283"/>
      <c r="F71" s="280"/>
      <c r="G71" s="280"/>
      <c r="H71" s="280"/>
      <c r="I71" s="280"/>
      <c r="J71" s="280"/>
      <c r="K71" s="280"/>
      <c r="L71" s="280"/>
      <c r="M71" s="280"/>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row r="72" spans="1:70" ht="33.75" x14ac:dyDescent="0.5">
      <c r="A72" s="148"/>
      <c r="B72" s="157"/>
      <c r="C72" s="157"/>
      <c r="D72" s="157"/>
      <c r="E72" s="157"/>
      <c r="F72" s="157"/>
      <c r="G72" s="157"/>
      <c r="H72" s="157"/>
      <c r="I72" s="157"/>
      <c r="J72" s="157"/>
      <c r="K72" s="157"/>
      <c r="L72" s="157"/>
      <c r="M72" s="157"/>
      <c r="N72" s="148"/>
      <c r="O72" s="148"/>
      <c r="P72" s="148"/>
      <c r="Q72" s="148"/>
      <c r="R72" s="148"/>
      <c r="S72" s="148"/>
      <c r="T72" s="148"/>
      <c r="U72" s="148"/>
      <c r="V72" s="148"/>
      <c r="W72" s="148"/>
      <c r="X72" s="148"/>
      <c r="Y72" s="148"/>
      <c r="Z72" s="148"/>
      <c r="AA72" s="148"/>
      <c r="AB72" s="148"/>
      <c r="AC72" s="148"/>
      <c r="AD72" s="148"/>
      <c r="AE72" s="148"/>
      <c r="AF72" s="148"/>
      <c r="AG72" s="148"/>
      <c r="AH72" s="148"/>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c r="BI72" s="148"/>
      <c r="BJ72" s="148"/>
      <c r="BK72" s="148"/>
      <c r="BL72" s="148"/>
      <c r="BM72" s="148"/>
      <c r="BN72" s="148"/>
      <c r="BO72" s="148"/>
      <c r="BP72" s="148"/>
      <c r="BQ72" s="148"/>
      <c r="BR72" s="148"/>
    </row>
    <row r="73" spans="1:70" x14ac:dyDescent="0.3">
      <c r="A73" s="148"/>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c r="AB73" s="148"/>
      <c r="AC73" s="148"/>
      <c r="AD73" s="148"/>
      <c r="AE73" s="148"/>
      <c r="AF73" s="148"/>
      <c r="AG73" s="148"/>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c r="BI73" s="148"/>
      <c r="BJ73" s="148"/>
      <c r="BK73" s="148"/>
      <c r="BL73" s="148"/>
      <c r="BM73" s="148"/>
      <c r="BN73" s="148"/>
      <c r="BO73" s="148"/>
      <c r="BP73" s="148"/>
      <c r="BQ73" s="148"/>
      <c r="BR73" s="148"/>
    </row>
    <row r="74" spans="1:70" x14ac:dyDescent="0.3">
      <c r="A74" s="148"/>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c r="AB74" s="148"/>
      <c r="AC74" s="148"/>
      <c r="AD74" s="148"/>
      <c r="AE74" s="148"/>
      <c r="AF74" s="148"/>
      <c r="AG74" s="148"/>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c r="BI74" s="148"/>
      <c r="BJ74" s="148"/>
      <c r="BK74" s="148"/>
      <c r="BL74" s="148"/>
      <c r="BM74" s="148"/>
      <c r="BN74" s="148"/>
      <c r="BO74" s="148"/>
      <c r="BP74" s="148"/>
      <c r="BQ74" s="148"/>
      <c r="BR74" s="148"/>
    </row>
    <row r="75" spans="1:70" x14ac:dyDescent="0.3">
      <c r="A75" s="148"/>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c r="AB75" s="148"/>
      <c r="AC75" s="148"/>
      <c r="AD75" s="148"/>
      <c r="AE75" s="148"/>
      <c r="AF75" s="148"/>
      <c r="AG75" s="148"/>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c r="BI75" s="148"/>
      <c r="BJ75" s="148"/>
      <c r="BK75" s="148"/>
      <c r="BL75" s="148"/>
      <c r="BM75" s="148"/>
      <c r="BN75" s="148"/>
      <c r="BO75" s="148"/>
      <c r="BP75" s="148"/>
      <c r="BQ75" s="148"/>
      <c r="BR75" s="148"/>
    </row>
    <row r="76" spans="1:70" x14ac:dyDescent="0.3">
      <c r="A76" s="148"/>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c r="AB76" s="148"/>
      <c r="AC76" s="148"/>
      <c r="AD76" s="148"/>
      <c r="AE76" s="148"/>
      <c r="AF76" s="148"/>
      <c r="AG76" s="148"/>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c r="BI76" s="148"/>
      <c r="BJ76" s="148"/>
      <c r="BK76" s="148"/>
      <c r="BL76" s="148"/>
      <c r="BM76" s="148"/>
      <c r="BN76" s="148"/>
      <c r="BO76" s="148"/>
      <c r="BP76" s="148"/>
      <c r="BQ76" s="148"/>
      <c r="BR76" s="148"/>
    </row>
    <row r="77" spans="1:70" x14ac:dyDescent="0.3">
      <c r="A77" s="148"/>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c r="AB77" s="148"/>
      <c r="AC77" s="148"/>
      <c r="AD77" s="148"/>
      <c r="AE77" s="148"/>
      <c r="AF77" s="148"/>
      <c r="AG77" s="148"/>
      <c r="AH77" s="148"/>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c r="BI77" s="148"/>
      <c r="BJ77" s="148"/>
      <c r="BK77" s="148"/>
      <c r="BL77" s="148"/>
      <c r="BM77" s="148"/>
      <c r="BN77" s="148"/>
      <c r="BO77" s="148"/>
      <c r="BP77" s="148"/>
      <c r="BQ77" s="148"/>
      <c r="BR77" s="148"/>
    </row>
    <row r="78" spans="1:70" x14ac:dyDescent="0.3">
      <c r="A78" s="148"/>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c r="AB78" s="148"/>
      <c r="AC78" s="148"/>
      <c r="AD78" s="148"/>
      <c r="AE78" s="148"/>
      <c r="AF78" s="148"/>
      <c r="AG78" s="148"/>
      <c r="AH78" s="148"/>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c r="BI78" s="148"/>
      <c r="BJ78" s="148"/>
      <c r="BK78" s="148"/>
      <c r="BL78" s="148"/>
      <c r="BM78" s="148"/>
      <c r="BN78" s="148"/>
      <c r="BO78" s="148"/>
      <c r="BP78" s="148"/>
      <c r="BQ78" s="148"/>
      <c r="BR78" s="148"/>
    </row>
    <row r="79" spans="1:70" x14ac:dyDescent="0.3">
      <c r="A79" s="148"/>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c r="AB79" s="148"/>
      <c r="AC79" s="148"/>
      <c r="AD79" s="148"/>
      <c r="AE79" s="148"/>
      <c r="AF79" s="148"/>
      <c r="AG79" s="148"/>
      <c r="AH79" s="148"/>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c r="BI79" s="148"/>
      <c r="BJ79" s="148"/>
      <c r="BK79" s="148"/>
      <c r="BL79" s="148"/>
      <c r="BM79" s="148"/>
      <c r="BN79" s="148"/>
      <c r="BO79" s="148"/>
      <c r="BP79" s="148"/>
      <c r="BQ79" s="148"/>
      <c r="BR79" s="148"/>
    </row>
    <row r="80" spans="1:70" x14ac:dyDescent="0.3">
      <c r="A80" s="148"/>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c r="AB80" s="148"/>
      <c r="AC80" s="148"/>
    </row>
    <row r="81" spans="1:29" x14ac:dyDescent="0.3">
      <c r="A81" s="148"/>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c r="AB81" s="148"/>
      <c r="AC81" s="148"/>
    </row>
    <row r="82" spans="1:29" x14ac:dyDescent="0.3">
      <c r="A82" s="148"/>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c r="AB82" s="148"/>
      <c r="AC82" s="148"/>
    </row>
    <row r="83" spans="1:29" x14ac:dyDescent="0.3">
      <c r="A83" s="148"/>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c r="AB83" s="148"/>
      <c r="AC83" s="148"/>
    </row>
    <row r="84" spans="1:29" x14ac:dyDescent="0.3">
      <c r="A84" s="148"/>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c r="AB84" s="148"/>
      <c r="AC84" s="148"/>
    </row>
    <row r="85" spans="1:29" x14ac:dyDescent="0.3">
      <c r="A85" s="148"/>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c r="AB85" s="148"/>
      <c r="AC85" s="148"/>
    </row>
    <row r="86" spans="1:29" x14ac:dyDescent="0.3">
      <c r="A86" s="148"/>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c r="AB86" s="148"/>
      <c r="AC86" s="148"/>
    </row>
    <row r="87" spans="1:29" x14ac:dyDescent="0.3">
      <c r="A87" s="148"/>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c r="AB87" s="148"/>
      <c r="AC87" s="148"/>
    </row>
    <row r="88" spans="1:29" x14ac:dyDescent="0.3">
      <c r="A88" s="150"/>
      <c r="B88" s="150"/>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c r="AB88" s="148"/>
      <c r="AC88" s="148"/>
    </row>
    <row r="89" spans="1:29" x14ac:dyDescent="0.3">
      <c r="A89" s="150"/>
      <c r="B89" s="150"/>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c r="AB89" s="148"/>
      <c r="AC89" s="148"/>
    </row>
    <row r="90" spans="1:29" x14ac:dyDescent="0.3">
      <c r="A90" s="150"/>
      <c r="B90" s="150"/>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c r="AB90" s="148"/>
      <c r="AC90" s="148"/>
    </row>
    <row r="91" spans="1:29" x14ac:dyDescent="0.3">
      <c r="A91" s="148"/>
      <c r="B91" s="148"/>
      <c r="C91" s="148"/>
      <c r="D91" s="148"/>
      <c r="E91" s="148"/>
      <c r="F91" s="148"/>
      <c r="G91" s="148"/>
      <c r="H91" s="148"/>
      <c r="I91" s="148"/>
      <c r="J91" s="148"/>
      <c r="K91" s="148"/>
      <c r="L91" s="148"/>
      <c r="M91" s="148"/>
    </row>
  </sheetData>
  <sheetProtection algorithmName="SHA-512" hashValue="smHQksUBdugr7EP+xwiuk6UVfh95HGgmT1+qHXcUNT9jcGy1K2v28J+bZAIeU22UEleif/t6/+kLm5VxWYPiXQ==" saltValue="fBVYJ0juiusddbYNGmqdCg==" spinCount="100000" sheet="1" objects="1" scenarios="1"/>
  <mergeCells count="255">
    <mergeCell ref="G69:G71"/>
    <mergeCell ref="H69:H71"/>
    <mergeCell ref="I69:I71"/>
    <mergeCell ref="J69:J71"/>
    <mergeCell ref="K69:K71"/>
    <mergeCell ref="L69:L71"/>
    <mergeCell ref="M69:M71"/>
    <mergeCell ref="K60:K62"/>
    <mergeCell ref="L60:L62"/>
    <mergeCell ref="M60:M62"/>
    <mergeCell ref="G63:G65"/>
    <mergeCell ref="H63:H65"/>
    <mergeCell ref="I63:I65"/>
    <mergeCell ref="J63:J65"/>
    <mergeCell ref="K63:K65"/>
    <mergeCell ref="L63:L65"/>
    <mergeCell ref="M63:M65"/>
    <mergeCell ref="F63:F65"/>
    <mergeCell ref="K48:K50"/>
    <mergeCell ref="L48:L50"/>
    <mergeCell ref="M48:M50"/>
    <mergeCell ref="F51:F53"/>
    <mergeCell ref="G51:G53"/>
    <mergeCell ref="H51:H53"/>
    <mergeCell ref="I51:I53"/>
    <mergeCell ref="J51:J53"/>
    <mergeCell ref="K51:K53"/>
    <mergeCell ref="L51:L53"/>
    <mergeCell ref="M51:M53"/>
    <mergeCell ref="K54:K56"/>
    <mergeCell ref="L54:L56"/>
    <mergeCell ref="M54:M56"/>
    <mergeCell ref="F57:F59"/>
    <mergeCell ref="G57:G59"/>
    <mergeCell ref="H57:H59"/>
    <mergeCell ref="I57:I59"/>
    <mergeCell ref="J57:J59"/>
    <mergeCell ref="K57:K59"/>
    <mergeCell ref="L57:L59"/>
    <mergeCell ref="M57:M59"/>
    <mergeCell ref="K42:K44"/>
    <mergeCell ref="L42:L44"/>
    <mergeCell ref="M42:M44"/>
    <mergeCell ref="F45:F47"/>
    <mergeCell ref="G45:G47"/>
    <mergeCell ref="H45:H47"/>
    <mergeCell ref="I45:I47"/>
    <mergeCell ref="J45:J47"/>
    <mergeCell ref="K45:K47"/>
    <mergeCell ref="L45:L47"/>
    <mergeCell ref="M45:M47"/>
    <mergeCell ref="B69:B71"/>
    <mergeCell ref="C69:C71"/>
    <mergeCell ref="D69:D71"/>
    <mergeCell ref="E69:E71"/>
    <mergeCell ref="F42:F44"/>
    <mergeCell ref="G42:G44"/>
    <mergeCell ref="H42:H44"/>
    <mergeCell ref="I42:I44"/>
    <mergeCell ref="J42:J44"/>
    <mergeCell ref="F48:F50"/>
    <mergeCell ref="G48:G50"/>
    <mergeCell ref="H48:H50"/>
    <mergeCell ref="I48:I50"/>
    <mergeCell ref="J48:J50"/>
    <mergeCell ref="F54:F56"/>
    <mergeCell ref="G54:G56"/>
    <mergeCell ref="H54:H56"/>
    <mergeCell ref="I54:I56"/>
    <mergeCell ref="J54:J56"/>
    <mergeCell ref="F60:F62"/>
    <mergeCell ref="G60:G62"/>
    <mergeCell ref="H60:H62"/>
    <mergeCell ref="I60:I62"/>
    <mergeCell ref="J60:J62"/>
    <mergeCell ref="B60:B62"/>
    <mergeCell ref="C60:C62"/>
    <mergeCell ref="D60:D62"/>
    <mergeCell ref="E60:E62"/>
    <mergeCell ref="B63:B65"/>
    <mergeCell ref="C63:C65"/>
    <mergeCell ref="D63:D65"/>
    <mergeCell ref="E63:E65"/>
    <mergeCell ref="B66:B68"/>
    <mergeCell ref="C66:C68"/>
    <mergeCell ref="D66:D68"/>
    <mergeCell ref="E66:E68"/>
    <mergeCell ref="B51:B53"/>
    <mergeCell ref="C51:C53"/>
    <mergeCell ref="D51:D53"/>
    <mergeCell ref="E51:E53"/>
    <mergeCell ref="B54:B56"/>
    <mergeCell ref="C54:C56"/>
    <mergeCell ref="D54:D56"/>
    <mergeCell ref="E54:E56"/>
    <mergeCell ref="B57:B59"/>
    <mergeCell ref="C57:C59"/>
    <mergeCell ref="D57:D59"/>
    <mergeCell ref="E57:E59"/>
    <mergeCell ref="B42:B44"/>
    <mergeCell ref="C42:C44"/>
    <mergeCell ref="D42:D44"/>
    <mergeCell ref="E42:E44"/>
    <mergeCell ref="B45:B47"/>
    <mergeCell ref="C45:C47"/>
    <mergeCell ref="D45:D47"/>
    <mergeCell ref="E45:E47"/>
    <mergeCell ref="B48:B50"/>
    <mergeCell ref="C48:C50"/>
    <mergeCell ref="D48:D50"/>
    <mergeCell ref="E48:E50"/>
    <mergeCell ref="D36:D38"/>
    <mergeCell ref="D39:D41"/>
    <mergeCell ref="D10:D11"/>
    <mergeCell ref="D2:L2"/>
    <mergeCell ref="D3:L4"/>
    <mergeCell ref="D5:L5"/>
    <mergeCell ref="D6:L6"/>
    <mergeCell ref="D12:D14"/>
    <mergeCell ref="D15:D17"/>
    <mergeCell ref="D18:D20"/>
    <mergeCell ref="D21:D23"/>
    <mergeCell ref="J15:J17"/>
    <mergeCell ref="G12:G14"/>
    <mergeCell ref="H12:H14"/>
    <mergeCell ref="I12:I14"/>
    <mergeCell ref="J12:J14"/>
    <mergeCell ref="J18:J20"/>
    <mergeCell ref="K30:K32"/>
    <mergeCell ref="L30:L32"/>
    <mergeCell ref="A2:C2"/>
    <mergeCell ref="M2:M3"/>
    <mergeCell ref="A3:C6"/>
    <mergeCell ref="B12:B14"/>
    <mergeCell ref="C12:C14"/>
    <mergeCell ref="E12:E14"/>
    <mergeCell ref="F12:F14"/>
    <mergeCell ref="A7:M7"/>
    <mergeCell ref="A9:M9"/>
    <mergeCell ref="A10:A11"/>
    <mergeCell ref="B10:C10"/>
    <mergeCell ref="E10:E11"/>
    <mergeCell ref="F10:M10"/>
    <mergeCell ref="M12:M14"/>
    <mergeCell ref="A12:A71"/>
    <mergeCell ref="F66:F68"/>
    <mergeCell ref="G66:G68"/>
    <mergeCell ref="H66:H68"/>
    <mergeCell ref="I66:I68"/>
    <mergeCell ref="J66:J68"/>
    <mergeCell ref="K66:K68"/>
    <mergeCell ref="L66:L68"/>
    <mergeCell ref="M66:M68"/>
    <mergeCell ref="F69:F71"/>
    <mergeCell ref="B15:B17"/>
    <mergeCell ref="C15:C17"/>
    <mergeCell ref="E15:E17"/>
    <mergeCell ref="F15:F17"/>
    <mergeCell ref="G15:G17"/>
    <mergeCell ref="H15:H17"/>
    <mergeCell ref="I15:I17"/>
    <mergeCell ref="B18:B20"/>
    <mergeCell ref="C18:C20"/>
    <mergeCell ref="E18:E20"/>
    <mergeCell ref="F18:F20"/>
    <mergeCell ref="G18:G20"/>
    <mergeCell ref="H18:H20"/>
    <mergeCell ref="I18:I20"/>
    <mergeCell ref="B21:B23"/>
    <mergeCell ref="C21:C23"/>
    <mergeCell ref="E21:E23"/>
    <mergeCell ref="F21:F23"/>
    <mergeCell ref="M21:M23"/>
    <mergeCell ref="B24:B26"/>
    <mergeCell ref="C24:C26"/>
    <mergeCell ref="E24:E26"/>
    <mergeCell ref="F24:F26"/>
    <mergeCell ref="G24:G26"/>
    <mergeCell ref="H24:H26"/>
    <mergeCell ref="I24:I26"/>
    <mergeCell ref="J24:J26"/>
    <mergeCell ref="G21:G23"/>
    <mergeCell ref="H21:H23"/>
    <mergeCell ref="I21:I23"/>
    <mergeCell ref="J21:J23"/>
    <mergeCell ref="K21:K23"/>
    <mergeCell ref="L21:L23"/>
    <mergeCell ref="K24:K26"/>
    <mergeCell ref="L24:L26"/>
    <mergeCell ref="M24:M26"/>
    <mergeCell ref="D24:D26"/>
    <mergeCell ref="B27:B29"/>
    <mergeCell ref="C27:C29"/>
    <mergeCell ref="E27:E29"/>
    <mergeCell ref="F27:F29"/>
    <mergeCell ref="G27:G29"/>
    <mergeCell ref="H27:H29"/>
    <mergeCell ref="I27:I29"/>
    <mergeCell ref="J27:J29"/>
    <mergeCell ref="B30:B32"/>
    <mergeCell ref="C30:C32"/>
    <mergeCell ref="E30:E32"/>
    <mergeCell ref="F30:F32"/>
    <mergeCell ref="D27:D29"/>
    <mergeCell ref="D30:D32"/>
    <mergeCell ref="G30:G32"/>
    <mergeCell ref="H30:H32"/>
    <mergeCell ref="I30:I32"/>
    <mergeCell ref="J30:J32"/>
    <mergeCell ref="B33:B35"/>
    <mergeCell ref="C33:C35"/>
    <mergeCell ref="E33:E35"/>
    <mergeCell ref="F33:F35"/>
    <mergeCell ref="G33:G35"/>
    <mergeCell ref="H33:H35"/>
    <mergeCell ref="I33:I35"/>
    <mergeCell ref="J33:J35"/>
    <mergeCell ref="D33:D35"/>
    <mergeCell ref="B39:B41"/>
    <mergeCell ref="C39:C41"/>
    <mergeCell ref="E39:E41"/>
    <mergeCell ref="F39:F41"/>
    <mergeCell ref="K33:K35"/>
    <mergeCell ref="L33:L35"/>
    <mergeCell ref="M33:M35"/>
    <mergeCell ref="B36:B38"/>
    <mergeCell ref="C36:C38"/>
    <mergeCell ref="E36:E38"/>
    <mergeCell ref="F36:F38"/>
    <mergeCell ref="G36:G38"/>
    <mergeCell ref="H36:H38"/>
    <mergeCell ref="M39:M41"/>
    <mergeCell ref="G39:G41"/>
    <mergeCell ref="H39:H41"/>
    <mergeCell ref="I39:I41"/>
    <mergeCell ref="J39:J41"/>
    <mergeCell ref="K39:K41"/>
    <mergeCell ref="L39:L41"/>
    <mergeCell ref="I36:I38"/>
    <mergeCell ref="J36:J38"/>
    <mergeCell ref="K36:K38"/>
    <mergeCell ref="L36:L38"/>
    <mergeCell ref="M36:M38"/>
    <mergeCell ref="K27:K29"/>
    <mergeCell ref="L27:L29"/>
    <mergeCell ref="M27:M29"/>
    <mergeCell ref="K12:K14"/>
    <mergeCell ref="L12:L14"/>
    <mergeCell ref="K15:K17"/>
    <mergeCell ref="L15:L17"/>
    <mergeCell ref="M15:M17"/>
    <mergeCell ref="K18:K20"/>
    <mergeCell ref="L18:L20"/>
    <mergeCell ref="M18:M20"/>
    <mergeCell ref="M30:M32"/>
  </mergeCells>
  <conditionalFormatting sqref="F12:M71">
    <cfRule type="containsText" dxfId="2" priority="1" operator="containsText" text="No">
      <formula>NOT(ISERROR(SEARCH("No",F12)))</formula>
    </cfRule>
  </conditionalFormatting>
  <pageMargins left="0.7" right="0.7" top="0.75" bottom="0.75" header="0.3" footer="0.3"/>
  <pageSetup paperSize="142"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CU140"/>
  <sheetViews>
    <sheetView zoomScale="50" zoomScaleNormal="50" workbookViewId="0">
      <selection activeCell="B6" sqref="B6:D45"/>
    </sheetView>
  </sheetViews>
  <sheetFormatPr baseColWidth="10" defaultColWidth="11.42578125" defaultRowHeight="15" x14ac:dyDescent="0.25"/>
  <cols>
    <col min="2" max="39" width="5.7109375" customWidth="1"/>
    <col min="41" max="46" width="5.7109375" customWidth="1"/>
  </cols>
  <sheetData>
    <row r="1" spans="1:99"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row>
    <row r="2" spans="1:99" ht="18" customHeight="1" x14ac:dyDescent="0.25">
      <c r="A2" s="69"/>
      <c r="B2" s="347" t="s">
        <v>130</v>
      </c>
      <c r="C2" s="347"/>
      <c r="D2" s="347"/>
      <c r="E2" s="347"/>
      <c r="F2" s="347"/>
      <c r="G2" s="347"/>
      <c r="H2" s="347"/>
      <c r="I2" s="347"/>
      <c r="J2" s="384" t="s">
        <v>15</v>
      </c>
      <c r="K2" s="384"/>
      <c r="L2" s="384"/>
      <c r="M2" s="384"/>
      <c r="N2" s="384"/>
      <c r="O2" s="384"/>
      <c r="P2" s="384"/>
      <c r="Q2" s="384"/>
      <c r="R2" s="384"/>
      <c r="S2" s="384"/>
      <c r="T2" s="384"/>
      <c r="U2" s="384"/>
      <c r="V2" s="384"/>
      <c r="W2" s="384"/>
      <c r="X2" s="384"/>
      <c r="Y2" s="384"/>
      <c r="Z2" s="384"/>
      <c r="AA2" s="384"/>
      <c r="AB2" s="384"/>
      <c r="AC2" s="384"/>
      <c r="AD2" s="384"/>
      <c r="AE2" s="384"/>
      <c r="AF2" s="384"/>
      <c r="AG2" s="384"/>
      <c r="AH2" s="384"/>
      <c r="AI2" s="384"/>
      <c r="AJ2" s="384"/>
      <c r="AK2" s="384"/>
      <c r="AL2" s="384"/>
      <c r="AM2" s="384"/>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c r="CN2" s="69"/>
      <c r="CO2" s="69"/>
      <c r="CP2" s="69"/>
      <c r="CQ2" s="69"/>
      <c r="CR2" s="69"/>
      <c r="CS2" s="69"/>
      <c r="CT2" s="69"/>
      <c r="CU2" s="69"/>
    </row>
    <row r="3" spans="1:99" ht="18.75" customHeight="1" x14ac:dyDescent="0.25">
      <c r="A3" s="69"/>
      <c r="B3" s="347"/>
      <c r="C3" s="347"/>
      <c r="D3" s="347"/>
      <c r="E3" s="347"/>
      <c r="F3" s="347"/>
      <c r="G3" s="347"/>
      <c r="H3" s="347"/>
      <c r="I3" s="347"/>
      <c r="J3" s="384"/>
      <c r="K3" s="384"/>
      <c r="L3" s="384"/>
      <c r="M3" s="384"/>
      <c r="N3" s="384"/>
      <c r="O3" s="384"/>
      <c r="P3" s="384"/>
      <c r="Q3" s="384"/>
      <c r="R3" s="384"/>
      <c r="S3" s="384"/>
      <c r="T3" s="384"/>
      <c r="U3" s="384"/>
      <c r="V3" s="384"/>
      <c r="W3" s="384"/>
      <c r="X3" s="384"/>
      <c r="Y3" s="384"/>
      <c r="Z3" s="384"/>
      <c r="AA3" s="384"/>
      <c r="AB3" s="384"/>
      <c r="AC3" s="384"/>
      <c r="AD3" s="384"/>
      <c r="AE3" s="384"/>
      <c r="AF3" s="384"/>
      <c r="AG3" s="384"/>
      <c r="AH3" s="384"/>
      <c r="AI3" s="384"/>
      <c r="AJ3" s="384"/>
      <c r="AK3" s="384"/>
      <c r="AL3" s="384"/>
      <c r="AM3" s="384"/>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c r="CN3" s="69"/>
      <c r="CO3" s="69"/>
      <c r="CP3" s="69"/>
      <c r="CQ3" s="69"/>
      <c r="CR3" s="69"/>
      <c r="CS3" s="69"/>
      <c r="CT3" s="69"/>
      <c r="CU3" s="69"/>
    </row>
    <row r="4" spans="1:99" ht="15" customHeight="1" x14ac:dyDescent="0.25">
      <c r="A4" s="69"/>
      <c r="B4" s="347"/>
      <c r="C4" s="347"/>
      <c r="D4" s="347"/>
      <c r="E4" s="347"/>
      <c r="F4" s="347"/>
      <c r="G4" s="347"/>
      <c r="H4" s="347"/>
      <c r="I4" s="347"/>
      <c r="J4" s="384"/>
      <c r="K4" s="384"/>
      <c r="L4" s="384"/>
      <c r="M4" s="384"/>
      <c r="N4" s="384"/>
      <c r="O4" s="384"/>
      <c r="P4" s="384"/>
      <c r="Q4" s="384"/>
      <c r="R4" s="384"/>
      <c r="S4" s="384"/>
      <c r="T4" s="384"/>
      <c r="U4" s="384"/>
      <c r="V4" s="384"/>
      <c r="W4" s="384"/>
      <c r="X4" s="384"/>
      <c r="Y4" s="384"/>
      <c r="Z4" s="384"/>
      <c r="AA4" s="384"/>
      <c r="AB4" s="384"/>
      <c r="AC4" s="384"/>
      <c r="AD4" s="384"/>
      <c r="AE4" s="384"/>
      <c r="AF4" s="384"/>
      <c r="AG4" s="384"/>
      <c r="AH4" s="384"/>
      <c r="AI4" s="384"/>
      <c r="AJ4" s="384"/>
      <c r="AK4" s="384"/>
      <c r="AL4" s="384"/>
      <c r="AM4" s="384"/>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c r="CN4" s="69"/>
      <c r="CO4" s="69"/>
      <c r="CP4" s="69"/>
      <c r="CQ4" s="69"/>
      <c r="CR4" s="69"/>
      <c r="CS4" s="69"/>
      <c r="CT4" s="69"/>
      <c r="CU4" s="69"/>
    </row>
    <row r="5" spans="1:99"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69"/>
      <c r="BX5" s="69"/>
      <c r="BY5" s="69"/>
      <c r="BZ5" s="69"/>
      <c r="CA5" s="69"/>
      <c r="CB5" s="69"/>
      <c r="CC5" s="69"/>
      <c r="CD5" s="69"/>
      <c r="CE5" s="69"/>
      <c r="CF5" s="69"/>
      <c r="CG5" s="69"/>
      <c r="CH5" s="69"/>
      <c r="CI5" s="69"/>
      <c r="CJ5" s="69"/>
      <c r="CK5" s="69"/>
      <c r="CL5" s="69"/>
      <c r="CM5" s="69"/>
      <c r="CN5" s="69"/>
      <c r="CO5" s="69"/>
      <c r="CP5" s="69"/>
      <c r="CQ5" s="69"/>
      <c r="CR5" s="69"/>
      <c r="CS5" s="69"/>
      <c r="CT5" s="69"/>
      <c r="CU5" s="69"/>
    </row>
    <row r="6" spans="1:99" ht="15" customHeight="1" x14ac:dyDescent="0.25">
      <c r="A6" s="69"/>
      <c r="B6" s="431" t="s">
        <v>131</v>
      </c>
      <c r="C6" s="431"/>
      <c r="D6" s="432"/>
      <c r="E6" s="385" t="s">
        <v>132</v>
      </c>
      <c r="F6" s="386"/>
      <c r="G6" s="386"/>
      <c r="H6" s="386"/>
      <c r="I6" s="387"/>
      <c r="J6" s="372" t="str">
        <f ca="1">IF(AND('Mapa final'!$P$13="Muy Alta",'Mapa final'!$T$13="Leve"),CONCATENATE("R",'Mapa final'!$A$13),"")</f>
        <v/>
      </c>
      <c r="K6" s="373"/>
      <c r="L6" s="373" t="str">
        <f ca="1">IF(AND('Mapa final'!$P$19="Muy Alta",'Mapa final'!$T$19="Leve"),CONCATENATE("R",'Mapa final'!$A$19),"")</f>
        <v/>
      </c>
      <c r="M6" s="373"/>
      <c r="N6" s="373" t="str">
        <f ca="1">IF(AND('Mapa final'!$P$25="Muy Alta",'Mapa final'!$T$25="Leve"),CONCATENATE("R",'Mapa final'!$A$25),"")</f>
        <v/>
      </c>
      <c r="O6" s="374"/>
      <c r="P6" s="372" t="str">
        <f ca="1">IF(AND('Mapa final'!$P$13="Muy Alta",'Mapa final'!$T$13="Menor"),CONCATENATE("R",'Mapa final'!$A$13),"")</f>
        <v/>
      </c>
      <c r="Q6" s="373"/>
      <c r="R6" s="373" t="str">
        <f ca="1">IF(AND('Mapa final'!$P$19="Muy Alta",'Mapa final'!$T$19="Menor"),CONCATENATE("R",'Mapa final'!$A$19),"")</f>
        <v/>
      </c>
      <c r="S6" s="373"/>
      <c r="T6" s="373" t="str">
        <f ca="1">IF(AND('Mapa final'!$P$25="Muy Alta",'Mapa final'!$T$25="Menor"),CONCATENATE("R",'Mapa final'!$A$25),"")</f>
        <v/>
      </c>
      <c r="U6" s="374"/>
      <c r="V6" s="372" t="str">
        <f ca="1">IF(AND('Mapa final'!$P$13="Muy Alta",'Mapa final'!$T$13="Moderado"),CONCATENATE("R",'Mapa final'!$A$13),"")</f>
        <v/>
      </c>
      <c r="W6" s="373"/>
      <c r="X6" s="373" t="str">
        <f ca="1">IF(AND('Mapa final'!$P$19="Muy Alta",'Mapa final'!$T$19="Moderado"),CONCATENATE("R",'Mapa final'!$A$19),"")</f>
        <v/>
      </c>
      <c r="Y6" s="373"/>
      <c r="Z6" s="373" t="str">
        <f ca="1">IF(AND('Mapa final'!$P$25="Muy Alta",'Mapa final'!$T$25="Moderado"),CONCATENATE("R",'Mapa final'!$A$25),"")</f>
        <v/>
      </c>
      <c r="AA6" s="374"/>
      <c r="AB6" s="372" t="str">
        <f ca="1">IF(AND('Mapa final'!$P$13="Muy Alta",'Mapa final'!$T$13="Mayor"),CONCATENATE("R",'Mapa final'!$A$13),"")</f>
        <v/>
      </c>
      <c r="AC6" s="373"/>
      <c r="AD6" s="373" t="str">
        <f ca="1">IF(AND('Mapa final'!$P$19="Muy Alta",'Mapa final'!$T$19="Mayor"),CONCATENATE("R",'Mapa final'!$A$19),"")</f>
        <v/>
      </c>
      <c r="AE6" s="373"/>
      <c r="AF6" s="373" t="str">
        <f ca="1">IF(AND('Mapa final'!$P$25="Muy Alta",'Mapa final'!$T$25="Mayor"),CONCATENATE("R",'Mapa final'!$A$25),"")</f>
        <v/>
      </c>
      <c r="AG6" s="374"/>
      <c r="AH6" s="381" t="str">
        <f ca="1">IF(AND('Mapa final'!$P$13="Muy Alta",'Mapa final'!$T$13="Catastrófico"),CONCATENATE("R",'Mapa final'!$A$13),"")</f>
        <v/>
      </c>
      <c r="AI6" s="382"/>
      <c r="AJ6" s="382" t="str">
        <f ca="1">IF(AND('Mapa final'!$P$19="Muy Alta",'Mapa final'!$T$19="Catastrófico"),CONCATENATE("R",'Mapa final'!$A$19),"")</f>
        <v/>
      </c>
      <c r="AK6" s="382"/>
      <c r="AL6" s="382" t="str">
        <f ca="1">IF(AND('Mapa final'!$P$25="Muy Alta",'Mapa final'!$T$25="Catastrófico"),CONCATENATE("R",'Mapa final'!$A$25),"")</f>
        <v/>
      </c>
      <c r="AM6" s="383"/>
      <c r="AO6" s="395" t="s">
        <v>133</v>
      </c>
      <c r="AP6" s="396"/>
      <c r="AQ6" s="396"/>
      <c r="AR6" s="396"/>
      <c r="AS6" s="396"/>
      <c r="AT6" s="397"/>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row>
    <row r="7" spans="1:99" ht="15" customHeight="1" x14ac:dyDescent="0.25">
      <c r="A7" s="69"/>
      <c r="B7" s="431"/>
      <c r="C7" s="431"/>
      <c r="D7" s="432"/>
      <c r="E7" s="388"/>
      <c r="F7" s="389"/>
      <c r="G7" s="389"/>
      <c r="H7" s="389"/>
      <c r="I7" s="390"/>
      <c r="J7" s="366"/>
      <c r="K7" s="367"/>
      <c r="L7" s="367"/>
      <c r="M7" s="367"/>
      <c r="N7" s="367"/>
      <c r="O7" s="368"/>
      <c r="P7" s="366"/>
      <c r="Q7" s="367"/>
      <c r="R7" s="367"/>
      <c r="S7" s="367"/>
      <c r="T7" s="367"/>
      <c r="U7" s="368"/>
      <c r="V7" s="366"/>
      <c r="W7" s="367"/>
      <c r="X7" s="367"/>
      <c r="Y7" s="367"/>
      <c r="Z7" s="367"/>
      <c r="AA7" s="368"/>
      <c r="AB7" s="366"/>
      <c r="AC7" s="367"/>
      <c r="AD7" s="367"/>
      <c r="AE7" s="367"/>
      <c r="AF7" s="367"/>
      <c r="AG7" s="368"/>
      <c r="AH7" s="377"/>
      <c r="AI7" s="375"/>
      <c r="AJ7" s="375"/>
      <c r="AK7" s="375"/>
      <c r="AL7" s="375"/>
      <c r="AM7" s="376"/>
      <c r="AN7" s="69"/>
      <c r="AO7" s="398"/>
      <c r="AP7" s="399"/>
      <c r="AQ7" s="399"/>
      <c r="AR7" s="399"/>
      <c r="AS7" s="399"/>
      <c r="AT7" s="400"/>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c r="BY7" s="69"/>
      <c r="BZ7" s="69"/>
      <c r="CA7" s="69"/>
      <c r="CB7" s="69"/>
    </row>
    <row r="8" spans="1:99" ht="15" customHeight="1" x14ac:dyDescent="0.25">
      <c r="A8" s="69"/>
      <c r="B8" s="431"/>
      <c r="C8" s="431"/>
      <c r="D8" s="432"/>
      <c r="E8" s="388"/>
      <c r="F8" s="389"/>
      <c r="G8" s="389"/>
      <c r="H8" s="389"/>
      <c r="I8" s="390"/>
      <c r="J8" s="366" t="str">
        <f ca="1">IF(AND('Mapa final'!$P$31="Muy Alta",'Mapa final'!$T$31="Leve"),CONCATENATE("R",'Mapa final'!$A$31),"")</f>
        <v/>
      </c>
      <c r="K8" s="367"/>
      <c r="L8" s="367" t="str">
        <f ca="1">IF(AND('Mapa final'!$P$37="Muy Alta",'Mapa final'!$T$37="Leve"),CONCATENATE("R",'Mapa final'!$A$37),"")</f>
        <v/>
      </c>
      <c r="M8" s="367"/>
      <c r="N8" s="367" t="str">
        <f ca="1">IF(AND('Mapa final'!$P$43="Muy Alta",'Mapa final'!$T$43="Leve"),CONCATENATE("R",'Mapa final'!$A$43),"")</f>
        <v/>
      </c>
      <c r="O8" s="368"/>
      <c r="P8" s="366" t="str">
        <f ca="1">IF(AND('Mapa final'!$P$31="Muy Alta",'Mapa final'!$T$31="Menor"),CONCATENATE("R",'Mapa final'!$A$31),"")</f>
        <v/>
      </c>
      <c r="Q8" s="367"/>
      <c r="R8" s="367" t="str">
        <f ca="1">IF(AND('Mapa final'!$P$37="Muy Alta",'Mapa final'!$T$37="Menor"),CONCATENATE("R",'Mapa final'!$A$37),"")</f>
        <v/>
      </c>
      <c r="S8" s="367"/>
      <c r="T8" s="367" t="str">
        <f ca="1">IF(AND('Mapa final'!$P$43="Muy Alta",'Mapa final'!$T$43="Menor"),CONCATENATE("R",'Mapa final'!$A$43),"")</f>
        <v/>
      </c>
      <c r="U8" s="368"/>
      <c r="V8" s="366" t="str">
        <f ca="1">IF(AND('Mapa final'!$P$31="Muy Alta",'Mapa final'!$T$31="Moderado"),CONCATENATE("R",'Mapa final'!$A$31),"")</f>
        <v/>
      </c>
      <c r="W8" s="367"/>
      <c r="X8" s="367" t="str">
        <f ca="1">IF(AND('Mapa final'!$P$37="Muy Alta",'Mapa final'!$T$37="Moderado"),CONCATENATE("R",'Mapa final'!$A$37),"")</f>
        <v/>
      </c>
      <c r="Y8" s="367"/>
      <c r="Z8" s="367" t="str">
        <f ca="1">IF(AND('Mapa final'!$P$43="Muy Alta",'Mapa final'!$T$43="Moderado"),CONCATENATE("R",'Mapa final'!$A$43),"")</f>
        <v/>
      </c>
      <c r="AA8" s="368"/>
      <c r="AB8" s="366" t="str">
        <f ca="1">IF(AND('Mapa final'!$P$31="Muy Alta",'Mapa final'!$T$31="Mayor"),CONCATENATE("R",'Mapa final'!$A$31),"")</f>
        <v/>
      </c>
      <c r="AC8" s="367"/>
      <c r="AD8" s="367" t="str">
        <f ca="1">IF(AND('Mapa final'!$P$37="Muy Alta",'Mapa final'!$T$37="Mayor"),CONCATENATE("R",'Mapa final'!$A$37),"")</f>
        <v/>
      </c>
      <c r="AE8" s="367"/>
      <c r="AF8" s="367" t="str">
        <f ca="1">IF(AND('Mapa final'!$P$43="Muy Alta",'Mapa final'!$T$43="Mayor"),CONCATENATE("R",'Mapa final'!$A$43),"")</f>
        <v/>
      </c>
      <c r="AG8" s="368"/>
      <c r="AH8" s="377" t="str">
        <f ca="1">IF(AND('Mapa final'!$P$31="Muy Alta",'Mapa final'!$T$31="Catastrófico"),CONCATENATE("R",'Mapa final'!$A$31),"")</f>
        <v/>
      </c>
      <c r="AI8" s="375"/>
      <c r="AJ8" s="375" t="str">
        <f ca="1">IF(AND('Mapa final'!$P$37="Muy Alta",'Mapa final'!$T$37="Catastrófico"),CONCATENATE("R",'Mapa final'!$A$37),"")</f>
        <v/>
      </c>
      <c r="AK8" s="375"/>
      <c r="AL8" s="375" t="str">
        <f ca="1">IF(AND('Mapa final'!$P$43="Muy Alta",'Mapa final'!$T$43="Catastrófico"),CONCATENATE("R",'Mapa final'!$A$43),"")</f>
        <v/>
      </c>
      <c r="AM8" s="376"/>
      <c r="AN8" s="69"/>
      <c r="AO8" s="398"/>
      <c r="AP8" s="399"/>
      <c r="AQ8" s="399"/>
      <c r="AR8" s="399"/>
      <c r="AS8" s="399"/>
      <c r="AT8" s="400"/>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c r="BY8" s="69"/>
      <c r="BZ8" s="69"/>
      <c r="CA8" s="69"/>
      <c r="CB8" s="69"/>
    </row>
    <row r="9" spans="1:99" ht="15" customHeight="1" x14ac:dyDescent="0.25">
      <c r="A9" s="69"/>
      <c r="B9" s="431"/>
      <c r="C9" s="431"/>
      <c r="D9" s="432"/>
      <c r="E9" s="388"/>
      <c r="F9" s="389"/>
      <c r="G9" s="389"/>
      <c r="H9" s="389"/>
      <c r="I9" s="390"/>
      <c r="J9" s="366"/>
      <c r="K9" s="367"/>
      <c r="L9" s="367"/>
      <c r="M9" s="367"/>
      <c r="N9" s="367"/>
      <c r="O9" s="368"/>
      <c r="P9" s="366"/>
      <c r="Q9" s="367"/>
      <c r="R9" s="367"/>
      <c r="S9" s="367"/>
      <c r="T9" s="367"/>
      <c r="U9" s="368"/>
      <c r="V9" s="366"/>
      <c r="W9" s="367"/>
      <c r="X9" s="367"/>
      <c r="Y9" s="367"/>
      <c r="Z9" s="367"/>
      <c r="AA9" s="368"/>
      <c r="AB9" s="366"/>
      <c r="AC9" s="367"/>
      <c r="AD9" s="367"/>
      <c r="AE9" s="367"/>
      <c r="AF9" s="367"/>
      <c r="AG9" s="368"/>
      <c r="AH9" s="377"/>
      <c r="AI9" s="375"/>
      <c r="AJ9" s="375"/>
      <c r="AK9" s="375"/>
      <c r="AL9" s="375"/>
      <c r="AM9" s="376"/>
      <c r="AN9" s="69"/>
      <c r="AO9" s="398"/>
      <c r="AP9" s="399"/>
      <c r="AQ9" s="399"/>
      <c r="AR9" s="399"/>
      <c r="AS9" s="399"/>
      <c r="AT9" s="400"/>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row>
    <row r="10" spans="1:99" ht="15" customHeight="1" x14ac:dyDescent="0.25">
      <c r="A10" s="69"/>
      <c r="B10" s="431"/>
      <c r="C10" s="431"/>
      <c r="D10" s="432"/>
      <c r="E10" s="388"/>
      <c r="F10" s="389"/>
      <c r="G10" s="389"/>
      <c r="H10" s="389"/>
      <c r="I10" s="390"/>
      <c r="J10" s="366" t="str">
        <f ca="1">IF(AND('Mapa final'!$P$49="Muy Alta",'Mapa final'!$T$49="Leve"),CONCATENATE("R",'Mapa final'!$B$49),"")</f>
        <v/>
      </c>
      <c r="K10" s="367"/>
      <c r="L10" s="367" t="str">
        <f ca="1">IF(AND('Mapa final'!$P$55="Muy Alta",'Mapa final'!$T$55="Leve"),CONCATENATE("R",'Mapa final'!$A$55),"")</f>
        <v/>
      </c>
      <c r="M10" s="367"/>
      <c r="N10" s="367" t="str">
        <f ca="1">IF(AND('Mapa final'!$P$61="Muy Alta",'Mapa final'!$T$61="Leve"),CONCATENATE("R",'Mapa final'!$A$61),"")</f>
        <v/>
      </c>
      <c r="O10" s="368"/>
      <c r="P10" s="366" t="str">
        <f ca="1">IF(AND('Mapa final'!$P$49="Muy Alta",'Mapa final'!$T$49="Menor"),CONCATENATE("R",'Mapa final'!$B$49),"")</f>
        <v/>
      </c>
      <c r="Q10" s="367"/>
      <c r="R10" s="367" t="str">
        <f ca="1">IF(AND('Mapa final'!$P$55="Muy Alta",'Mapa final'!$T$55="Menor"),CONCATENATE("R",'Mapa final'!$A$55),"")</f>
        <v/>
      </c>
      <c r="S10" s="367"/>
      <c r="T10" s="367" t="str">
        <f ca="1">IF(AND('Mapa final'!$P$61="Muy Alta",'Mapa final'!$T$61="Menor"),CONCATENATE("R",'Mapa final'!$A$61),"")</f>
        <v/>
      </c>
      <c r="U10" s="368"/>
      <c r="V10" s="366" t="str">
        <f ca="1">IF(AND('Mapa final'!$P$49="Muy Alta",'Mapa final'!$T$49="Moderado"),CONCATENATE("R",'Mapa final'!$B$49),"")</f>
        <v/>
      </c>
      <c r="W10" s="367"/>
      <c r="X10" s="367" t="str">
        <f ca="1">IF(AND('Mapa final'!$P$55="Muy Alta",'Mapa final'!$T$55="Moderado"),CONCATENATE("R",'Mapa final'!$A$55),"")</f>
        <v>R8</v>
      </c>
      <c r="Y10" s="367"/>
      <c r="Z10" s="367" t="str">
        <f ca="1">IF(AND('Mapa final'!$P$61="Muy Alta",'Mapa final'!$T$61="Moderado"),CONCATENATE("R",'Mapa final'!$A$61),"")</f>
        <v/>
      </c>
      <c r="AA10" s="368"/>
      <c r="AB10" s="366" t="str">
        <f ca="1">IF(AND('Mapa final'!$P$49="Muy Alta",'Mapa final'!$T$49="Mayor"),CONCATENATE("R",'Mapa final'!$B$49),"")</f>
        <v/>
      </c>
      <c r="AC10" s="367"/>
      <c r="AD10" s="367" t="str">
        <f ca="1">IF(AND('Mapa final'!$P$55="Muy Alta",'Mapa final'!$T$55="Mayor"),CONCATENATE("R",'Mapa final'!$A$55),"")</f>
        <v/>
      </c>
      <c r="AE10" s="367"/>
      <c r="AF10" s="367" t="str">
        <f ca="1">IF(AND('Mapa final'!$P$61="Muy Alta",'Mapa final'!$T$61="Mayor"),CONCATENATE("R",'Mapa final'!$A$61),"")</f>
        <v/>
      </c>
      <c r="AG10" s="368"/>
      <c r="AH10" s="377" t="str">
        <f ca="1">IF(AND('Mapa final'!$P$49="Muy Alta",'Mapa final'!$T$49="Catastrófico"),CONCATENATE("R",'Mapa final'!$B$49),"")</f>
        <v/>
      </c>
      <c r="AI10" s="375"/>
      <c r="AJ10" s="375" t="str">
        <f ca="1">IF(AND('Mapa final'!$P$55="Muy Alta",'Mapa final'!$T$55="Catastrófico"),CONCATENATE("R",'Mapa final'!$A$55),"")</f>
        <v/>
      </c>
      <c r="AK10" s="375"/>
      <c r="AL10" s="375" t="str">
        <f ca="1">IF(AND('Mapa final'!$P$61="Muy Alta",'Mapa final'!$T$61="Catastrófico"),CONCATENATE("R",'Mapa final'!$A$61),"")</f>
        <v/>
      </c>
      <c r="AM10" s="376"/>
      <c r="AN10" s="69"/>
      <c r="AO10" s="398"/>
      <c r="AP10" s="399"/>
      <c r="AQ10" s="399"/>
      <c r="AR10" s="399"/>
      <c r="AS10" s="399"/>
      <c r="AT10" s="400"/>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row>
    <row r="11" spans="1:99" ht="15" customHeight="1" x14ac:dyDescent="0.25">
      <c r="A11" s="69"/>
      <c r="B11" s="431"/>
      <c r="C11" s="431"/>
      <c r="D11" s="432"/>
      <c r="E11" s="388"/>
      <c r="F11" s="389"/>
      <c r="G11" s="389"/>
      <c r="H11" s="389"/>
      <c r="I11" s="390"/>
      <c r="J11" s="366"/>
      <c r="K11" s="367"/>
      <c r="L11" s="367"/>
      <c r="M11" s="367"/>
      <c r="N11" s="367"/>
      <c r="O11" s="368"/>
      <c r="P11" s="366"/>
      <c r="Q11" s="367"/>
      <c r="R11" s="367"/>
      <c r="S11" s="367"/>
      <c r="T11" s="367"/>
      <c r="U11" s="368"/>
      <c r="V11" s="366"/>
      <c r="W11" s="367"/>
      <c r="X11" s="367"/>
      <c r="Y11" s="367"/>
      <c r="Z11" s="367"/>
      <c r="AA11" s="368"/>
      <c r="AB11" s="366"/>
      <c r="AC11" s="367"/>
      <c r="AD11" s="367"/>
      <c r="AE11" s="367"/>
      <c r="AF11" s="367"/>
      <c r="AG11" s="368"/>
      <c r="AH11" s="377"/>
      <c r="AI11" s="375"/>
      <c r="AJ11" s="375"/>
      <c r="AK11" s="375"/>
      <c r="AL11" s="375"/>
      <c r="AM11" s="376"/>
      <c r="AN11" s="69"/>
      <c r="AO11" s="398"/>
      <c r="AP11" s="399"/>
      <c r="AQ11" s="399"/>
      <c r="AR11" s="399"/>
      <c r="AS11" s="399"/>
      <c r="AT11" s="400"/>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c r="BY11" s="69"/>
      <c r="BZ11" s="69"/>
      <c r="CA11" s="69"/>
      <c r="CB11" s="69"/>
    </row>
    <row r="12" spans="1:99" ht="15" customHeight="1" x14ac:dyDescent="0.25">
      <c r="A12" s="69"/>
      <c r="B12" s="431"/>
      <c r="C12" s="431"/>
      <c r="D12" s="432"/>
      <c r="E12" s="388"/>
      <c r="F12" s="389"/>
      <c r="G12" s="389"/>
      <c r="H12" s="389"/>
      <c r="I12" s="390"/>
      <c r="J12" s="366" t="str">
        <f ca="1">IF(AND('Mapa final'!$P$67="Muy Alta",'Mapa final'!$T$67="Leve"),CONCATENATE("R",'Mapa final'!$A$67),"")</f>
        <v/>
      </c>
      <c r="K12" s="367"/>
      <c r="L12" s="367" t="str">
        <f>IF(AND('Mapa final'!$P$569="Muy Alta",'Mapa final'!$T$569="Leve"),CONCATENATE("R",'Mapa final'!$A$569),"")</f>
        <v/>
      </c>
      <c r="M12" s="367"/>
      <c r="N12" s="367" t="str">
        <f>IF(AND('Mapa final'!$P$575="Muy Alta",'Mapa final'!$T$575="Leve"),CONCATENATE("R",'Mapa final'!$A$575),"")</f>
        <v/>
      </c>
      <c r="O12" s="368"/>
      <c r="P12" s="366" t="str">
        <f ca="1">IF(AND('Mapa final'!$P$67="Muy Alta",'Mapa final'!$T$67="Menor"),CONCATENATE("R",'Mapa final'!$A$67),"")</f>
        <v/>
      </c>
      <c r="Q12" s="367"/>
      <c r="R12" s="367" t="str">
        <f>IF(AND('Mapa final'!$P$569="Muy Alta",'Mapa final'!$T$569="Menor"),CONCATENATE("R",'Mapa final'!$A$569),"")</f>
        <v/>
      </c>
      <c r="S12" s="367"/>
      <c r="T12" s="367" t="str">
        <f>IF(AND('Mapa final'!$P$575="Muy Alta",'Mapa final'!$T$575="Menor"),CONCATENATE("R",'Mapa final'!$A$575),"")</f>
        <v/>
      </c>
      <c r="U12" s="368"/>
      <c r="V12" s="366" t="str">
        <f ca="1">IF(AND('Mapa final'!$P$67="Muy Alta",'Mapa final'!$T$67="Moderado"),CONCATENATE("R",'Mapa final'!$A$67),"")</f>
        <v/>
      </c>
      <c r="W12" s="367"/>
      <c r="X12" s="367" t="str">
        <f>IF(AND('Mapa final'!$P$569="Muy Alta",'Mapa final'!$T$569="Moderado"),CONCATENATE("R",'Mapa final'!$A$569),"")</f>
        <v/>
      </c>
      <c r="Y12" s="367"/>
      <c r="Z12" s="367" t="str">
        <f>IF(AND('Mapa final'!$P$575="Muy Alta",'Mapa final'!$T$575="Moderado"),CONCATENATE("R",'Mapa final'!$A$575),"")</f>
        <v/>
      </c>
      <c r="AA12" s="368"/>
      <c r="AB12" s="366" t="str">
        <f ca="1">IF(AND('Mapa final'!$P$67="Muy Alta",'Mapa final'!$T$67="Mayor"),CONCATENATE("R",'Mapa final'!$A$67),"")</f>
        <v>R10</v>
      </c>
      <c r="AC12" s="367"/>
      <c r="AD12" s="367" t="str">
        <f>IF(AND('Mapa final'!$P$569="Muy Alta",'Mapa final'!$T$569="Mayor"),CONCATENATE("R",'Mapa final'!$A$569),"")</f>
        <v/>
      </c>
      <c r="AE12" s="367"/>
      <c r="AF12" s="367" t="str">
        <f>IF(AND('Mapa final'!$P$575="Muy Alta",'Mapa final'!$T$575="Mayor"),CONCATENATE("R",'Mapa final'!$A$575),"")</f>
        <v/>
      </c>
      <c r="AG12" s="368"/>
      <c r="AH12" s="377" t="str">
        <f ca="1">IF(AND('Mapa final'!$P$67="Muy Alta",'Mapa final'!$T$67="Catastrófico"),CONCATENATE("R",'Mapa final'!$A$67),"")</f>
        <v/>
      </c>
      <c r="AI12" s="375"/>
      <c r="AJ12" s="375" t="str">
        <f>IF(AND('Mapa final'!$P$569="Muy Alta",'Mapa final'!$T$569="Catastrófico"),CONCATENATE("R",'Mapa final'!$A$569),"")</f>
        <v/>
      </c>
      <c r="AK12" s="375"/>
      <c r="AL12" s="375" t="str">
        <f>IF(AND('Mapa final'!$P$575="Muy Alta",'Mapa final'!$T$575="Catastrófico"),CONCATENATE("R",'Mapa final'!$A$575),"")</f>
        <v/>
      </c>
      <c r="AM12" s="376"/>
      <c r="AN12" s="69"/>
      <c r="AO12" s="398"/>
      <c r="AP12" s="399"/>
      <c r="AQ12" s="399"/>
      <c r="AR12" s="399"/>
      <c r="AS12" s="399"/>
      <c r="AT12" s="400"/>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row>
    <row r="13" spans="1:99" ht="15.75" customHeight="1" thickBot="1" x14ac:dyDescent="0.3">
      <c r="A13" s="69"/>
      <c r="B13" s="431"/>
      <c r="C13" s="431"/>
      <c r="D13" s="432"/>
      <c r="E13" s="391"/>
      <c r="F13" s="392"/>
      <c r="G13" s="392"/>
      <c r="H13" s="392"/>
      <c r="I13" s="393"/>
      <c r="J13" s="366"/>
      <c r="K13" s="367"/>
      <c r="L13" s="367"/>
      <c r="M13" s="367"/>
      <c r="N13" s="367"/>
      <c r="O13" s="368"/>
      <c r="P13" s="366"/>
      <c r="Q13" s="367"/>
      <c r="R13" s="367"/>
      <c r="S13" s="367"/>
      <c r="T13" s="367"/>
      <c r="U13" s="368"/>
      <c r="V13" s="366"/>
      <c r="W13" s="367"/>
      <c r="X13" s="367"/>
      <c r="Y13" s="367"/>
      <c r="Z13" s="367"/>
      <c r="AA13" s="368"/>
      <c r="AB13" s="366"/>
      <c r="AC13" s="367"/>
      <c r="AD13" s="367"/>
      <c r="AE13" s="367"/>
      <c r="AF13" s="367"/>
      <c r="AG13" s="368"/>
      <c r="AH13" s="378"/>
      <c r="AI13" s="379"/>
      <c r="AJ13" s="379"/>
      <c r="AK13" s="379"/>
      <c r="AL13" s="379"/>
      <c r="AM13" s="380"/>
      <c r="AN13" s="69"/>
      <c r="AO13" s="401"/>
      <c r="AP13" s="402"/>
      <c r="AQ13" s="402"/>
      <c r="AR13" s="402"/>
      <c r="AS13" s="402"/>
      <c r="AT13" s="403"/>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row>
    <row r="14" spans="1:99" ht="15" customHeight="1" x14ac:dyDescent="0.25">
      <c r="A14" s="69"/>
      <c r="B14" s="431"/>
      <c r="C14" s="431"/>
      <c r="D14" s="432"/>
      <c r="E14" s="385" t="s">
        <v>134</v>
      </c>
      <c r="F14" s="386"/>
      <c r="G14" s="386"/>
      <c r="H14" s="386"/>
      <c r="I14" s="386"/>
      <c r="J14" s="363" t="str">
        <f ca="1">IF(AND('Mapa final'!$P$13="Alta",'Mapa final'!$T$13="Leve"),CONCATENATE("R",'Mapa final'!$A$13),"")</f>
        <v/>
      </c>
      <c r="K14" s="364"/>
      <c r="L14" s="364" t="str">
        <f ca="1">IF(AND('Mapa final'!$P$19="Alta",'Mapa final'!$T$19="Leve"),CONCATENATE("R",'Mapa final'!$A$19),"")</f>
        <v/>
      </c>
      <c r="M14" s="364"/>
      <c r="N14" s="364" t="str">
        <f ca="1">IF(AND('Mapa final'!$P$25="Alta",'Mapa final'!$T$25="Leve"),CONCATENATE("R",'Mapa final'!$A$25),"")</f>
        <v/>
      </c>
      <c r="O14" s="365"/>
      <c r="P14" s="363" t="str">
        <f ca="1">IF(AND('Mapa final'!$P$13="Alta",'Mapa final'!$T$13="Menor"),CONCATENATE("R",'Mapa final'!$A$13),"")</f>
        <v>R1</v>
      </c>
      <c r="Q14" s="364"/>
      <c r="R14" s="364" t="str">
        <f ca="1">IF(AND('Mapa final'!$P$19="Alta",'Mapa final'!$T$19="Menor"),CONCATENATE("R",'Mapa final'!$A$19),"")</f>
        <v/>
      </c>
      <c r="S14" s="364"/>
      <c r="T14" s="364" t="str">
        <f ca="1">IF(AND('Mapa final'!$P$25="Alta",'Mapa final'!$T$25="Menor"),CONCATENATE("R",'Mapa final'!$A$25),"")</f>
        <v/>
      </c>
      <c r="U14" s="365"/>
      <c r="V14" s="372" t="str">
        <f ca="1">IF(AND('Mapa final'!$P$13="Alta",'Mapa final'!$T$13="Moderado"),CONCATENATE("R",'Mapa final'!$A$13),"")</f>
        <v/>
      </c>
      <c r="W14" s="373"/>
      <c r="X14" s="373" t="str">
        <f ca="1">IF(AND('Mapa final'!$P$19="Alta",'Mapa final'!$T$19="Moderado"),CONCATENATE("R",'Mapa final'!$A$19),"")</f>
        <v/>
      </c>
      <c r="Y14" s="373"/>
      <c r="Z14" s="373" t="str">
        <f ca="1">IF(AND('Mapa final'!$P$25="Alta",'Mapa final'!$T$25="Moderado"),CONCATENATE("R",'Mapa final'!$A$25),"")</f>
        <v/>
      </c>
      <c r="AA14" s="374"/>
      <c r="AB14" s="372" t="str">
        <f ca="1">IF(AND('Mapa final'!$P$13="Alta",'Mapa final'!$T$13="Mayor"),CONCATENATE("R",'Mapa final'!$A$13),"")</f>
        <v/>
      </c>
      <c r="AC14" s="373"/>
      <c r="AD14" s="373" t="str">
        <f ca="1">IF(AND('Mapa final'!$P$19="Alta",'Mapa final'!$T$19="Mayor"),CONCATENATE("R",'Mapa final'!$A$19),"")</f>
        <v/>
      </c>
      <c r="AE14" s="373"/>
      <c r="AF14" s="373" t="str">
        <f ca="1">IF(AND('Mapa final'!$P$25="Alta",'Mapa final'!$T$25="Mayor"),CONCATENATE("R",'Mapa final'!$A$25),"")</f>
        <v/>
      </c>
      <c r="AG14" s="374"/>
      <c r="AH14" s="381" t="str">
        <f ca="1">IF(AND('Mapa final'!$P$13="Alta",'Mapa final'!$T$13="Catastrófico"),CONCATENATE("R",'Mapa final'!$A$13),"")</f>
        <v/>
      </c>
      <c r="AI14" s="382"/>
      <c r="AJ14" s="382" t="str">
        <f ca="1">IF(AND('Mapa final'!$P$19="Alta",'Mapa final'!$T$19="Catastrófico"),CONCATENATE("R",'Mapa final'!$A$19),"")</f>
        <v/>
      </c>
      <c r="AK14" s="382"/>
      <c r="AL14" s="382" t="str">
        <f ca="1">IF(AND('Mapa final'!$P$25="Alta",'Mapa final'!$T$25="Catastrófico"),CONCATENATE("R",'Mapa final'!$A$25),"")</f>
        <v/>
      </c>
      <c r="AM14" s="383"/>
      <c r="AN14" s="69"/>
      <c r="AO14" s="404" t="s">
        <v>135</v>
      </c>
      <c r="AP14" s="405"/>
      <c r="AQ14" s="405"/>
      <c r="AR14" s="405"/>
      <c r="AS14" s="405"/>
      <c r="AT14" s="406"/>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c r="BY14" s="69"/>
      <c r="BZ14" s="69"/>
      <c r="CA14" s="69"/>
      <c r="CB14" s="69"/>
    </row>
    <row r="15" spans="1:99" ht="15" customHeight="1" x14ac:dyDescent="0.25">
      <c r="A15" s="69"/>
      <c r="B15" s="431"/>
      <c r="C15" s="431"/>
      <c r="D15" s="432"/>
      <c r="E15" s="388"/>
      <c r="F15" s="389"/>
      <c r="G15" s="389"/>
      <c r="H15" s="389"/>
      <c r="I15" s="389"/>
      <c r="J15" s="357"/>
      <c r="K15" s="358"/>
      <c r="L15" s="358"/>
      <c r="M15" s="358"/>
      <c r="N15" s="358"/>
      <c r="O15" s="359"/>
      <c r="P15" s="357"/>
      <c r="Q15" s="358"/>
      <c r="R15" s="358"/>
      <c r="S15" s="358"/>
      <c r="T15" s="358"/>
      <c r="U15" s="359"/>
      <c r="V15" s="366"/>
      <c r="W15" s="367"/>
      <c r="X15" s="367"/>
      <c r="Y15" s="367"/>
      <c r="Z15" s="367"/>
      <c r="AA15" s="368"/>
      <c r="AB15" s="366"/>
      <c r="AC15" s="367"/>
      <c r="AD15" s="367"/>
      <c r="AE15" s="367"/>
      <c r="AF15" s="367"/>
      <c r="AG15" s="368"/>
      <c r="AH15" s="377"/>
      <c r="AI15" s="375"/>
      <c r="AJ15" s="375"/>
      <c r="AK15" s="375"/>
      <c r="AL15" s="375"/>
      <c r="AM15" s="376"/>
      <c r="AN15" s="69"/>
      <c r="AO15" s="407"/>
      <c r="AP15" s="408"/>
      <c r="AQ15" s="408"/>
      <c r="AR15" s="408"/>
      <c r="AS15" s="408"/>
      <c r="AT15" s="409"/>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row>
    <row r="16" spans="1:99" ht="15" customHeight="1" x14ac:dyDescent="0.25">
      <c r="A16" s="69"/>
      <c r="B16" s="431"/>
      <c r="C16" s="431"/>
      <c r="D16" s="432"/>
      <c r="E16" s="388"/>
      <c r="F16" s="389"/>
      <c r="G16" s="389"/>
      <c r="H16" s="389"/>
      <c r="I16" s="389"/>
      <c r="J16" s="357" t="str">
        <f ca="1">IF(AND('Mapa final'!$P$31="Alta",'Mapa final'!$T$31="Leve"),CONCATENATE("R",'Mapa final'!$A$31),"")</f>
        <v/>
      </c>
      <c r="K16" s="358"/>
      <c r="L16" s="358" t="str">
        <f ca="1">IF(AND('Mapa final'!$P$37="Alta",'Mapa final'!$T$37="Leve"),CONCATENATE("R",'Mapa final'!$A$37),"")</f>
        <v/>
      </c>
      <c r="M16" s="358"/>
      <c r="N16" s="358" t="str">
        <f ca="1">IF(AND('Mapa final'!$P$43="Alta",'Mapa final'!$T$43="Leve"),CONCATENATE("R",'Mapa final'!$A$43),"")</f>
        <v/>
      </c>
      <c r="O16" s="359"/>
      <c r="P16" s="357" t="str">
        <f ca="1">IF(AND('Mapa final'!$P$31="Alta",'Mapa final'!$T$31="Menor"),CONCATENATE("R",'Mapa final'!$A$31),"")</f>
        <v/>
      </c>
      <c r="Q16" s="358"/>
      <c r="R16" s="358" t="str">
        <f ca="1">IF(AND('Mapa final'!$P$37="Alta",'Mapa final'!$T$37="Menor"),CONCATENATE("R",'Mapa final'!$A$37),"")</f>
        <v/>
      </c>
      <c r="S16" s="358"/>
      <c r="T16" s="358" t="str">
        <f ca="1">IF(AND('Mapa final'!$P$43="Alta",'Mapa final'!$T$43="Menor"),CONCATENATE("R",'Mapa final'!$A$43),"")</f>
        <v/>
      </c>
      <c r="U16" s="359"/>
      <c r="V16" s="366" t="str">
        <f ca="1">IF(AND('Mapa final'!$P$31="Alta",'Mapa final'!$T$31="Moderado"),CONCATENATE("R",'Mapa final'!$A$31),"")</f>
        <v/>
      </c>
      <c r="W16" s="367"/>
      <c r="X16" s="367" t="str">
        <f ca="1">IF(AND('Mapa final'!$P$37="Alta",'Mapa final'!$T$37="Moderado"),CONCATENATE("R",'Mapa final'!$A$37),"")</f>
        <v/>
      </c>
      <c r="Y16" s="367"/>
      <c r="Z16" s="367" t="str">
        <f ca="1">IF(AND('Mapa final'!$P$43="Alta",'Mapa final'!$T$43="Moderado"),CONCATENATE("R",'Mapa final'!$A$43),"")</f>
        <v/>
      </c>
      <c r="AA16" s="368"/>
      <c r="AB16" s="366" t="str">
        <f ca="1">IF(AND('Mapa final'!$P$31="Alta",'Mapa final'!$T$31="Mayor"),CONCATENATE("R",'Mapa final'!$A$31),"")</f>
        <v/>
      </c>
      <c r="AC16" s="367"/>
      <c r="AD16" s="367" t="str">
        <f ca="1">IF(AND('Mapa final'!$P$37="Alta",'Mapa final'!$T$37="Mayor"),CONCATENATE("R",'Mapa final'!$A$37),"")</f>
        <v/>
      </c>
      <c r="AE16" s="367"/>
      <c r="AF16" s="367" t="str">
        <f ca="1">IF(AND('Mapa final'!$P$43="Alta",'Mapa final'!$T$43="Mayor"),CONCATENATE("R",'Mapa final'!$A$43),"")</f>
        <v/>
      </c>
      <c r="AG16" s="368"/>
      <c r="AH16" s="377" t="str">
        <f ca="1">IF(AND('Mapa final'!$P$31="Alta",'Mapa final'!$T$31="Catastrófico"),CONCATENATE("R",'Mapa final'!$A$31),"")</f>
        <v/>
      </c>
      <c r="AI16" s="375"/>
      <c r="AJ16" s="375" t="str">
        <f ca="1">IF(AND('Mapa final'!$P$37="Alta",'Mapa final'!$T$37="Catastrófico"),CONCATENATE("R",'Mapa final'!$A$37),"")</f>
        <v/>
      </c>
      <c r="AK16" s="375"/>
      <c r="AL16" s="375" t="str">
        <f ca="1">IF(AND('Mapa final'!$P$43="Alta",'Mapa final'!$T$43="Catastrófico"),CONCATENATE("R",'Mapa final'!$A$43),"")</f>
        <v/>
      </c>
      <c r="AM16" s="376"/>
      <c r="AN16" s="69"/>
      <c r="AO16" s="407"/>
      <c r="AP16" s="408"/>
      <c r="AQ16" s="408"/>
      <c r="AR16" s="408"/>
      <c r="AS16" s="408"/>
      <c r="AT16" s="409"/>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69"/>
    </row>
    <row r="17" spans="1:80" ht="15" customHeight="1" x14ac:dyDescent="0.25">
      <c r="A17" s="69"/>
      <c r="B17" s="431"/>
      <c r="C17" s="431"/>
      <c r="D17" s="432"/>
      <c r="E17" s="388"/>
      <c r="F17" s="389"/>
      <c r="G17" s="389"/>
      <c r="H17" s="389"/>
      <c r="I17" s="389"/>
      <c r="J17" s="357"/>
      <c r="K17" s="358"/>
      <c r="L17" s="358"/>
      <c r="M17" s="358"/>
      <c r="N17" s="358"/>
      <c r="O17" s="359"/>
      <c r="P17" s="357"/>
      <c r="Q17" s="358"/>
      <c r="R17" s="358"/>
      <c r="S17" s="358"/>
      <c r="T17" s="358"/>
      <c r="U17" s="359"/>
      <c r="V17" s="366"/>
      <c r="W17" s="367"/>
      <c r="X17" s="367"/>
      <c r="Y17" s="367"/>
      <c r="Z17" s="367"/>
      <c r="AA17" s="368"/>
      <c r="AB17" s="366"/>
      <c r="AC17" s="367"/>
      <c r="AD17" s="367"/>
      <c r="AE17" s="367"/>
      <c r="AF17" s="367"/>
      <c r="AG17" s="368"/>
      <c r="AH17" s="377"/>
      <c r="AI17" s="375"/>
      <c r="AJ17" s="375"/>
      <c r="AK17" s="375"/>
      <c r="AL17" s="375"/>
      <c r="AM17" s="376"/>
      <c r="AN17" s="69"/>
      <c r="AO17" s="407"/>
      <c r="AP17" s="408"/>
      <c r="AQ17" s="408"/>
      <c r="AR17" s="408"/>
      <c r="AS17" s="408"/>
      <c r="AT17" s="409"/>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c r="BY17" s="69"/>
      <c r="BZ17" s="69"/>
      <c r="CA17" s="69"/>
      <c r="CB17" s="69"/>
    </row>
    <row r="18" spans="1:80" ht="15" customHeight="1" x14ac:dyDescent="0.25">
      <c r="A18" s="69"/>
      <c r="B18" s="431"/>
      <c r="C18" s="431"/>
      <c r="D18" s="432"/>
      <c r="E18" s="388"/>
      <c r="F18" s="389"/>
      <c r="G18" s="389"/>
      <c r="H18" s="389"/>
      <c r="I18" s="389"/>
      <c r="J18" s="357" t="str">
        <f ca="1">IF(AND('Mapa final'!$P$49="Alta",'Mapa final'!$T$49="Leve"),CONCATENATE("R",'Mapa final'!$B$49),"")</f>
        <v/>
      </c>
      <c r="K18" s="358"/>
      <c r="L18" s="358" t="str">
        <f ca="1">IF(AND('Mapa final'!$P$55="Alta",'Mapa final'!$T$55="Leve"),CONCATENATE("R",'Mapa final'!$A$55),"")</f>
        <v/>
      </c>
      <c r="M18" s="358"/>
      <c r="N18" s="358" t="str">
        <f ca="1">IF(AND('Mapa final'!$P$61="Alta",'Mapa final'!$T$61="Leve"),CONCATENATE("R",'Mapa final'!$A$61),"")</f>
        <v/>
      </c>
      <c r="O18" s="359"/>
      <c r="P18" s="357" t="str">
        <f ca="1">IF(AND('Mapa final'!$P$49="Alta",'Mapa final'!$T$49="Menor"),CONCATENATE("R",'Mapa final'!$B$49),"")</f>
        <v/>
      </c>
      <c r="Q18" s="358"/>
      <c r="R18" s="358" t="str">
        <f ca="1">IF(AND('Mapa final'!$P$55="Alta",'Mapa final'!$T$55="Menor"),CONCATENATE("R",'Mapa final'!$A$55),"")</f>
        <v/>
      </c>
      <c r="S18" s="358"/>
      <c r="T18" s="358" t="str">
        <f ca="1">IF(AND('Mapa final'!$P$61="Alta",'Mapa final'!$T$61="Menor"),CONCATENATE("R",'Mapa final'!$A$61),"")</f>
        <v/>
      </c>
      <c r="U18" s="359"/>
      <c r="V18" s="366" t="str">
        <f ca="1">IF(AND('Mapa final'!$P$49="Alta",'Mapa final'!$T$49="Moderado"),CONCATENATE("R",'Mapa final'!$B$49),"")</f>
        <v/>
      </c>
      <c r="W18" s="367"/>
      <c r="X18" s="367" t="str">
        <f ca="1">IF(AND('Mapa final'!$P$55="Alta",'Mapa final'!$T$55="Moderado"),CONCATENATE("R",'Mapa final'!$A$55),"")</f>
        <v/>
      </c>
      <c r="Y18" s="367"/>
      <c r="Z18" s="367" t="str">
        <f ca="1">IF(AND('Mapa final'!$P$61="Alta",'Mapa final'!$T$61="Moderado"),CONCATENATE("R",'Mapa final'!$A$61),"")</f>
        <v/>
      </c>
      <c r="AA18" s="368"/>
      <c r="AB18" s="366" t="str">
        <f ca="1">IF(AND('Mapa final'!$P$49="Alta",'Mapa final'!$T$49="Mayor"),CONCATENATE("R",'Mapa final'!$B$49),"")</f>
        <v/>
      </c>
      <c r="AC18" s="367"/>
      <c r="AD18" s="367" t="str">
        <f ca="1">IF(AND('Mapa final'!$P$55="Alta",'Mapa final'!$T$55="Mayor"),CONCATENATE("R",'Mapa final'!$A$55),"")</f>
        <v/>
      </c>
      <c r="AE18" s="367"/>
      <c r="AF18" s="367" t="str">
        <f ca="1">IF(AND('Mapa final'!$P$61="Alta",'Mapa final'!$T$61="Mayor"),CONCATENATE("R",'Mapa final'!$A$61),"")</f>
        <v/>
      </c>
      <c r="AG18" s="368"/>
      <c r="AH18" s="377" t="str">
        <f ca="1">IF(AND('Mapa final'!$P$49="Alta",'Mapa final'!$T$49="Catastrófico"),CONCATENATE("R",'Mapa final'!$B$49),"")</f>
        <v/>
      </c>
      <c r="AI18" s="375"/>
      <c r="AJ18" s="375" t="str">
        <f ca="1">IF(AND('Mapa final'!$P$55="Alta",'Mapa final'!$T$55="Catastrófico"),CONCATENATE("R",'Mapa final'!$A$55),"")</f>
        <v/>
      </c>
      <c r="AK18" s="375"/>
      <c r="AL18" s="375" t="str">
        <f ca="1">IF(AND('Mapa final'!$P$61="Alta",'Mapa final'!$T$61="Catastrófico"),CONCATENATE("R",'Mapa final'!$A$61),"")</f>
        <v/>
      </c>
      <c r="AM18" s="376"/>
      <c r="AN18" s="69"/>
      <c r="AO18" s="407"/>
      <c r="AP18" s="408"/>
      <c r="AQ18" s="408"/>
      <c r="AR18" s="408"/>
      <c r="AS18" s="408"/>
      <c r="AT18" s="409"/>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row>
    <row r="19" spans="1:80" ht="15" customHeight="1" x14ac:dyDescent="0.25">
      <c r="A19" s="69"/>
      <c r="B19" s="431"/>
      <c r="C19" s="431"/>
      <c r="D19" s="432"/>
      <c r="E19" s="388"/>
      <c r="F19" s="389"/>
      <c r="G19" s="389"/>
      <c r="H19" s="389"/>
      <c r="I19" s="389"/>
      <c r="J19" s="357"/>
      <c r="K19" s="358"/>
      <c r="L19" s="358"/>
      <c r="M19" s="358"/>
      <c r="N19" s="358"/>
      <c r="O19" s="359"/>
      <c r="P19" s="357"/>
      <c r="Q19" s="358"/>
      <c r="R19" s="358"/>
      <c r="S19" s="358"/>
      <c r="T19" s="358"/>
      <c r="U19" s="359"/>
      <c r="V19" s="366"/>
      <c r="W19" s="367"/>
      <c r="X19" s="367"/>
      <c r="Y19" s="367"/>
      <c r="Z19" s="367"/>
      <c r="AA19" s="368"/>
      <c r="AB19" s="366"/>
      <c r="AC19" s="367"/>
      <c r="AD19" s="367"/>
      <c r="AE19" s="367"/>
      <c r="AF19" s="367"/>
      <c r="AG19" s="368"/>
      <c r="AH19" s="377"/>
      <c r="AI19" s="375"/>
      <c r="AJ19" s="375"/>
      <c r="AK19" s="375"/>
      <c r="AL19" s="375"/>
      <c r="AM19" s="376"/>
      <c r="AN19" s="69"/>
      <c r="AO19" s="407"/>
      <c r="AP19" s="408"/>
      <c r="AQ19" s="408"/>
      <c r="AR19" s="408"/>
      <c r="AS19" s="408"/>
      <c r="AT19" s="409"/>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c r="BY19" s="69"/>
      <c r="BZ19" s="69"/>
      <c r="CA19" s="69"/>
      <c r="CB19" s="69"/>
    </row>
    <row r="20" spans="1:80" ht="15" customHeight="1" x14ac:dyDescent="0.25">
      <c r="A20" s="69"/>
      <c r="B20" s="431"/>
      <c r="C20" s="431"/>
      <c r="D20" s="432"/>
      <c r="E20" s="388"/>
      <c r="F20" s="389"/>
      <c r="G20" s="389"/>
      <c r="H20" s="389"/>
      <c r="I20" s="389"/>
      <c r="J20" s="357" t="str">
        <f ca="1">IF(AND('Mapa final'!$P$67="Alta",'Mapa final'!$T$67="Leve"),CONCATENATE("R",'Mapa final'!$A$67),"")</f>
        <v/>
      </c>
      <c r="K20" s="358"/>
      <c r="L20" s="358" t="str">
        <f>IF(AND('Mapa final'!$P$569="Alta",'Mapa final'!$T$569="Leve"),CONCATENATE("R",'Mapa final'!$A$569),"")</f>
        <v/>
      </c>
      <c r="M20" s="358"/>
      <c r="N20" s="358" t="str">
        <f>IF(AND('Mapa final'!$P$575="Alta",'Mapa final'!$T$575="Leve"),CONCATENATE("R",'Mapa final'!$A$575),"")</f>
        <v/>
      </c>
      <c r="O20" s="359"/>
      <c r="P20" s="357" t="str">
        <f ca="1">IF(AND('Mapa final'!$P$67="Alta",'Mapa final'!$T$67="Menor"),CONCATENATE("R",'Mapa final'!$A$67),"")</f>
        <v/>
      </c>
      <c r="Q20" s="358"/>
      <c r="R20" s="358" t="str">
        <f>IF(AND('Mapa final'!$P$569="Alta",'Mapa final'!$T$569="Menor"),CONCATENATE("R",'Mapa final'!$A$569),"")</f>
        <v/>
      </c>
      <c r="S20" s="358"/>
      <c r="T20" s="358" t="str">
        <f>IF(AND('Mapa final'!$P$575="Alta",'Mapa final'!$T$575="Menor"),CONCATENATE("R",'Mapa final'!$A$575),"")</f>
        <v/>
      </c>
      <c r="U20" s="359"/>
      <c r="V20" s="366" t="str">
        <f ca="1">IF(AND('Mapa final'!$P$67="Alta",'Mapa final'!$T$67="Moderado"),CONCATENATE("R",'Mapa final'!$A$67),"")</f>
        <v/>
      </c>
      <c r="W20" s="367"/>
      <c r="X20" s="367" t="str">
        <f>IF(AND('Mapa final'!$P$569="Alta",'Mapa final'!$T$569="Moderado"),CONCATENATE("R",'Mapa final'!$A$569),"")</f>
        <v/>
      </c>
      <c r="Y20" s="367"/>
      <c r="Z20" s="367" t="str">
        <f>IF(AND('Mapa final'!$P$575="Alta",'Mapa final'!$T$575="Moderado"),CONCATENATE("R",'Mapa final'!$A$575),"")</f>
        <v/>
      </c>
      <c r="AA20" s="368"/>
      <c r="AB20" s="366" t="str">
        <f ca="1">IF(AND('Mapa final'!$P$67="Alta",'Mapa final'!$T$67="Mayor"),CONCATENATE("R",'Mapa final'!$A$67),"")</f>
        <v/>
      </c>
      <c r="AC20" s="367"/>
      <c r="AD20" s="367" t="str">
        <f>IF(AND('Mapa final'!$P$569="Alta",'Mapa final'!$T$569="Mayor"),CONCATENATE("R",'Mapa final'!$A$569),"")</f>
        <v/>
      </c>
      <c r="AE20" s="367"/>
      <c r="AF20" s="367" t="str">
        <f>IF(AND('Mapa final'!$P$575="Alta",'Mapa final'!$T$575="Mayor"),CONCATENATE("R",'Mapa final'!$A$575),"")</f>
        <v/>
      </c>
      <c r="AG20" s="368"/>
      <c r="AH20" s="377" t="str">
        <f ca="1">IF(AND('Mapa final'!$P$67="Alta",'Mapa final'!$T$67="Catastrófico"),CONCATENATE("R",'Mapa final'!$A$67),"")</f>
        <v/>
      </c>
      <c r="AI20" s="375"/>
      <c r="AJ20" s="375" t="str">
        <f>IF(AND('Mapa final'!$P$569="Alta",'Mapa final'!$T$569="Catastrófico"),CONCATENATE("R",'Mapa final'!$A$569),"")</f>
        <v/>
      </c>
      <c r="AK20" s="375"/>
      <c r="AL20" s="375" t="str">
        <f>IF(AND('Mapa final'!$P$575="Alta",'Mapa final'!$T$575="Catastrófico"),CONCATENATE("R",'Mapa final'!$A$575),"")</f>
        <v/>
      </c>
      <c r="AM20" s="376"/>
      <c r="AN20" s="69"/>
      <c r="AO20" s="407"/>
      <c r="AP20" s="408"/>
      <c r="AQ20" s="408"/>
      <c r="AR20" s="408"/>
      <c r="AS20" s="408"/>
      <c r="AT20" s="409"/>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c r="BY20" s="69"/>
      <c r="BZ20" s="69"/>
      <c r="CA20" s="69"/>
      <c r="CB20" s="69"/>
    </row>
    <row r="21" spans="1:80" ht="15.75" customHeight="1" thickBot="1" x14ac:dyDescent="0.3">
      <c r="A21" s="69"/>
      <c r="B21" s="431"/>
      <c r="C21" s="431"/>
      <c r="D21" s="432"/>
      <c r="E21" s="391"/>
      <c r="F21" s="392"/>
      <c r="G21" s="392"/>
      <c r="H21" s="392"/>
      <c r="I21" s="392"/>
      <c r="J21" s="360"/>
      <c r="K21" s="361"/>
      <c r="L21" s="361"/>
      <c r="M21" s="361"/>
      <c r="N21" s="361"/>
      <c r="O21" s="362"/>
      <c r="P21" s="360"/>
      <c r="Q21" s="361"/>
      <c r="R21" s="361"/>
      <c r="S21" s="361"/>
      <c r="T21" s="361"/>
      <c r="U21" s="362"/>
      <c r="V21" s="369"/>
      <c r="W21" s="370"/>
      <c r="X21" s="370"/>
      <c r="Y21" s="370"/>
      <c r="Z21" s="370"/>
      <c r="AA21" s="371"/>
      <c r="AB21" s="369"/>
      <c r="AC21" s="370"/>
      <c r="AD21" s="370"/>
      <c r="AE21" s="370"/>
      <c r="AF21" s="370"/>
      <c r="AG21" s="371"/>
      <c r="AH21" s="378"/>
      <c r="AI21" s="379"/>
      <c r="AJ21" s="379"/>
      <c r="AK21" s="379"/>
      <c r="AL21" s="379"/>
      <c r="AM21" s="380"/>
      <c r="AN21" s="69"/>
      <c r="AO21" s="410"/>
      <c r="AP21" s="411"/>
      <c r="AQ21" s="411"/>
      <c r="AR21" s="411"/>
      <c r="AS21" s="411"/>
      <c r="AT21" s="412"/>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row>
    <row r="22" spans="1:80" x14ac:dyDescent="0.25">
      <c r="A22" s="69"/>
      <c r="B22" s="431"/>
      <c r="C22" s="431"/>
      <c r="D22" s="432"/>
      <c r="E22" s="385" t="s">
        <v>136</v>
      </c>
      <c r="F22" s="386"/>
      <c r="G22" s="386"/>
      <c r="H22" s="386"/>
      <c r="I22" s="387"/>
      <c r="J22" s="363" t="str">
        <f ca="1">IF(AND('Mapa final'!$P$13="Media",'Mapa final'!$T$13="Leve"),CONCATENATE("R",'Mapa final'!$A$13),"")</f>
        <v/>
      </c>
      <c r="K22" s="364"/>
      <c r="L22" s="364" t="str">
        <f ca="1">IF(AND('Mapa final'!$P$19="Media",'Mapa final'!$T$19="Leve"),CONCATENATE("R",'Mapa final'!$A$19),"")</f>
        <v/>
      </c>
      <c r="M22" s="364"/>
      <c r="N22" s="364" t="str">
        <f ca="1">IF(AND('Mapa final'!$P$25="Media",'Mapa final'!$T$25="Leve"),CONCATENATE("R",'Mapa final'!$A$25),"")</f>
        <v/>
      </c>
      <c r="O22" s="365"/>
      <c r="P22" s="363" t="str">
        <f ca="1">IF(AND('Mapa final'!$P$13="Media",'Mapa final'!$T$13="Menor"),CONCATENATE("R",'Mapa final'!$A$13),"")</f>
        <v/>
      </c>
      <c r="Q22" s="364"/>
      <c r="R22" s="364" t="str">
        <f ca="1">IF(AND('Mapa final'!$P$19="Media",'Mapa final'!$T$19="Menor"),CONCATENATE("R",'Mapa final'!$A$19),"")</f>
        <v/>
      </c>
      <c r="S22" s="364"/>
      <c r="T22" s="364" t="str">
        <f ca="1">IF(AND('Mapa final'!$P$25="Media",'Mapa final'!$T$25="Menor"),CONCATENATE("R",'Mapa final'!$A$25),"")</f>
        <v/>
      </c>
      <c r="U22" s="365"/>
      <c r="V22" s="363" t="str">
        <f ca="1">IF(AND('Mapa final'!$P$13="Media",'Mapa final'!$T$13="Moderado"),CONCATENATE("R",'Mapa final'!$A$13),"")</f>
        <v/>
      </c>
      <c r="W22" s="364"/>
      <c r="X22" s="364" t="str">
        <f ca="1">IF(AND('Mapa final'!$P$19="Media",'Mapa final'!$T$19="Moderado"),CONCATENATE("R",'Mapa final'!$A$19),"")</f>
        <v>R2</v>
      </c>
      <c r="Y22" s="364"/>
      <c r="Z22" s="364" t="str">
        <f ca="1">IF(AND('Mapa final'!$P$25="Media",'Mapa final'!$T$25="Moderado"),CONCATENATE("R",'Mapa final'!$A$25),"")</f>
        <v/>
      </c>
      <c r="AA22" s="365"/>
      <c r="AB22" s="372" t="str">
        <f ca="1">IF(AND('Mapa final'!$P$13="Media",'Mapa final'!$T$13="Mayor"),CONCATENATE("R",'Mapa final'!$A$13),"")</f>
        <v/>
      </c>
      <c r="AC22" s="373"/>
      <c r="AD22" s="373" t="str">
        <f ca="1">IF(AND('Mapa final'!$P$19="Media",'Mapa final'!$T$19="Mayor"),CONCATENATE("R",'Mapa final'!$A$19),"")</f>
        <v/>
      </c>
      <c r="AE22" s="373"/>
      <c r="AF22" s="373" t="str">
        <f ca="1">IF(AND('Mapa final'!$P$25="Media",'Mapa final'!$T$25="Mayor"),CONCATENATE("R",'Mapa final'!$A$25),"")</f>
        <v/>
      </c>
      <c r="AG22" s="374"/>
      <c r="AH22" s="381" t="str">
        <f ca="1">IF(AND('Mapa final'!$P$13="Media",'Mapa final'!$T$13="Catastrófico"),CONCATENATE("R",'Mapa final'!$A$13),"")</f>
        <v/>
      </c>
      <c r="AI22" s="382"/>
      <c r="AJ22" s="382" t="str">
        <f ca="1">IF(AND('Mapa final'!$P$19="Media",'Mapa final'!$T$19="Catastrófico"),CONCATENATE("R",'Mapa final'!$A$19),"")</f>
        <v/>
      </c>
      <c r="AK22" s="382"/>
      <c r="AL22" s="382" t="str">
        <f ca="1">IF(AND('Mapa final'!$P$25="Media",'Mapa final'!$T$25="Catastrófico"),CONCATENATE("R",'Mapa final'!$A$25),"")</f>
        <v/>
      </c>
      <c r="AM22" s="383"/>
      <c r="AN22" s="69"/>
      <c r="AO22" s="413" t="s">
        <v>137</v>
      </c>
      <c r="AP22" s="414"/>
      <c r="AQ22" s="414"/>
      <c r="AR22" s="414"/>
      <c r="AS22" s="414"/>
      <c r="AT22" s="415"/>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row>
    <row r="23" spans="1:80" x14ac:dyDescent="0.25">
      <c r="A23" s="69"/>
      <c r="B23" s="431"/>
      <c r="C23" s="431"/>
      <c r="D23" s="432"/>
      <c r="E23" s="388"/>
      <c r="F23" s="389"/>
      <c r="G23" s="389"/>
      <c r="H23" s="389"/>
      <c r="I23" s="390"/>
      <c r="J23" s="357"/>
      <c r="K23" s="358"/>
      <c r="L23" s="358"/>
      <c r="M23" s="358"/>
      <c r="N23" s="358"/>
      <c r="O23" s="359"/>
      <c r="P23" s="357"/>
      <c r="Q23" s="358"/>
      <c r="R23" s="358"/>
      <c r="S23" s="358"/>
      <c r="T23" s="358"/>
      <c r="U23" s="359"/>
      <c r="V23" s="357"/>
      <c r="W23" s="358"/>
      <c r="X23" s="358"/>
      <c r="Y23" s="358"/>
      <c r="Z23" s="358"/>
      <c r="AA23" s="359"/>
      <c r="AB23" s="366"/>
      <c r="AC23" s="367"/>
      <c r="AD23" s="367"/>
      <c r="AE23" s="367"/>
      <c r="AF23" s="367"/>
      <c r="AG23" s="368"/>
      <c r="AH23" s="377"/>
      <c r="AI23" s="375"/>
      <c r="AJ23" s="375"/>
      <c r="AK23" s="375"/>
      <c r="AL23" s="375"/>
      <c r="AM23" s="376"/>
      <c r="AN23" s="69"/>
      <c r="AO23" s="416"/>
      <c r="AP23" s="417"/>
      <c r="AQ23" s="417"/>
      <c r="AR23" s="417"/>
      <c r="AS23" s="417"/>
      <c r="AT23" s="418"/>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c r="BY23" s="69"/>
      <c r="BZ23" s="69"/>
      <c r="CA23" s="69"/>
      <c r="CB23" s="69"/>
    </row>
    <row r="24" spans="1:80" x14ac:dyDescent="0.25">
      <c r="A24" s="69"/>
      <c r="B24" s="431"/>
      <c r="C24" s="431"/>
      <c r="D24" s="432"/>
      <c r="E24" s="388"/>
      <c r="F24" s="389"/>
      <c r="G24" s="389"/>
      <c r="H24" s="389"/>
      <c r="I24" s="390"/>
      <c r="J24" s="357" t="str">
        <f ca="1">IF(AND('Mapa final'!$P$31="Media",'Mapa final'!$T$31="Leve"),CONCATENATE("R",'Mapa final'!$A$31),"")</f>
        <v/>
      </c>
      <c r="K24" s="358"/>
      <c r="L24" s="358" t="str">
        <f ca="1">IF(AND('Mapa final'!$P$37="Media",'Mapa final'!$T$37="Leve"),CONCATENATE("R",'Mapa final'!$A$37),"")</f>
        <v/>
      </c>
      <c r="M24" s="358"/>
      <c r="N24" s="358" t="str">
        <f ca="1">IF(AND('Mapa final'!$P$43="Media",'Mapa final'!$T$43="Leve"),CONCATENATE("R",'Mapa final'!$A$43),"")</f>
        <v/>
      </c>
      <c r="O24" s="359"/>
      <c r="P24" s="357" t="str">
        <f ca="1">IF(AND('Mapa final'!$P$31="Media",'Mapa final'!$T$31="Menor"),CONCATENATE("R",'Mapa final'!$A$31),"")</f>
        <v/>
      </c>
      <c r="Q24" s="358"/>
      <c r="R24" s="358" t="str">
        <f ca="1">IF(AND('Mapa final'!$P$37="Media",'Mapa final'!$T$37="Menor"),CONCATENATE("R",'Mapa final'!$A$37),"")</f>
        <v/>
      </c>
      <c r="S24" s="358"/>
      <c r="T24" s="358" t="str">
        <f ca="1">IF(AND('Mapa final'!$P$43="Media",'Mapa final'!$T$43="Menor"),CONCATENATE("R",'Mapa final'!$A$43),"")</f>
        <v/>
      </c>
      <c r="U24" s="359"/>
      <c r="V24" s="357" t="str">
        <f ca="1">IF(AND('Mapa final'!$P$31="Media",'Mapa final'!$T$31="Moderado"),CONCATENATE("R",'Mapa final'!$A$31),"")</f>
        <v/>
      </c>
      <c r="W24" s="358"/>
      <c r="X24" s="358" t="str">
        <f ca="1">IF(AND('Mapa final'!$P$37="Media",'Mapa final'!$T$37="Moderado"),CONCATENATE("R",'Mapa final'!$A$37),"")</f>
        <v/>
      </c>
      <c r="Y24" s="358"/>
      <c r="Z24" s="358" t="str">
        <f ca="1">IF(AND('Mapa final'!$P$43="Media",'Mapa final'!$T$43="Moderado"),CONCATENATE("R",'Mapa final'!$A$43),"")</f>
        <v>R6</v>
      </c>
      <c r="AA24" s="359"/>
      <c r="AB24" s="366" t="str">
        <f ca="1">IF(AND('Mapa final'!$P$31="Media",'Mapa final'!$T$31="Mayor"),CONCATENATE("R",'Mapa final'!$A$31),"")</f>
        <v/>
      </c>
      <c r="AC24" s="367"/>
      <c r="AD24" s="367" t="str">
        <f ca="1">IF(AND('Mapa final'!$P$37="Media",'Mapa final'!$T$37="Mayor"),CONCATENATE("R",'Mapa final'!$A$37),"")</f>
        <v/>
      </c>
      <c r="AE24" s="367"/>
      <c r="AF24" s="367" t="str">
        <f ca="1">IF(AND('Mapa final'!$P$43="Media",'Mapa final'!$T$43="Mayor"),CONCATENATE("R",'Mapa final'!$A$43),"")</f>
        <v/>
      </c>
      <c r="AG24" s="368"/>
      <c r="AH24" s="377" t="str">
        <f ca="1">IF(AND('Mapa final'!$P$31="Media",'Mapa final'!$T$31="Catastrófico"),CONCATENATE("R",'Mapa final'!$A$31),"")</f>
        <v/>
      </c>
      <c r="AI24" s="375"/>
      <c r="AJ24" s="375" t="str">
        <f ca="1">IF(AND('Mapa final'!$P$37="Media",'Mapa final'!$T$37="Catastrófico"),CONCATENATE("R",'Mapa final'!$A$37),"")</f>
        <v/>
      </c>
      <c r="AK24" s="375"/>
      <c r="AL24" s="375" t="str">
        <f ca="1">IF(AND('Mapa final'!$P$43="Media",'Mapa final'!$T$43="Catastrófico"),CONCATENATE("R",'Mapa final'!$A$43),"")</f>
        <v/>
      </c>
      <c r="AM24" s="376"/>
      <c r="AN24" s="69"/>
      <c r="AO24" s="416"/>
      <c r="AP24" s="417"/>
      <c r="AQ24" s="417"/>
      <c r="AR24" s="417"/>
      <c r="AS24" s="417"/>
      <c r="AT24" s="418"/>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row>
    <row r="25" spans="1:80" x14ac:dyDescent="0.25">
      <c r="A25" s="69"/>
      <c r="B25" s="431"/>
      <c r="C25" s="431"/>
      <c r="D25" s="432"/>
      <c r="E25" s="388"/>
      <c r="F25" s="389"/>
      <c r="G25" s="389"/>
      <c r="H25" s="389"/>
      <c r="I25" s="390"/>
      <c r="J25" s="357"/>
      <c r="K25" s="358"/>
      <c r="L25" s="358"/>
      <c r="M25" s="358"/>
      <c r="N25" s="358"/>
      <c r="O25" s="359"/>
      <c r="P25" s="357"/>
      <c r="Q25" s="358"/>
      <c r="R25" s="358"/>
      <c r="S25" s="358"/>
      <c r="T25" s="358"/>
      <c r="U25" s="359"/>
      <c r="V25" s="357"/>
      <c r="W25" s="358"/>
      <c r="X25" s="358"/>
      <c r="Y25" s="358"/>
      <c r="Z25" s="358"/>
      <c r="AA25" s="359"/>
      <c r="AB25" s="366"/>
      <c r="AC25" s="367"/>
      <c r="AD25" s="367"/>
      <c r="AE25" s="367"/>
      <c r="AF25" s="367"/>
      <c r="AG25" s="368"/>
      <c r="AH25" s="377"/>
      <c r="AI25" s="375"/>
      <c r="AJ25" s="375"/>
      <c r="AK25" s="375"/>
      <c r="AL25" s="375"/>
      <c r="AM25" s="376"/>
      <c r="AN25" s="69"/>
      <c r="AO25" s="416"/>
      <c r="AP25" s="417"/>
      <c r="AQ25" s="417"/>
      <c r="AR25" s="417"/>
      <c r="AS25" s="417"/>
      <c r="AT25" s="418"/>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row>
    <row r="26" spans="1:80" x14ac:dyDescent="0.25">
      <c r="A26" s="69"/>
      <c r="B26" s="431"/>
      <c r="C26" s="431"/>
      <c r="D26" s="432"/>
      <c r="E26" s="388"/>
      <c r="F26" s="389"/>
      <c r="G26" s="389"/>
      <c r="H26" s="389"/>
      <c r="I26" s="390"/>
      <c r="J26" s="357" t="str">
        <f ca="1">IF(AND('Mapa final'!$P$49="Media",'Mapa final'!$T$49="Leve"),CONCATENATE("R",'Mapa final'!$B$49),"")</f>
        <v/>
      </c>
      <c r="K26" s="358"/>
      <c r="L26" s="358" t="str">
        <f ca="1">IF(AND('Mapa final'!$P$55="Media",'Mapa final'!$T$55="Leve"),CONCATENATE("R",'Mapa final'!$A$55),"")</f>
        <v/>
      </c>
      <c r="M26" s="358"/>
      <c r="N26" s="358" t="str">
        <f ca="1">IF(AND('Mapa final'!$P$61="Media",'Mapa final'!$T$61="Leve"),CONCATENATE("R",'Mapa final'!$A$61),"")</f>
        <v/>
      </c>
      <c r="O26" s="359"/>
      <c r="P26" s="357" t="str">
        <f ca="1">IF(AND('Mapa final'!$P$49="Media",'Mapa final'!$T$49="Menor"),CONCATENATE("R",'Mapa final'!$B$49),"")</f>
        <v/>
      </c>
      <c r="Q26" s="358"/>
      <c r="R26" s="358" t="str">
        <f ca="1">IF(AND('Mapa final'!$P$55="Media",'Mapa final'!$T$55="Menor"),CONCATENATE("R",'Mapa final'!$A$55),"")</f>
        <v/>
      </c>
      <c r="S26" s="358"/>
      <c r="T26" s="358" t="str">
        <f ca="1">IF(AND('Mapa final'!$P$61="Media",'Mapa final'!$T$61="Menor"),CONCATENATE("R",'Mapa final'!$A$61),"")</f>
        <v/>
      </c>
      <c r="U26" s="359"/>
      <c r="V26" s="357" t="str">
        <f ca="1">IF(AND('Mapa final'!$P$49="Media",'Mapa final'!$T$49="Moderado"),CONCATENATE("R",'Mapa final'!$B$49),"")</f>
        <v>ROAP_05</v>
      </c>
      <c r="W26" s="358"/>
      <c r="X26" s="358" t="str">
        <f ca="1">IF(AND('Mapa final'!$P$55="Media",'Mapa final'!$T$55="Moderado"),CONCATENATE("R",'Mapa final'!$A$55),"")</f>
        <v/>
      </c>
      <c r="Y26" s="358"/>
      <c r="Z26" s="358" t="str">
        <f ca="1">IF(AND('Mapa final'!$P$61="Media",'Mapa final'!$T$61="Moderado"),CONCATENATE("R",'Mapa final'!$A$61),"")</f>
        <v/>
      </c>
      <c r="AA26" s="359"/>
      <c r="AB26" s="366" t="str">
        <f ca="1">IF(AND('Mapa final'!$P$49="Media",'Mapa final'!$T$49="Mayor"),CONCATENATE("R",'Mapa final'!$B$49),"")</f>
        <v/>
      </c>
      <c r="AC26" s="367"/>
      <c r="AD26" s="367" t="str">
        <f ca="1">IF(AND('Mapa final'!$P$55="Media",'Mapa final'!$T$55="Mayor"),CONCATENATE("R",'Mapa final'!$A$55),"")</f>
        <v/>
      </c>
      <c r="AE26" s="367"/>
      <c r="AF26" s="367" t="str">
        <f ca="1">IF(AND('Mapa final'!$P$61="Media",'Mapa final'!$T$61="Mayor"),CONCATENATE("R",'Mapa final'!$A$61),"")</f>
        <v/>
      </c>
      <c r="AG26" s="368"/>
      <c r="AH26" s="377" t="str">
        <f ca="1">IF(AND('Mapa final'!$P$49="Media",'Mapa final'!$T$49="Catastrófico"),CONCATENATE("R",'Mapa final'!$B$49),"")</f>
        <v/>
      </c>
      <c r="AI26" s="375"/>
      <c r="AJ26" s="375" t="str">
        <f ca="1">IF(AND('Mapa final'!$P$55="Media",'Mapa final'!$T$55="Catastrófico"),CONCATENATE("R",'Mapa final'!$A$55),"")</f>
        <v/>
      </c>
      <c r="AK26" s="375"/>
      <c r="AL26" s="375" t="str">
        <f ca="1">IF(AND('Mapa final'!$P$61="Media",'Mapa final'!$T$61="Catastrófico"),CONCATENATE("R",'Mapa final'!$A$61),"")</f>
        <v>R9</v>
      </c>
      <c r="AM26" s="376"/>
      <c r="AN26" s="69"/>
      <c r="AO26" s="416"/>
      <c r="AP26" s="417"/>
      <c r="AQ26" s="417"/>
      <c r="AR26" s="417"/>
      <c r="AS26" s="417"/>
      <c r="AT26" s="418"/>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row>
    <row r="27" spans="1:80" x14ac:dyDescent="0.25">
      <c r="A27" s="69"/>
      <c r="B27" s="431"/>
      <c r="C27" s="431"/>
      <c r="D27" s="432"/>
      <c r="E27" s="388"/>
      <c r="F27" s="389"/>
      <c r="G27" s="389"/>
      <c r="H27" s="389"/>
      <c r="I27" s="390"/>
      <c r="J27" s="357"/>
      <c r="K27" s="358"/>
      <c r="L27" s="358"/>
      <c r="M27" s="358"/>
      <c r="N27" s="358"/>
      <c r="O27" s="359"/>
      <c r="P27" s="357"/>
      <c r="Q27" s="358"/>
      <c r="R27" s="358"/>
      <c r="S27" s="358"/>
      <c r="T27" s="358"/>
      <c r="U27" s="359"/>
      <c r="V27" s="357"/>
      <c r="W27" s="358"/>
      <c r="X27" s="358"/>
      <c r="Y27" s="358"/>
      <c r="Z27" s="358"/>
      <c r="AA27" s="359"/>
      <c r="AB27" s="366"/>
      <c r="AC27" s="367"/>
      <c r="AD27" s="367"/>
      <c r="AE27" s="367"/>
      <c r="AF27" s="367"/>
      <c r="AG27" s="368"/>
      <c r="AH27" s="377"/>
      <c r="AI27" s="375"/>
      <c r="AJ27" s="375"/>
      <c r="AK27" s="375"/>
      <c r="AL27" s="375"/>
      <c r="AM27" s="376"/>
      <c r="AN27" s="69"/>
      <c r="AO27" s="416"/>
      <c r="AP27" s="417"/>
      <c r="AQ27" s="417"/>
      <c r="AR27" s="417"/>
      <c r="AS27" s="417"/>
      <c r="AT27" s="418"/>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c r="BY27" s="69"/>
      <c r="BZ27" s="69"/>
      <c r="CA27" s="69"/>
      <c r="CB27" s="69"/>
    </row>
    <row r="28" spans="1:80" x14ac:dyDescent="0.25">
      <c r="A28" s="69"/>
      <c r="B28" s="431"/>
      <c r="C28" s="431"/>
      <c r="D28" s="432"/>
      <c r="E28" s="388"/>
      <c r="F28" s="389"/>
      <c r="G28" s="389"/>
      <c r="H28" s="389"/>
      <c r="I28" s="390"/>
      <c r="J28" s="357" t="str">
        <f ca="1">IF(AND('Mapa final'!$P$67="Media",'Mapa final'!$T$67="Leve"),CONCATENATE("R",'Mapa final'!$A$67),"")</f>
        <v/>
      </c>
      <c r="K28" s="358"/>
      <c r="L28" s="358" t="str">
        <f>IF(AND('Mapa final'!$P$569="Media",'Mapa final'!$T$569="Leve"),CONCATENATE("R",'Mapa final'!$A$569),"")</f>
        <v/>
      </c>
      <c r="M28" s="358"/>
      <c r="N28" s="358" t="str">
        <f>IF(AND('Mapa final'!$P$575="Media",'Mapa final'!$T$575="Leve"),CONCATENATE("R",'Mapa final'!$A$575),"")</f>
        <v/>
      </c>
      <c r="O28" s="359"/>
      <c r="P28" s="357" t="str">
        <f ca="1">IF(AND('Mapa final'!$P$67="Media",'Mapa final'!$T$67="Menor"),CONCATENATE("R",'Mapa final'!$A$67),"")</f>
        <v/>
      </c>
      <c r="Q28" s="358"/>
      <c r="R28" s="358" t="str">
        <f>IF(AND('Mapa final'!$P$569="Media",'Mapa final'!$T$569="Menor"),CONCATENATE("R",'Mapa final'!$A$569),"")</f>
        <v/>
      </c>
      <c r="S28" s="358"/>
      <c r="T28" s="358" t="str">
        <f>IF(AND('Mapa final'!$P$575="Media",'Mapa final'!$T$575="Menor"),CONCATENATE("R",'Mapa final'!$A$575),"")</f>
        <v/>
      </c>
      <c r="U28" s="359"/>
      <c r="V28" s="357" t="str">
        <f ca="1">IF(AND('Mapa final'!$P$67="Media",'Mapa final'!$T$67="Moderado"),CONCATENATE("R",'Mapa final'!$A$67),"")</f>
        <v/>
      </c>
      <c r="W28" s="358"/>
      <c r="X28" s="358" t="str">
        <f>IF(AND('Mapa final'!$P$569="Media",'Mapa final'!$T$569="Moderado"),CONCATENATE("R",'Mapa final'!$A$569),"")</f>
        <v/>
      </c>
      <c r="Y28" s="358"/>
      <c r="Z28" s="358" t="str">
        <f>IF(AND('Mapa final'!$P$575="Media",'Mapa final'!$T$575="Moderado"),CONCATENATE("R",'Mapa final'!$A$575),"")</f>
        <v/>
      </c>
      <c r="AA28" s="359"/>
      <c r="AB28" s="366" t="str">
        <f ca="1">IF(AND('Mapa final'!$P$67="Media",'Mapa final'!$T$67="Mayor"),CONCATENATE("R",'Mapa final'!$A$67),"")</f>
        <v/>
      </c>
      <c r="AC28" s="367"/>
      <c r="AD28" s="367" t="str">
        <f>IF(AND('Mapa final'!$P$569="Media",'Mapa final'!$T$569="Mayor"),CONCATENATE("R",'Mapa final'!$A$569),"")</f>
        <v/>
      </c>
      <c r="AE28" s="367"/>
      <c r="AF28" s="367" t="str">
        <f>IF(AND('Mapa final'!$P$575="Media",'Mapa final'!$T$575="Mayor"),CONCATENATE("R",'Mapa final'!$A$575),"")</f>
        <v/>
      </c>
      <c r="AG28" s="368"/>
      <c r="AH28" s="377" t="str">
        <f ca="1">IF(AND('Mapa final'!$P$67="Media",'Mapa final'!$T$67="Catastrófico"),CONCATENATE("R",'Mapa final'!$A$67),"")</f>
        <v/>
      </c>
      <c r="AI28" s="375"/>
      <c r="AJ28" s="375" t="str">
        <f>IF(AND('Mapa final'!$P$569="Media",'Mapa final'!$T$569="Catastrófico"),CONCATENATE("R",'Mapa final'!$A$569),"")</f>
        <v/>
      </c>
      <c r="AK28" s="375"/>
      <c r="AL28" s="375" t="str">
        <f>IF(AND('Mapa final'!$P$575="Media",'Mapa final'!$T$575="Catastrófico"),CONCATENATE("R",'Mapa final'!$A$575),"")</f>
        <v/>
      </c>
      <c r="AM28" s="376"/>
      <c r="AN28" s="69"/>
      <c r="AO28" s="416"/>
      <c r="AP28" s="417"/>
      <c r="AQ28" s="417"/>
      <c r="AR28" s="417"/>
      <c r="AS28" s="417"/>
      <c r="AT28" s="418"/>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c r="BY28" s="69"/>
      <c r="BZ28" s="69"/>
      <c r="CA28" s="69"/>
      <c r="CB28" s="69"/>
    </row>
    <row r="29" spans="1:80" ht="15.75" thickBot="1" x14ac:dyDescent="0.3">
      <c r="A29" s="69"/>
      <c r="B29" s="431"/>
      <c r="C29" s="431"/>
      <c r="D29" s="432"/>
      <c r="E29" s="391"/>
      <c r="F29" s="392"/>
      <c r="G29" s="392"/>
      <c r="H29" s="392"/>
      <c r="I29" s="393"/>
      <c r="J29" s="357"/>
      <c r="K29" s="358"/>
      <c r="L29" s="358"/>
      <c r="M29" s="358"/>
      <c r="N29" s="358"/>
      <c r="O29" s="359"/>
      <c r="P29" s="360"/>
      <c r="Q29" s="361"/>
      <c r="R29" s="361"/>
      <c r="S29" s="361"/>
      <c r="T29" s="361"/>
      <c r="U29" s="362"/>
      <c r="V29" s="360"/>
      <c r="W29" s="361"/>
      <c r="X29" s="361"/>
      <c r="Y29" s="361"/>
      <c r="Z29" s="361"/>
      <c r="AA29" s="362"/>
      <c r="AB29" s="369"/>
      <c r="AC29" s="370"/>
      <c r="AD29" s="370"/>
      <c r="AE29" s="370"/>
      <c r="AF29" s="370"/>
      <c r="AG29" s="371"/>
      <c r="AH29" s="378"/>
      <c r="AI29" s="379"/>
      <c r="AJ29" s="379"/>
      <c r="AK29" s="379"/>
      <c r="AL29" s="379"/>
      <c r="AM29" s="380"/>
      <c r="AN29" s="69"/>
      <c r="AO29" s="419"/>
      <c r="AP29" s="420"/>
      <c r="AQ29" s="420"/>
      <c r="AR29" s="420"/>
      <c r="AS29" s="420"/>
      <c r="AT29" s="421"/>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c r="BY29" s="69"/>
      <c r="BZ29" s="69"/>
      <c r="CA29" s="69"/>
      <c r="CB29" s="69"/>
    </row>
    <row r="30" spans="1:80" x14ac:dyDescent="0.25">
      <c r="A30" s="69"/>
      <c r="B30" s="431"/>
      <c r="C30" s="431"/>
      <c r="D30" s="432"/>
      <c r="E30" s="385" t="s">
        <v>138</v>
      </c>
      <c r="F30" s="386"/>
      <c r="G30" s="386"/>
      <c r="H30" s="386"/>
      <c r="I30" s="386"/>
      <c r="J30" s="354" t="str">
        <f ca="1">IF(AND('Mapa final'!$P$13="Baja",'Mapa final'!$T$13="Leve"),CONCATENATE("R",'Mapa final'!$A$13),"")</f>
        <v/>
      </c>
      <c r="K30" s="355"/>
      <c r="L30" s="355" t="str">
        <f ca="1">IF(AND('Mapa final'!$P$19="Baja",'Mapa final'!$T$19="Leve"),CONCATENATE("R",'Mapa final'!$A$19),"")</f>
        <v/>
      </c>
      <c r="M30" s="355"/>
      <c r="N30" s="355" t="str">
        <f ca="1">IF(AND('Mapa final'!$P$25="Baja",'Mapa final'!$T$25="Leve"),CONCATENATE("R",'Mapa final'!$A$25),"")</f>
        <v/>
      </c>
      <c r="O30" s="356"/>
      <c r="P30" s="364" t="str">
        <f ca="1">IF(AND('Mapa final'!$P$13="Baja",'Mapa final'!$T$13="Menor"),CONCATENATE("R",'Mapa final'!$A$13),"")</f>
        <v/>
      </c>
      <c r="Q30" s="364"/>
      <c r="R30" s="364" t="str">
        <f ca="1">IF(AND('Mapa final'!$P$19="Baja",'Mapa final'!$T$19="Menor"),CONCATENATE("R",'Mapa final'!$A$19),"")</f>
        <v/>
      </c>
      <c r="S30" s="364"/>
      <c r="T30" s="364" t="str">
        <f ca="1">IF(AND('Mapa final'!$P$25="Baja",'Mapa final'!$T$25="Menor"),CONCATENATE("R",'Mapa final'!$A$25),"")</f>
        <v/>
      </c>
      <c r="U30" s="365"/>
      <c r="V30" s="363" t="str">
        <f ca="1">IF(AND('Mapa final'!$P$13="Baja",'Mapa final'!$T$13="Moderado"),CONCATENATE("R",'Mapa final'!$A$13),"")</f>
        <v/>
      </c>
      <c r="W30" s="364"/>
      <c r="X30" s="364" t="str">
        <f ca="1">IF(AND('Mapa final'!$P$19="Baja",'Mapa final'!$T$19="Moderado"),CONCATENATE("R",'Mapa final'!$A$19),"")</f>
        <v/>
      </c>
      <c r="Y30" s="364"/>
      <c r="Z30" s="364" t="str">
        <f ca="1">IF(AND('Mapa final'!$P$25="Baja",'Mapa final'!$T$25="Moderado"),CONCATENATE("R",'Mapa final'!$A$25),"")</f>
        <v/>
      </c>
      <c r="AA30" s="365"/>
      <c r="AB30" s="372" t="str">
        <f ca="1">IF(AND('Mapa final'!$P$13="Baja",'Mapa final'!$T$13="Mayor"),CONCATENATE("R",'Mapa final'!$A$13),"")</f>
        <v/>
      </c>
      <c r="AC30" s="373"/>
      <c r="AD30" s="373" t="str">
        <f ca="1">IF(AND('Mapa final'!$P$19="Baja",'Mapa final'!$T$19="Mayor"),CONCATENATE("R",'Mapa final'!$A$19),"")</f>
        <v/>
      </c>
      <c r="AE30" s="373"/>
      <c r="AF30" s="373" t="str">
        <f ca="1">IF(AND('Mapa final'!$P$25="Baja",'Mapa final'!$T$25="Mayor"),CONCATENATE("R",'Mapa final'!$A$25),"")</f>
        <v/>
      </c>
      <c r="AG30" s="374"/>
      <c r="AH30" s="381" t="str">
        <f ca="1">IF(AND('Mapa final'!$P$13="Baja",'Mapa final'!$T$13="Catastrófico"),CONCATENATE("R",'Mapa final'!$A$13),"")</f>
        <v/>
      </c>
      <c r="AI30" s="382"/>
      <c r="AJ30" s="382" t="str">
        <f ca="1">IF(AND('Mapa final'!$P$19="Baja",'Mapa final'!$T$19="Catastrófico"),CONCATENATE("R",'Mapa final'!$A$19),"")</f>
        <v/>
      </c>
      <c r="AK30" s="382"/>
      <c r="AL30" s="382" t="str">
        <f ca="1">IF(AND('Mapa final'!$P$25="Baja",'Mapa final'!$T$25="Catastrófico"),CONCATENATE("R",'Mapa final'!$A$25),"")</f>
        <v/>
      </c>
      <c r="AM30" s="383"/>
      <c r="AN30" s="69"/>
      <c r="AO30" s="422" t="s">
        <v>139</v>
      </c>
      <c r="AP30" s="423"/>
      <c r="AQ30" s="423"/>
      <c r="AR30" s="423"/>
      <c r="AS30" s="423"/>
      <c r="AT30" s="424"/>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row>
    <row r="31" spans="1:80" x14ac:dyDescent="0.25">
      <c r="A31" s="69"/>
      <c r="B31" s="431"/>
      <c r="C31" s="431"/>
      <c r="D31" s="432"/>
      <c r="E31" s="388"/>
      <c r="F31" s="389"/>
      <c r="G31" s="389"/>
      <c r="H31" s="389"/>
      <c r="I31" s="389"/>
      <c r="J31" s="348"/>
      <c r="K31" s="349"/>
      <c r="L31" s="349"/>
      <c r="M31" s="349"/>
      <c r="N31" s="349"/>
      <c r="O31" s="350"/>
      <c r="P31" s="358"/>
      <c r="Q31" s="358"/>
      <c r="R31" s="358"/>
      <c r="S31" s="358"/>
      <c r="T31" s="358"/>
      <c r="U31" s="359"/>
      <c r="V31" s="357"/>
      <c r="W31" s="358"/>
      <c r="X31" s="358"/>
      <c r="Y31" s="358"/>
      <c r="Z31" s="358"/>
      <c r="AA31" s="359"/>
      <c r="AB31" s="366"/>
      <c r="AC31" s="367"/>
      <c r="AD31" s="367"/>
      <c r="AE31" s="367"/>
      <c r="AF31" s="367"/>
      <c r="AG31" s="368"/>
      <c r="AH31" s="377"/>
      <c r="AI31" s="375"/>
      <c r="AJ31" s="375"/>
      <c r="AK31" s="375"/>
      <c r="AL31" s="375"/>
      <c r="AM31" s="376"/>
      <c r="AN31" s="69"/>
      <c r="AO31" s="425"/>
      <c r="AP31" s="426"/>
      <c r="AQ31" s="426"/>
      <c r="AR31" s="426"/>
      <c r="AS31" s="426"/>
      <c r="AT31" s="427"/>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c r="BY31" s="69"/>
      <c r="BZ31" s="69"/>
      <c r="CA31" s="69"/>
      <c r="CB31" s="69"/>
    </row>
    <row r="32" spans="1:80" x14ac:dyDescent="0.25">
      <c r="A32" s="69"/>
      <c r="B32" s="431"/>
      <c r="C32" s="431"/>
      <c r="D32" s="432"/>
      <c r="E32" s="388"/>
      <c r="F32" s="389"/>
      <c r="G32" s="389"/>
      <c r="H32" s="389"/>
      <c r="I32" s="389"/>
      <c r="J32" s="348" t="str">
        <f ca="1">IF(AND('Mapa final'!$P$31="Baja",'Mapa final'!$T$31="Leve"),CONCATENATE("R",'Mapa final'!$A$31),"")</f>
        <v/>
      </c>
      <c r="K32" s="349"/>
      <c r="L32" s="349" t="str">
        <f ca="1">IF(AND('Mapa final'!$P$37="Baja",'Mapa final'!$T$37="Leve"),CONCATENATE("R",'Mapa final'!$A$37),"")</f>
        <v/>
      </c>
      <c r="M32" s="349"/>
      <c r="N32" s="349" t="str">
        <f ca="1">IF(AND('Mapa final'!$P$43="Baja",'Mapa final'!$T$43="Leve"),CONCATENATE("R",'Mapa final'!$A$43),"")</f>
        <v/>
      </c>
      <c r="O32" s="350"/>
      <c r="P32" s="358" t="str">
        <f ca="1">IF(AND('Mapa final'!$P$31="Baja",'Mapa final'!$T$31="Menor"),CONCATENATE("R",'Mapa final'!$A$31),"")</f>
        <v/>
      </c>
      <c r="Q32" s="358"/>
      <c r="R32" s="358" t="str">
        <f ca="1">IF(AND('Mapa final'!$P$37="Baja",'Mapa final'!$T$37="Menor"),CONCATENATE("R",'Mapa final'!$A$37),"")</f>
        <v/>
      </c>
      <c r="S32" s="358"/>
      <c r="T32" s="358" t="str">
        <f ca="1">IF(AND('Mapa final'!$P$43="Baja",'Mapa final'!$T$43="Menor"),CONCATENATE("R",'Mapa final'!$A$43),"")</f>
        <v/>
      </c>
      <c r="U32" s="359"/>
      <c r="V32" s="357" t="str">
        <f ca="1">IF(AND('Mapa final'!$P$31="Baja",'Mapa final'!$T$31="Moderado"),CONCATENATE("R",'Mapa final'!$A$31),"")</f>
        <v>R4</v>
      </c>
      <c r="W32" s="358"/>
      <c r="X32" s="358" t="str">
        <f ca="1">IF(AND('Mapa final'!$P$37="Baja",'Mapa final'!$T$37="Moderado"),CONCATENATE("R",'Mapa final'!$A$37),"")</f>
        <v/>
      </c>
      <c r="Y32" s="358"/>
      <c r="Z32" s="358" t="str">
        <f ca="1">IF(AND('Mapa final'!$P$43="Baja",'Mapa final'!$T$43="Moderado"),CONCATENATE("R",'Mapa final'!$A$43),"")</f>
        <v/>
      </c>
      <c r="AA32" s="359"/>
      <c r="AB32" s="366" t="str">
        <f ca="1">IF(AND('Mapa final'!$P$31="Baja",'Mapa final'!$T$31="Mayor"),CONCATENATE("R",'Mapa final'!$A$31),"")</f>
        <v/>
      </c>
      <c r="AC32" s="367"/>
      <c r="AD32" s="367" t="str">
        <f ca="1">IF(AND('Mapa final'!$P$37="Baja",'Mapa final'!$T$37="Mayor"),CONCATENATE("R",'Mapa final'!$A$37),"")</f>
        <v/>
      </c>
      <c r="AE32" s="367"/>
      <c r="AF32" s="367" t="str">
        <f ca="1">IF(AND('Mapa final'!$P$43="Baja",'Mapa final'!$T$43="Mayor"),CONCATENATE("R",'Mapa final'!$A$43),"")</f>
        <v/>
      </c>
      <c r="AG32" s="368"/>
      <c r="AH32" s="377" t="str">
        <f ca="1">IF(AND('Mapa final'!$P$31="Baja",'Mapa final'!$T$31="Catastrófico"),CONCATENATE("R",'Mapa final'!$A$31),"")</f>
        <v/>
      </c>
      <c r="AI32" s="375"/>
      <c r="AJ32" s="375" t="str">
        <f ca="1">IF(AND('Mapa final'!$P$37="Baja",'Mapa final'!$T$37="Catastrófico"),CONCATENATE("R",'Mapa final'!$A$37),"")</f>
        <v/>
      </c>
      <c r="AK32" s="375"/>
      <c r="AL32" s="375" t="str">
        <f ca="1">IF(AND('Mapa final'!$P$43="Baja",'Mapa final'!$T$43="Catastrófico"),CONCATENATE("R",'Mapa final'!$A$43),"")</f>
        <v/>
      </c>
      <c r="AM32" s="376"/>
      <c r="AN32" s="69"/>
      <c r="AO32" s="425"/>
      <c r="AP32" s="426"/>
      <c r="AQ32" s="426"/>
      <c r="AR32" s="426"/>
      <c r="AS32" s="426"/>
      <c r="AT32" s="427"/>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row>
    <row r="33" spans="1:80" x14ac:dyDescent="0.25">
      <c r="A33" s="69"/>
      <c r="B33" s="431"/>
      <c r="C33" s="431"/>
      <c r="D33" s="432"/>
      <c r="E33" s="388"/>
      <c r="F33" s="389"/>
      <c r="G33" s="389"/>
      <c r="H33" s="389"/>
      <c r="I33" s="389"/>
      <c r="J33" s="348"/>
      <c r="K33" s="349"/>
      <c r="L33" s="349"/>
      <c r="M33" s="349"/>
      <c r="N33" s="349"/>
      <c r="O33" s="350"/>
      <c r="P33" s="358"/>
      <c r="Q33" s="358"/>
      <c r="R33" s="358"/>
      <c r="S33" s="358"/>
      <c r="T33" s="358"/>
      <c r="U33" s="359"/>
      <c r="V33" s="357"/>
      <c r="W33" s="358"/>
      <c r="X33" s="358"/>
      <c r="Y33" s="358"/>
      <c r="Z33" s="358"/>
      <c r="AA33" s="359"/>
      <c r="AB33" s="366"/>
      <c r="AC33" s="367"/>
      <c r="AD33" s="367"/>
      <c r="AE33" s="367"/>
      <c r="AF33" s="367"/>
      <c r="AG33" s="368"/>
      <c r="AH33" s="377"/>
      <c r="AI33" s="375"/>
      <c r="AJ33" s="375"/>
      <c r="AK33" s="375"/>
      <c r="AL33" s="375"/>
      <c r="AM33" s="376"/>
      <c r="AN33" s="69"/>
      <c r="AO33" s="425"/>
      <c r="AP33" s="426"/>
      <c r="AQ33" s="426"/>
      <c r="AR33" s="426"/>
      <c r="AS33" s="426"/>
      <c r="AT33" s="427"/>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c r="BY33" s="69"/>
      <c r="BZ33" s="69"/>
      <c r="CA33" s="69"/>
      <c r="CB33" s="69"/>
    </row>
    <row r="34" spans="1:80" x14ac:dyDescent="0.25">
      <c r="A34" s="69"/>
      <c r="B34" s="431"/>
      <c r="C34" s="431"/>
      <c r="D34" s="432"/>
      <c r="E34" s="388"/>
      <c r="F34" s="389"/>
      <c r="G34" s="389"/>
      <c r="H34" s="389"/>
      <c r="I34" s="389"/>
      <c r="J34" s="348" t="str">
        <f ca="1">IF(AND('Mapa final'!$P$49="Baja",'Mapa final'!$T$49="Leve"),CONCATENATE("R",'Mapa final'!$B$49),"")</f>
        <v/>
      </c>
      <c r="K34" s="349"/>
      <c r="L34" s="349" t="str">
        <f ca="1">IF(AND('Mapa final'!$P$55="Baja",'Mapa final'!$T$55="Leve"),CONCATENATE("R",'Mapa final'!$A$55),"")</f>
        <v/>
      </c>
      <c r="M34" s="349"/>
      <c r="N34" s="349" t="str">
        <f ca="1">IF(AND('Mapa final'!$P$61="Baja",'Mapa final'!$T$61="Leve"),CONCATENATE("R",'Mapa final'!$A$61),"")</f>
        <v/>
      </c>
      <c r="O34" s="350"/>
      <c r="P34" s="358" t="str">
        <f ca="1">IF(AND('Mapa final'!$P$49="Baja",'Mapa final'!$T$49="Menor"),CONCATENATE("R",'Mapa final'!$B$49),"")</f>
        <v/>
      </c>
      <c r="Q34" s="358"/>
      <c r="R34" s="358" t="str">
        <f ca="1">IF(AND('Mapa final'!$P$55="Baja",'Mapa final'!$T$55="Menor"),CONCATENATE("R",'Mapa final'!$A$55),"")</f>
        <v/>
      </c>
      <c r="S34" s="358"/>
      <c r="T34" s="358" t="str">
        <f ca="1">IF(AND('Mapa final'!$P$61="Baja",'Mapa final'!$T$61="Menor"),CONCATENATE("R",'Mapa final'!$A$61),"")</f>
        <v/>
      </c>
      <c r="U34" s="359"/>
      <c r="V34" s="357" t="str">
        <f ca="1">IF(AND('Mapa final'!$P$49="Baja",'Mapa final'!$T$49="Moderado"),CONCATENATE("R",'Mapa final'!$B$49),"")</f>
        <v/>
      </c>
      <c r="W34" s="358"/>
      <c r="X34" s="358" t="str">
        <f ca="1">IF(AND('Mapa final'!$P$55="Baja",'Mapa final'!$T$55="Moderado"),CONCATENATE("R",'Mapa final'!$A$55),"")</f>
        <v/>
      </c>
      <c r="Y34" s="358"/>
      <c r="Z34" s="358" t="str">
        <f ca="1">IF(AND('Mapa final'!$P$61="Baja",'Mapa final'!$T$61="Moderado"),CONCATENATE("R",'Mapa final'!$A$61),"")</f>
        <v/>
      </c>
      <c r="AA34" s="359"/>
      <c r="AB34" s="366" t="str">
        <f ca="1">IF(AND('Mapa final'!$P$49="Baja",'Mapa final'!$T$49="Mayor"),CONCATENATE("R",'Mapa final'!$B$49),"")</f>
        <v/>
      </c>
      <c r="AC34" s="367"/>
      <c r="AD34" s="367" t="str">
        <f ca="1">IF(AND('Mapa final'!$P$55="Baja",'Mapa final'!$T$55="Mayor"),CONCATENATE("R",'Mapa final'!$A$55),"")</f>
        <v/>
      </c>
      <c r="AE34" s="367"/>
      <c r="AF34" s="367" t="str">
        <f ca="1">IF(AND('Mapa final'!$P$61="Baja",'Mapa final'!$T$61="Mayor"),CONCATENATE("R",'Mapa final'!$A$61),"")</f>
        <v/>
      </c>
      <c r="AG34" s="368"/>
      <c r="AH34" s="377" t="str">
        <f ca="1">IF(AND('Mapa final'!$P$49="Baja",'Mapa final'!$T$49="Catastrófico"),CONCATENATE("R",'Mapa final'!$B$49),"")</f>
        <v/>
      </c>
      <c r="AI34" s="375"/>
      <c r="AJ34" s="375" t="str">
        <f ca="1">IF(AND('Mapa final'!$P$55="Baja",'Mapa final'!$T$55="Catastrófico"),CONCATENATE("R",'Mapa final'!$A$55),"")</f>
        <v/>
      </c>
      <c r="AK34" s="375"/>
      <c r="AL34" s="375" t="str">
        <f ca="1">IF(AND('Mapa final'!$P$61="Baja",'Mapa final'!$T$61="Catastrófico"),CONCATENATE("R",'Mapa final'!$A$61),"")</f>
        <v/>
      </c>
      <c r="AM34" s="376"/>
      <c r="AN34" s="69"/>
      <c r="AO34" s="425"/>
      <c r="AP34" s="426"/>
      <c r="AQ34" s="426"/>
      <c r="AR34" s="426"/>
      <c r="AS34" s="426"/>
      <c r="AT34" s="427"/>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69"/>
    </row>
    <row r="35" spans="1:80" x14ac:dyDescent="0.25">
      <c r="A35" s="69"/>
      <c r="B35" s="431"/>
      <c r="C35" s="431"/>
      <c r="D35" s="432"/>
      <c r="E35" s="388"/>
      <c r="F35" s="389"/>
      <c r="G35" s="389"/>
      <c r="H35" s="389"/>
      <c r="I35" s="389"/>
      <c r="J35" s="348"/>
      <c r="K35" s="349"/>
      <c r="L35" s="349"/>
      <c r="M35" s="349"/>
      <c r="N35" s="349"/>
      <c r="O35" s="350"/>
      <c r="P35" s="358"/>
      <c r="Q35" s="358"/>
      <c r="R35" s="358"/>
      <c r="S35" s="358"/>
      <c r="T35" s="358"/>
      <c r="U35" s="359"/>
      <c r="V35" s="357"/>
      <c r="W35" s="358"/>
      <c r="X35" s="358"/>
      <c r="Y35" s="358"/>
      <c r="Z35" s="358"/>
      <c r="AA35" s="359"/>
      <c r="AB35" s="366"/>
      <c r="AC35" s="367"/>
      <c r="AD35" s="367"/>
      <c r="AE35" s="367"/>
      <c r="AF35" s="367"/>
      <c r="AG35" s="368"/>
      <c r="AH35" s="377"/>
      <c r="AI35" s="375"/>
      <c r="AJ35" s="375"/>
      <c r="AK35" s="375"/>
      <c r="AL35" s="375"/>
      <c r="AM35" s="376"/>
      <c r="AN35" s="69"/>
      <c r="AO35" s="425"/>
      <c r="AP35" s="426"/>
      <c r="AQ35" s="426"/>
      <c r="AR35" s="426"/>
      <c r="AS35" s="426"/>
      <c r="AT35" s="427"/>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c r="BY35" s="69"/>
      <c r="BZ35" s="69"/>
      <c r="CA35" s="69"/>
      <c r="CB35" s="69"/>
    </row>
    <row r="36" spans="1:80" x14ac:dyDescent="0.25">
      <c r="A36" s="69"/>
      <c r="B36" s="431"/>
      <c r="C36" s="431"/>
      <c r="D36" s="432"/>
      <c r="E36" s="388"/>
      <c r="F36" s="389"/>
      <c r="G36" s="389"/>
      <c r="H36" s="389"/>
      <c r="I36" s="389"/>
      <c r="J36" s="348" t="str">
        <f ca="1">IF(AND('Mapa final'!$P$67="Baja",'Mapa final'!$T$67="Leve"),CONCATENATE("R",'Mapa final'!$A$67),"")</f>
        <v/>
      </c>
      <c r="K36" s="349"/>
      <c r="L36" s="349" t="str">
        <f>IF(AND('Mapa final'!$P$569="Baja",'Mapa final'!$T$569="Leve"),CONCATENATE("R",'Mapa final'!$A$569),"")</f>
        <v/>
      </c>
      <c r="M36" s="349"/>
      <c r="N36" s="349" t="str">
        <f>IF(AND('Mapa final'!$P$575="Baja",'Mapa final'!$T$575="Leve"),CONCATENATE("R",'Mapa final'!$A$575),"")</f>
        <v/>
      </c>
      <c r="O36" s="350"/>
      <c r="P36" s="358" t="str">
        <f ca="1">IF(AND('Mapa final'!$P$67="Baja",'Mapa final'!$T$67="Menor"),CONCATENATE("R",'Mapa final'!$A$67),"")</f>
        <v/>
      </c>
      <c r="Q36" s="358"/>
      <c r="R36" s="358" t="str">
        <f>IF(AND('Mapa final'!$P$569="Baja",'Mapa final'!$T$569="Menor"),CONCATENATE("R",'Mapa final'!$A$569),"")</f>
        <v/>
      </c>
      <c r="S36" s="358"/>
      <c r="T36" s="358" t="str">
        <f>IF(AND('Mapa final'!$P$575="Baja",'Mapa final'!$T$575="Menor"),CONCATENATE("R",'Mapa final'!$A$575),"")</f>
        <v/>
      </c>
      <c r="U36" s="359"/>
      <c r="V36" s="357" t="str">
        <f ca="1">IF(AND('Mapa final'!$P$67="Baja",'Mapa final'!$T$67="Moderado"),CONCATENATE("R",'Mapa final'!$A$67),"")</f>
        <v/>
      </c>
      <c r="W36" s="358"/>
      <c r="X36" s="358" t="str">
        <f>IF(AND('Mapa final'!$P$569="Baja",'Mapa final'!$T$569="Moderado"),CONCATENATE("R",'Mapa final'!$A$569),"")</f>
        <v/>
      </c>
      <c r="Y36" s="358"/>
      <c r="Z36" s="358" t="str">
        <f>IF(AND('Mapa final'!$P$575="Baja",'Mapa final'!$T$575="Moderado"),CONCATENATE("R",'Mapa final'!$A$575),"")</f>
        <v/>
      </c>
      <c r="AA36" s="359"/>
      <c r="AB36" s="366" t="str">
        <f ca="1">IF(AND('Mapa final'!$P$67="Baja",'Mapa final'!$T$67="Mayor"),CONCATENATE("R",'Mapa final'!$A$67),"")</f>
        <v/>
      </c>
      <c r="AC36" s="367"/>
      <c r="AD36" s="367" t="str">
        <f>IF(AND('Mapa final'!$P$569="Baja",'Mapa final'!$T$569="Mayor"),CONCATENATE("R",'Mapa final'!$A$569),"")</f>
        <v/>
      </c>
      <c r="AE36" s="367"/>
      <c r="AF36" s="367" t="str">
        <f>IF(AND('Mapa final'!$P$575="Baja",'Mapa final'!$T$575="Mayor"),CONCATENATE("R",'Mapa final'!$A$575),"")</f>
        <v/>
      </c>
      <c r="AG36" s="368"/>
      <c r="AH36" s="377" t="str">
        <f ca="1">IF(AND('Mapa final'!$P$67="Baja",'Mapa final'!$T$67="Catastrófico"),CONCATENATE("R",'Mapa final'!$A$67),"")</f>
        <v/>
      </c>
      <c r="AI36" s="375"/>
      <c r="AJ36" s="375" t="str">
        <f>IF(AND('Mapa final'!$P$569="Baja",'Mapa final'!$T$569="Catastrófico"),CONCATENATE("R",'Mapa final'!$A$569),"")</f>
        <v/>
      </c>
      <c r="AK36" s="375"/>
      <c r="AL36" s="375" t="str">
        <f>IF(AND('Mapa final'!$P$575="Baja",'Mapa final'!$T$575="Catastrófico"),CONCATENATE("R",'Mapa final'!$A$575),"")</f>
        <v/>
      </c>
      <c r="AM36" s="376"/>
      <c r="AN36" s="69"/>
      <c r="AO36" s="425"/>
      <c r="AP36" s="426"/>
      <c r="AQ36" s="426"/>
      <c r="AR36" s="426"/>
      <c r="AS36" s="426"/>
      <c r="AT36" s="427"/>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c r="BY36" s="69"/>
      <c r="BZ36" s="69"/>
      <c r="CA36" s="69"/>
      <c r="CB36" s="69"/>
    </row>
    <row r="37" spans="1:80" ht="15.75" thickBot="1" x14ac:dyDescent="0.3">
      <c r="A37" s="69"/>
      <c r="B37" s="431"/>
      <c r="C37" s="431"/>
      <c r="D37" s="432"/>
      <c r="E37" s="391"/>
      <c r="F37" s="392"/>
      <c r="G37" s="392"/>
      <c r="H37" s="392"/>
      <c r="I37" s="392"/>
      <c r="J37" s="351"/>
      <c r="K37" s="352"/>
      <c r="L37" s="352"/>
      <c r="M37" s="352"/>
      <c r="N37" s="352"/>
      <c r="O37" s="353"/>
      <c r="P37" s="361"/>
      <c r="Q37" s="361"/>
      <c r="R37" s="361"/>
      <c r="S37" s="361"/>
      <c r="T37" s="361"/>
      <c r="U37" s="362"/>
      <c r="V37" s="360"/>
      <c r="W37" s="361"/>
      <c r="X37" s="361"/>
      <c r="Y37" s="361"/>
      <c r="Z37" s="361"/>
      <c r="AA37" s="362"/>
      <c r="AB37" s="369"/>
      <c r="AC37" s="370"/>
      <c r="AD37" s="370"/>
      <c r="AE37" s="370"/>
      <c r="AF37" s="370"/>
      <c r="AG37" s="371"/>
      <c r="AH37" s="378"/>
      <c r="AI37" s="379"/>
      <c r="AJ37" s="379"/>
      <c r="AK37" s="379"/>
      <c r="AL37" s="379"/>
      <c r="AM37" s="380"/>
      <c r="AN37" s="69"/>
      <c r="AO37" s="428"/>
      <c r="AP37" s="429"/>
      <c r="AQ37" s="429"/>
      <c r="AR37" s="429"/>
      <c r="AS37" s="429"/>
      <c r="AT37" s="430"/>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row>
    <row r="38" spans="1:80" x14ac:dyDescent="0.25">
      <c r="A38" s="69"/>
      <c r="B38" s="431"/>
      <c r="C38" s="431"/>
      <c r="D38" s="432"/>
      <c r="E38" s="385" t="s">
        <v>140</v>
      </c>
      <c r="F38" s="386"/>
      <c r="G38" s="386"/>
      <c r="H38" s="386"/>
      <c r="I38" s="387"/>
      <c r="J38" s="354" t="str">
        <f ca="1">IF(AND('Mapa final'!$P$13="Muy Baja",'Mapa final'!$T$13="Leve"),CONCATENATE("R",'Mapa final'!$A$13),"")</f>
        <v/>
      </c>
      <c r="K38" s="355"/>
      <c r="L38" s="355" t="str">
        <f ca="1">IF(AND('Mapa final'!$P$19="Muy Baja",'Mapa final'!$T$19="Leve"),CONCATENATE("R",'Mapa final'!$A$19),"")</f>
        <v/>
      </c>
      <c r="M38" s="355"/>
      <c r="N38" s="355" t="str">
        <f ca="1">IF(AND('Mapa final'!$P$25="Muy Baja",'Mapa final'!$T$25="Leve"),CONCATENATE("R",'Mapa final'!$A$25),"")</f>
        <v/>
      </c>
      <c r="O38" s="356"/>
      <c r="P38" s="354" t="str">
        <f ca="1">IF(AND('Mapa final'!$P$13="Muy Baja",'Mapa final'!$T$13="Menor"),CONCATENATE("R",'Mapa final'!$A$13),"")</f>
        <v/>
      </c>
      <c r="Q38" s="355"/>
      <c r="R38" s="355" t="str">
        <f ca="1">IF(AND('Mapa final'!$P$19="Muy Baja",'Mapa final'!$T$19="Menor"),CONCATENATE("R",'Mapa final'!$A$19),"")</f>
        <v/>
      </c>
      <c r="S38" s="355"/>
      <c r="T38" s="355" t="str">
        <f ca="1">IF(AND('Mapa final'!$P$25="Muy Baja",'Mapa final'!$T$25="Menor"),CONCATENATE("R",'Mapa final'!$A$25),"")</f>
        <v/>
      </c>
      <c r="U38" s="356"/>
      <c r="V38" s="363" t="str">
        <f ca="1">IF(AND('Mapa final'!$P$13="Muy Baja",'Mapa final'!$T$13="Moderado"),CONCATENATE("R",'Mapa final'!$A$13),"")</f>
        <v/>
      </c>
      <c r="W38" s="364"/>
      <c r="X38" s="364" t="str">
        <f ca="1">IF(AND('Mapa final'!$P$19="Muy Baja",'Mapa final'!$T$19="Moderado"),CONCATENATE("R",'Mapa final'!$A$19),"")</f>
        <v/>
      </c>
      <c r="Y38" s="364"/>
      <c r="Z38" s="364" t="str">
        <f ca="1">IF(AND('Mapa final'!$P$25="Muy Baja",'Mapa final'!$T$25="Moderado"),CONCATENATE("R",'Mapa final'!$A$25),"")</f>
        <v/>
      </c>
      <c r="AA38" s="365"/>
      <c r="AB38" s="372" t="str">
        <f ca="1">IF(AND('Mapa final'!$P$13="Muy Baja",'Mapa final'!$T$13="Mayor"),CONCATENATE("R",'Mapa final'!$A$13),"")</f>
        <v/>
      </c>
      <c r="AC38" s="373"/>
      <c r="AD38" s="373" t="str">
        <f ca="1">IF(AND('Mapa final'!$P$19="Muy Baja",'Mapa final'!$T$19="Mayor"),CONCATENATE("R",'Mapa final'!$A$19),"")</f>
        <v/>
      </c>
      <c r="AE38" s="373"/>
      <c r="AF38" s="373" t="str">
        <f ca="1">IF(AND('Mapa final'!$P$25="Muy Baja",'Mapa final'!$T$25="Mayor"),CONCATENATE("R",'Mapa final'!$A$25),"")</f>
        <v>R3</v>
      </c>
      <c r="AG38" s="374"/>
      <c r="AH38" s="381" t="str">
        <f ca="1">IF(AND('Mapa final'!$P$13="Muy Baja",'Mapa final'!$T$13="Catastrófico"),CONCATENATE("R",'Mapa final'!$A$13),"")</f>
        <v/>
      </c>
      <c r="AI38" s="382"/>
      <c r="AJ38" s="382" t="str">
        <f ca="1">IF(AND('Mapa final'!$P$19="Muy Baja",'Mapa final'!$T$19="Catastrófico"),CONCATENATE("R",'Mapa final'!$A$19),"")</f>
        <v/>
      </c>
      <c r="AK38" s="382"/>
      <c r="AL38" s="382" t="str">
        <f ca="1">IF(AND('Mapa final'!$P$25="Muy Baja",'Mapa final'!$T$25="Catastrófico"),CONCATENATE("R",'Mapa final'!$A$25),"")</f>
        <v/>
      </c>
      <c r="AM38" s="383"/>
      <c r="AN38" s="69"/>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c r="BY38" s="69"/>
      <c r="BZ38" s="69"/>
      <c r="CA38" s="69"/>
      <c r="CB38" s="69"/>
    </row>
    <row r="39" spans="1:80" x14ac:dyDescent="0.25">
      <c r="A39" s="69"/>
      <c r="B39" s="431"/>
      <c r="C39" s="431"/>
      <c r="D39" s="432"/>
      <c r="E39" s="388"/>
      <c r="F39" s="389"/>
      <c r="G39" s="389"/>
      <c r="H39" s="389"/>
      <c r="I39" s="390"/>
      <c r="J39" s="348"/>
      <c r="K39" s="349"/>
      <c r="L39" s="349"/>
      <c r="M39" s="349"/>
      <c r="N39" s="349"/>
      <c r="O39" s="350"/>
      <c r="P39" s="348"/>
      <c r="Q39" s="349"/>
      <c r="R39" s="349"/>
      <c r="S39" s="349"/>
      <c r="T39" s="349"/>
      <c r="U39" s="350"/>
      <c r="V39" s="357"/>
      <c r="W39" s="358"/>
      <c r="X39" s="358"/>
      <c r="Y39" s="358"/>
      <c r="Z39" s="358"/>
      <c r="AA39" s="359"/>
      <c r="AB39" s="366"/>
      <c r="AC39" s="367"/>
      <c r="AD39" s="367"/>
      <c r="AE39" s="367"/>
      <c r="AF39" s="367"/>
      <c r="AG39" s="368"/>
      <c r="AH39" s="377"/>
      <c r="AI39" s="375"/>
      <c r="AJ39" s="375"/>
      <c r="AK39" s="375"/>
      <c r="AL39" s="375"/>
      <c r="AM39" s="376"/>
      <c r="AN39" s="69"/>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c r="BY39" s="69"/>
      <c r="BZ39" s="69"/>
      <c r="CA39" s="69"/>
      <c r="CB39" s="69"/>
    </row>
    <row r="40" spans="1:80" x14ac:dyDescent="0.25">
      <c r="A40" s="69"/>
      <c r="B40" s="431"/>
      <c r="C40" s="431"/>
      <c r="D40" s="432"/>
      <c r="E40" s="388"/>
      <c r="F40" s="389"/>
      <c r="G40" s="389"/>
      <c r="H40" s="389"/>
      <c r="I40" s="390"/>
      <c r="J40" s="348" t="str">
        <f ca="1">IF(AND('Mapa final'!$P$31="Muy Baja",'Mapa final'!$T$31="Leve"),CONCATENATE("R",'Mapa final'!$A$31),"")</f>
        <v/>
      </c>
      <c r="K40" s="349"/>
      <c r="L40" s="349" t="str">
        <f ca="1">IF(AND('Mapa final'!$P$37="Muy Baja",'Mapa final'!$T$37="Leve"),CONCATENATE("R",'Mapa final'!$A$37),"")</f>
        <v/>
      </c>
      <c r="M40" s="349"/>
      <c r="N40" s="349" t="str">
        <f ca="1">IF(AND('Mapa final'!$P$43="Muy Baja",'Mapa final'!$T$43="Leve"),CONCATENATE("R",'Mapa final'!$A$43),"")</f>
        <v/>
      </c>
      <c r="O40" s="350"/>
      <c r="P40" s="348" t="str">
        <f ca="1">IF(AND('Mapa final'!$P$31="Muy Baja",'Mapa final'!$T$31="Menor"),CONCATENATE("R",'Mapa final'!$A$31),"")</f>
        <v/>
      </c>
      <c r="Q40" s="349"/>
      <c r="R40" s="349" t="str">
        <f ca="1">IF(AND('Mapa final'!$P$37="Muy Baja",'Mapa final'!$T$37="Menor"),CONCATENATE("R",'Mapa final'!$A$37),"")</f>
        <v/>
      </c>
      <c r="S40" s="349"/>
      <c r="T40" s="349" t="str">
        <f ca="1">IF(AND('Mapa final'!$P$43="Muy Baja",'Mapa final'!$T$43="Menor"),CONCATENATE("R",'Mapa final'!$A$43),"")</f>
        <v/>
      </c>
      <c r="U40" s="350"/>
      <c r="V40" s="357" t="str">
        <f ca="1">IF(AND('Mapa final'!$P$31="Muy Baja",'Mapa final'!$T$31="Moderado"),CONCATENATE("R",'Mapa final'!$A$31),"")</f>
        <v/>
      </c>
      <c r="W40" s="358"/>
      <c r="X40" s="358" t="str">
        <f ca="1">IF(AND('Mapa final'!$P$37="Muy Baja",'Mapa final'!$T$37="Moderado"),CONCATENATE("R",'Mapa final'!$A$37),"")</f>
        <v/>
      </c>
      <c r="Y40" s="358"/>
      <c r="Z40" s="358" t="str">
        <f ca="1">IF(AND('Mapa final'!$P$43="Muy Baja",'Mapa final'!$T$43="Moderado"),CONCATENATE("R",'Mapa final'!$A$43),"")</f>
        <v/>
      </c>
      <c r="AA40" s="359"/>
      <c r="AB40" s="366" t="str">
        <f ca="1">IF(AND('Mapa final'!$P$31="Muy Baja",'Mapa final'!$T$31="Mayor"),CONCATENATE("R",'Mapa final'!$A$31),"")</f>
        <v/>
      </c>
      <c r="AC40" s="367"/>
      <c r="AD40" s="367" t="str">
        <f ca="1">IF(AND('Mapa final'!$P$37="Muy Baja",'Mapa final'!$T$37="Mayor"),CONCATENATE("R",'Mapa final'!$A$37),"")</f>
        <v>R5</v>
      </c>
      <c r="AE40" s="367"/>
      <c r="AF40" s="367" t="str">
        <f ca="1">IF(AND('Mapa final'!$P$43="Muy Baja",'Mapa final'!$T$43="Mayor"),CONCATENATE("R",'Mapa final'!$A$43),"")</f>
        <v/>
      </c>
      <c r="AG40" s="368"/>
      <c r="AH40" s="377" t="str">
        <f ca="1">IF(AND('Mapa final'!$P$31="Muy Baja",'Mapa final'!$T$31="Catastrófico"),CONCATENATE("R",'Mapa final'!$A$31),"")</f>
        <v/>
      </c>
      <c r="AI40" s="375"/>
      <c r="AJ40" s="375" t="str">
        <f ca="1">IF(AND('Mapa final'!$P$37="Muy Baja",'Mapa final'!$T$37="Catastrófico"),CONCATENATE("R",'Mapa final'!$A$37),"")</f>
        <v/>
      </c>
      <c r="AK40" s="375"/>
      <c r="AL40" s="375" t="str">
        <f ca="1">IF(AND('Mapa final'!$P$43="Muy Baja",'Mapa final'!$T$43="Catastrófico"),CONCATENATE("R",'Mapa final'!$A$43),"")</f>
        <v/>
      </c>
      <c r="AM40" s="376"/>
      <c r="AN40" s="69"/>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c r="BY40" s="69"/>
      <c r="BZ40" s="69"/>
      <c r="CA40" s="69"/>
      <c r="CB40" s="69"/>
    </row>
    <row r="41" spans="1:80" x14ac:dyDescent="0.25">
      <c r="A41" s="69"/>
      <c r="B41" s="431"/>
      <c r="C41" s="431"/>
      <c r="D41" s="432"/>
      <c r="E41" s="388"/>
      <c r="F41" s="389"/>
      <c r="G41" s="389"/>
      <c r="H41" s="389"/>
      <c r="I41" s="390"/>
      <c r="J41" s="348"/>
      <c r="K41" s="349"/>
      <c r="L41" s="349"/>
      <c r="M41" s="349"/>
      <c r="N41" s="349"/>
      <c r="O41" s="350"/>
      <c r="P41" s="348"/>
      <c r="Q41" s="349"/>
      <c r="R41" s="349"/>
      <c r="S41" s="349"/>
      <c r="T41" s="349"/>
      <c r="U41" s="350"/>
      <c r="V41" s="357"/>
      <c r="W41" s="358"/>
      <c r="X41" s="358"/>
      <c r="Y41" s="358"/>
      <c r="Z41" s="358"/>
      <c r="AA41" s="359"/>
      <c r="AB41" s="366"/>
      <c r="AC41" s="367"/>
      <c r="AD41" s="367"/>
      <c r="AE41" s="367"/>
      <c r="AF41" s="367"/>
      <c r="AG41" s="368"/>
      <c r="AH41" s="377"/>
      <c r="AI41" s="375"/>
      <c r="AJ41" s="375"/>
      <c r="AK41" s="375"/>
      <c r="AL41" s="375"/>
      <c r="AM41" s="376"/>
      <c r="AN41" s="69"/>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c r="BY41" s="69"/>
      <c r="BZ41" s="69"/>
      <c r="CA41" s="69"/>
      <c r="CB41" s="69"/>
    </row>
    <row r="42" spans="1:80" x14ac:dyDescent="0.25">
      <c r="A42" s="69"/>
      <c r="B42" s="431"/>
      <c r="C42" s="431"/>
      <c r="D42" s="432"/>
      <c r="E42" s="388"/>
      <c r="F42" s="389"/>
      <c r="G42" s="389"/>
      <c r="H42" s="389"/>
      <c r="I42" s="390"/>
      <c r="J42" s="348" t="str">
        <f ca="1">IF(AND('Mapa final'!$P$49="Muy Baja",'Mapa final'!$T$49="Leve"),CONCATENATE("R",'Mapa final'!$B$49),"")</f>
        <v/>
      </c>
      <c r="K42" s="349"/>
      <c r="L42" s="349" t="str">
        <f ca="1">IF(AND('Mapa final'!$P$55="Muy Baja",'Mapa final'!$T$55="Leve"),CONCATENATE("R",'Mapa final'!$A$55),"")</f>
        <v/>
      </c>
      <c r="M42" s="349"/>
      <c r="N42" s="349" t="str">
        <f ca="1">IF(AND('Mapa final'!$P$61="Muy Baja",'Mapa final'!$T$61="Leve"),CONCATENATE("R",'Mapa final'!$A$61),"")</f>
        <v/>
      </c>
      <c r="O42" s="350"/>
      <c r="P42" s="348" t="str">
        <f ca="1">IF(AND('Mapa final'!$P$49="Muy Baja",'Mapa final'!$T$49="Menor"),CONCATENATE("R",'Mapa final'!$B$49),"")</f>
        <v/>
      </c>
      <c r="Q42" s="349"/>
      <c r="R42" s="349" t="str">
        <f ca="1">IF(AND('Mapa final'!$P$55="Muy Baja",'Mapa final'!$T$55="Menor"),CONCATENATE("R",'Mapa final'!$A$55),"")</f>
        <v/>
      </c>
      <c r="S42" s="349"/>
      <c r="T42" s="349" t="str">
        <f ca="1">IF(AND('Mapa final'!$P$61="Muy Baja",'Mapa final'!$T$61="Menor"),CONCATENATE("R",'Mapa final'!$A$61),"")</f>
        <v/>
      </c>
      <c r="U42" s="350"/>
      <c r="V42" s="357" t="str">
        <f ca="1">IF(AND('Mapa final'!$P$49="Muy Baja",'Mapa final'!$T$49="Moderado"),CONCATENATE("R",'Mapa final'!$B$49),"")</f>
        <v/>
      </c>
      <c r="W42" s="358"/>
      <c r="X42" s="358" t="str">
        <f ca="1">IF(AND('Mapa final'!$P$55="Muy Baja",'Mapa final'!$T$55="Moderado"),CONCATENATE("R",'Mapa final'!$A$55),"")</f>
        <v/>
      </c>
      <c r="Y42" s="358"/>
      <c r="Z42" s="358" t="str">
        <f ca="1">IF(AND('Mapa final'!$P$61="Muy Baja",'Mapa final'!$T$61="Moderado"),CONCATENATE("R",'Mapa final'!$A$61),"")</f>
        <v/>
      </c>
      <c r="AA42" s="359"/>
      <c r="AB42" s="366" t="str">
        <f ca="1">IF(AND('Mapa final'!$P$49="Muy Baja",'Mapa final'!$T$49="Mayor"),CONCATENATE("R",'Mapa final'!$B$49),"")</f>
        <v/>
      </c>
      <c r="AC42" s="367"/>
      <c r="AD42" s="367" t="str">
        <f ca="1">IF(AND('Mapa final'!$P$55="Muy Baja",'Mapa final'!$T$55="Mayor"),CONCATENATE("R",'Mapa final'!$A$55),"")</f>
        <v/>
      </c>
      <c r="AE42" s="367"/>
      <c r="AF42" s="367" t="str">
        <f ca="1">IF(AND('Mapa final'!$P$61="Muy Baja",'Mapa final'!$T$61="Mayor"),CONCATENATE("R",'Mapa final'!$A$61),"")</f>
        <v/>
      </c>
      <c r="AG42" s="368"/>
      <c r="AH42" s="377" t="str">
        <f ca="1">IF(AND('Mapa final'!$P$49="Muy Baja",'Mapa final'!$T$49="Catastrófico"),CONCATENATE("R",'Mapa final'!$B$49),"")</f>
        <v/>
      </c>
      <c r="AI42" s="375"/>
      <c r="AJ42" s="375" t="str">
        <f ca="1">IF(AND('Mapa final'!$P$55="Muy Baja",'Mapa final'!$T$55="Catastrófico"),CONCATENATE("R",'Mapa final'!$A$55),"")</f>
        <v/>
      </c>
      <c r="AK42" s="375"/>
      <c r="AL42" s="375" t="str">
        <f ca="1">IF(AND('Mapa final'!$P$61="Muy Baja",'Mapa final'!$T$61="Catastrófico"),CONCATENATE("R",'Mapa final'!$A$61),"")</f>
        <v/>
      </c>
      <c r="AM42" s="376"/>
      <c r="AN42" s="69"/>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c r="BY42" s="69"/>
      <c r="BZ42" s="69"/>
      <c r="CA42" s="69"/>
      <c r="CB42" s="69"/>
    </row>
    <row r="43" spans="1:80" x14ac:dyDescent="0.25">
      <c r="A43" s="69"/>
      <c r="B43" s="431"/>
      <c r="C43" s="431"/>
      <c r="D43" s="432"/>
      <c r="E43" s="388"/>
      <c r="F43" s="389"/>
      <c r="G43" s="389"/>
      <c r="H43" s="389"/>
      <c r="I43" s="390"/>
      <c r="J43" s="348"/>
      <c r="K43" s="349"/>
      <c r="L43" s="349"/>
      <c r="M43" s="349"/>
      <c r="N43" s="349"/>
      <c r="O43" s="350"/>
      <c r="P43" s="348"/>
      <c r="Q43" s="349"/>
      <c r="R43" s="349"/>
      <c r="S43" s="349"/>
      <c r="T43" s="349"/>
      <c r="U43" s="350"/>
      <c r="V43" s="357"/>
      <c r="W43" s="358"/>
      <c r="X43" s="358"/>
      <c r="Y43" s="358"/>
      <c r="Z43" s="358"/>
      <c r="AA43" s="359"/>
      <c r="AB43" s="366"/>
      <c r="AC43" s="367"/>
      <c r="AD43" s="367"/>
      <c r="AE43" s="367"/>
      <c r="AF43" s="367"/>
      <c r="AG43" s="368"/>
      <c r="AH43" s="377"/>
      <c r="AI43" s="375"/>
      <c r="AJ43" s="375"/>
      <c r="AK43" s="375"/>
      <c r="AL43" s="375"/>
      <c r="AM43" s="376"/>
      <c r="AN43" s="69"/>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c r="BY43" s="69"/>
      <c r="BZ43" s="69"/>
      <c r="CA43" s="69"/>
      <c r="CB43" s="69"/>
    </row>
    <row r="44" spans="1:80" x14ac:dyDescent="0.25">
      <c r="A44" s="69"/>
      <c r="B44" s="431"/>
      <c r="C44" s="431"/>
      <c r="D44" s="432"/>
      <c r="E44" s="388"/>
      <c r="F44" s="389"/>
      <c r="G44" s="389"/>
      <c r="H44" s="389"/>
      <c r="I44" s="390"/>
      <c r="J44" s="348" t="str">
        <f ca="1">IF(AND('Mapa final'!$P$67="Muy Baja",'Mapa final'!$T$67="Leve"),CONCATENATE("R",'Mapa final'!$A$67),"")</f>
        <v/>
      </c>
      <c r="K44" s="349"/>
      <c r="L44" s="349" t="str">
        <f>IF(AND('Mapa final'!$P$569="Muy Baja",'Mapa final'!$T$569="Leve"),CONCATENATE("R",'Mapa final'!$A$569),"")</f>
        <v/>
      </c>
      <c r="M44" s="349"/>
      <c r="N44" s="349" t="str">
        <f>IF(AND('Mapa final'!$P$575="Muy Baja",'Mapa final'!$T$575="Leve"),CONCATENATE("R",'Mapa final'!$A$575),"")</f>
        <v/>
      </c>
      <c r="O44" s="350"/>
      <c r="P44" s="348" t="str">
        <f ca="1">IF(AND('Mapa final'!$P$67="Muy Baja",'Mapa final'!$T$67="Menor"),CONCATENATE("R",'Mapa final'!$A$67),"")</f>
        <v/>
      </c>
      <c r="Q44" s="349"/>
      <c r="R44" s="349" t="str">
        <f>IF(AND('Mapa final'!$P$569="Muy Baja",'Mapa final'!$T$569="Menor"),CONCATENATE("R",'Mapa final'!$A$569),"")</f>
        <v/>
      </c>
      <c r="S44" s="349"/>
      <c r="T44" s="349" t="str">
        <f>IF(AND('Mapa final'!$P$575="Muy Baja",'Mapa final'!$T$575="Menor"),CONCATENATE("R",'Mapa final'!$A$575),"")</f>
        <v/>
      </c>
      <c r="U44" s="350"/>
      <c r="V44" s="357" t="str">
        <f ca="1">IF(AND('Mapa final'!$P$67="Muy Baja",'Mapa final'!$T$67="Moderado"),CONCATENATE("R",'Mapa final'!$A$67),"")</f>
        <v/>
      </c>
      <c r="W44" s="358"/>
      <c r="X44" s="358" t="str">
        <f>IF(AND('Mapa final'!$P$569="Muy Baja",'Mapa final'!$T$569="Moderado"),CONCATENATE("R",'Mapa final'!$A$569),"")</f>
        <v/>
      </c>
      <c r="Y44" s="358"/>
      <c r="Z44" s="358" t="str">
        <f>IF(AND('Mapa final'!$P$575="Muy Baja",'Mapa final'!$T$575="Moderado"),CONCATENATE("R",'Mapa final'!$A$575),"")</f>
        <v/>
      </c>
      <c r="AA44" s="359"/>
      <c r="AB44" s="366" t="str">
        <f ca="1">IF(AND('Mapa final'!$P$67="Muy Baja",'Mapa final'!$T$67="Mayor"),CONCATENATE("R",'Mapa final'!$A$67),"")</f>
        <v/>
      </c>
      <c r="AC44" s="367"/>
      <c r="AD44" s="367" t="str">
        <f>IF(AND('Mapa final'!$P$569="Muy Baja",'Mapa final'!$T$569="Mayor"),CONCATENATE("R",'Mapa final'!$A$569),"")</f>
        <v/>
      </c>
      <c r="AE44" s="367"/>
      <c r="AF44" s="367" t="str">
        <f>IF(AND('Mapa final'!$P$575="Muy Baja",'Mapa final'!$T$575="Mayor"),CONCATENATE("R",'Mapa final'!$A$575),"")</f>
        <v/>
      </c>
      <c r="AG44" s="368"/>
      <c r="AH44" s="377" t="str">
        <f ca="1">IF(AND('Mapa final'!$P$67="Muy Baja",'Mapa final'!$T$67="Catastrófico"),CONCATENATE("R",'Mapa final'!$A$67),"")</f>
        <v/>
      </c>
      <c r="AI44" s="375"/>
      <c r="AJ44" s="375" t="str">
        <f>IF(AND('Mapa final'!$P$569="Muy Baja",'Mapa final'!$T$569="Catastrófico"),CONCATENATE("R",'Mapa final'!$A$569),"")</f>
        <v/>
      </c>
      <c r="AK44" s="375"/>
      <c r="AL44" s="375" t="str">
        <f>IF(AND('Mapa final'!$P$575="Muy Baja",'Mapa final'!$T$575="Catastrófico"),CONCATENATE("R",'Mapa final'!$A$575),"")</f>
        <v/>
      </c>
      <c r="AM44" s="376"/>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row>
    <row r="45" spans="1:80" ht="15.75" thickBot="1" x14ac:dyDescent="0.3">
      <c r="A45" s="69"/>
      <c r="B45" s="431"/>
      <c r="C45" s="431"/>
      <c r="D45" s="432"/>
      <c r="E45" s="391"/>
      <c r="F45" s="392"/>
      <c r="G45" s="392"/>
      <c r="H45" s="392"/>
      <c r="I45" s="393"/>
      <c r="J45" s="351"/>
      <c r="K45" s="352"/>
      <c r="L45" s="352"/>
      <c r="M45" s="352"/>
      <c r="N45" s="352"/>
      <c r="O45" s="353"/>
      <c r="P45" s="351"/>
      <c r="Q45" s="352"/>
      <c r="R45" s="352"/>
      <c r="S45" s="352"/>
      <c r="T45" s="352"/>
      <c r="U45" s="353"/>
      <c r="V45" s="360"/>
      <c r="W45" s="361"/>
      <c r="X45" s="361"/>
      <c r="Y45" s="361"/>
      <c r="Z45" s="361"/>
      <c r="AA45" s="362"/>
      <c r="AB45" s="369"/>
      <c r="AC45" s="370"/>
      <c r="AD45" s="370"/>
      <c r="AE45" s="370"/>
      <c r="AF45" s="370"/>
      <c r="AG45" s="371"/>
      <c r="AH45" s="378"/>
      <c r="AI45" s="379"/>
      <c r="AJ45" s="379"/>
      <c r="AK45" s="379"/>
      <c r="AL45" s="379"/>
      <c r="AM45" s="380"/>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69"/>
      <c r="BX45" s="69"/>
      <c r="BY45" s="69"/>
      <c r="BZ45" s="69"/>
      <c r="CA45" s="69"/>
      <c r="CB45" s="69"/>
    </row>
    <row r="46" spans="1:80" x14ac:dyDescent="0.25">
      <c r="A46" s="69"/>
      <c r="B46" s="69"/>
      <c r="C46" s="69"/>
      <c r="D46" s="69"/>
      <c r="E46" s="69"/>
      <c r="F46" s="69"/>
      <c r="G46" s="69"/>
      <c r="H46" s="69"/>
      <c r="I46" s="69"/>
      <c r="J46" s="385" t="s">
        <v>141</v>
      </c>
      <c r="K46" s="386"/>
      <c r="L46" s="386"/>
      <c r="M46" s="386"/>
      <c r="N46" s="386"/>
      <c r="O46" s="387"/>
      <c r="P46" s="385" t="s">
        <v>142</v>
      </c>
      <c r="Q46" s="386"/>
      <c r="R46" s="386"/>
      <c r="S46" s="386"/>
      <c r="T46" s="386"/>
      <c r="U46" s="387"/>
      <c r="V46" s="385" t="s">
        <v>143</v>
      </c>
      <c r="W46" s="386"/>
      <c r="X46" s="386"/>
      <c r="Y46" s="386"/>
      <c r="Z46" s="386"/>
      <c r="AA46" s="387"/>
      <c r="AB46" s="385" t="s">
        <v>144</v>
      </c>
      <c r="AC46" s="394"/>
      <c r="AD46" s="386"/>
      <c r="AE46" s="386"/>
      <c r="AF46" s="386"/>
      <c r="AG46" s="387"/>
      <c r="AH46" s="385" t="s">
        <v>145</v>
      </c>
      <c r="AI46" s="386"/>
      <c r="AJ46" s="386"/>
      <c r="AK46" s="386"/>
      <c r="AL46" s="386"/>
      <c r="AM46" s="387"/>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x14ac:dyDescent="0.25">
      <c r="A47" s="69"/>
      <c r="B47" s="69"/>
      <c r="C47" s="69"/>
      <c r="D47" s="69"/>
      <c r="E47" s="69"/>
      <c r="F47" s="69"/>
      <c r="G47" s="69"/>
      <c r="H47" s="69"/>
      <c r="I47" s="69"/>
      <c r="J47" s="388"/>
      <c r="K47" s="389"/>
      <c r="L47" s="389"/>
      <c r="M47" s="389"/>
      <c r="N47" s="389"/>
      <c r="O47" s="390"/>
      <c r="P47" s="388"/>
      <c r="Q47" s="389"/>
      <c r="R47" s="389"/>
      <c r="S47" s="389"/>
      <c r="T47" s="389"/>
      <c r="U47" s="390"/>
      <c r="V47" s="388"/>
      <c r="W47" s="389"/>
      <c r="X47" s="389"/>
      <c r="Y47" s="389"/>
      <c r="Z47" s="389"/>
      <c r="AA47" s="390"/>
      <c r="AB47" s="388"/>
      <c r="AC47" s="389"/>
      <c r="AD47" s="389"/>
      <c r="AE47" s="389"/>
      <c r="AF47" s="389"/>
      <c r="AG47" s="390"/>
      <c r="AH47" s="388"/>
      <c r="AI47" s="389"/>
      <c r="AJ47" s="389"/>
      <c r="AK47" s="389"/>
      <c r="AL47" s="389"/>
      <c r="AM47" s="390"/>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x14ac:dyDescent="0.25">
      <c r="A48" s="69"/>
      <c r="B48" s="69"/>
      <c r="C48" s="69"/>
      <c r="D48" s="69"/>
      <c r="E48" s="69"/>
      <c r="F48" s="69"/>
      <c r="G48" s="69"/>
      <c r="H48" s="69"/>
      <c r="I48" s="69"/>
      <c r="J48" s="388"/>
      <c r="K48" s="389"/>
      <c r="L48" s="389"/>
      <c r="M48" s="389"/>
      <c r="N48" s="389"/>
      <c r="O48" s="390"/>
      <c r="P48" s="388"/>
      <c r="Q48" s="389"/>
      <c r="R48" s="389"/>
      <c r="S48" s="389"/>
      <c r="T48" s="389"/>
      <c r="U48" s="390"/>
      <c r="V48" s="388"/>
      <c r="W48" s="389"/>
      <c r="X48" s="389"/>
      <c r="Y48" s="389"/>
      <c r="Z48" s="389"/>
      <c r="AA48" s="390"/>
      <c r="AB48" s="388"/>
      <c r="AC48" s="389"/>
      <c r="AD48" s="389"/>
      <c r="AE48" s="389"/>
      <c r="AF48" s="389"/>
      <c r="AG48" s="390"/>
      <c r="AH48" s="388"/>
      <c r="AI48" s="389"/>
      <c r="AJ48" s="389"/>
      <c r="AK48" s="389"/>
      <c r="AL48" s="389"/>
      <c r="AM48" s="390"/>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x14ac:dyDescent="0.25">
      <c r="A49" s="69"/>
      <c r="B49" s="69"/>
      <c r="C49" s="69"/>
      <c r="D49" s="69"/>
      <c r="E49" s="69"/>
      <c r="F49" s="69"/>
      <c r="G49" s="69"/>
      <c r="H49" s="69"/>
      <c r="I49" s="69"/>
      <c r="J49" s="388"/>
      <c r="K49" s="389"/>
      <c r="L49" s="389"/>
      <c r="M49" s="389"/>
      <c r="N49" s="389"/>
      <c r="O49" s="390"/>
      <c r="P49" s="388"/>
      <c r="Q49" s="389"/>
      <c r="R49" s="389"/>
      <c r="S49" s="389"/>
      <c r="T49" s="389"/>
      <c r="U49" s="390"/>
      <c r="V49" s="388"/>
      <c r="W49" s="389"/>
      <c r="X49" s="389"/>
      <c r="Y49" s="389"/>
      <c r="Z49" s="389"/>
      <c r="AA49" s="390"/>
      <c r="AB49" s="388"/>
      <c r="AC49" s="389"/>
      <c r="AD49" s="389"/>
      <c r="AE49" s="389"/>
      <c r="AF49" s="389"/>
      <c r="AG49" s="390"/>
      <c r="AH49" s="388"/>
      <c r="AI49" s="389"/>
      <c r="AJ49" s="389"/>
      <c r="AK49" s="389"/>
      <c r="AL49" s="389"/>
      <c r="AM49" s="390"/>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x14ac:dyDescent="0.25">
      <c r="A50" s="69"/>
      <c r="B50" s="69"/>
      <c r="C50" s="69"/>
      <c r="D50" s="69"/>
      <c r="E50" s="69"/>
      <c r="F50" s="69"/>
      <c r="G50" s="69"/>
      <c r="H50" s="69"/>
      <c r="I50" s="69"/>
      <c r="J50" s="388"/>
      <c r="K50" s="389"/>
      <c r="L50" s="389"/>
      <c r="M50" s="389"/>
      <c r="N50" s="389"/>
      <c r="O50" s="390"/>
      <c r="P50" s="388"/>
      <c r="Q50" s="389"/>
      <c r="R50" s="389"/>
      <c r="S50" s="389"/>
      <c r="T50" s="389"/>
      <c r="U50" s="390"/>
      <c r="V50" s="388"/>
      <c r="W50" s="389"/>
      <c r="X50" s="389"/>
      <c r="Y50" s="389"/>
      <c r="Z50" s="389"/>
      <c r="AA50" s="390"/>
      <c r="AB50" s="388"/>
      <c r="AC50" s="389"/>
      <c r="AD50" s="389"/>
      <c r="AE50" s="389"/>
      <c r="AF50" s="389"/>
      <c r="AG50" s="390"/>
      <c r="AH50" s="388"/>
      <c r="AI50" s="389"/>
      <c r="AJ50" s="389"/>
      <c r="AK50" s="389"/>
      <c r="AL50" s="389"/>
      <c r="AM50" s="390"/>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75" thickBot="1" x14ac:dyDescent="0.3">
      <c r="A51" s="69"/>
      <c r="B51" s="69"/>
      <c r="C51" s="69"/>
      <c r="D51" s="69"/>
      <c r="E51" s="69"/>
      <c r="F51" s="69"/>
      <c r="G51" s="69"/>
      <c r="H51" s="69"/>
      <c r="I51" s="69"/>
      <c r="J51" s="391"/>
      <c r="K51" s="392"/>
      <c r="L51" s="392"/>
      <c r="M51" s="392"/>
      <c r="N51" s="392"/>
      <c r="O51" s="393"/>
      <c r="P51" s="391"/>
      <c r="Q51" s="392"/>
      <c r="R51" s="392"/>
      <c r="S51" s="392"/>
      <c r="T51" s="392"/>
      <c r="U51" s="393"/>
      <c r="V51" s="391"/>
      <c r="W51" s="392"/>
      <c r="X51" s="392"/>
      <c r="Y51" s="392"/>
      <c r="Z51" s="392"/>
      <c r="AA51" s="393"/>
      <c r="AB51" s="391"/>
      <c r="AC51" s="392"/>
      <c r="AD51" s="392"/>
      <c r="AE51" s="392"/>
      <c r="AF51" s="392"/>
      <c r="AG51" s="393"/>
      <c r="AH51" s="391"/>
      <c r="AI51" s="392"/>
      <c r="AJ51" s="392"/>
      <c r="AK51" s="392"/>
      <c r="AL51" s="392"/>
      <c r="AM51" s="393"/>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x14ac:dyDescent="0.25">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x14ac:dyDescent="0.25">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c r="AE56" s="69"/>
      <c r="AF56" s="69"/>
      <c r="AG56" s="69"/>
      <c r="AH56" s="69"/>
      <c r="AI56" s="69"/>
      <c r="AJ56" s="69"/>
      <c r="AK56" s="69"/>
      <c r="AL56" s="69"/>
      <c r="AM56" s="6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x14ac:dyDescent="0.25">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69"/>
      <c r="BN62" s="69"/>
      <c r="BO62" s="69"/>
      <c r="BP62" s="69"/>
      <c r="BQ62" s="69"/>
      <c r="BR62" s="69"/>
      <c r="BS62" s="69"/>
      <c r="BT62" s="69"/>
      <c r="BU62" s="69"/>
      <c r="BV62" s="69"/>
      <c r="BW62" s="69"/>
      <c r="BX62" s="69"/>
      <c r="BY62" s="69"/>
      <c r="BZ62" s="69"/>
      <c r="CA62" s="69"/>
      <c r="CB62" s="69"/>
    </row>
    <row r="63" spans="1:80" x14ac:dyDescent="0.25">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c r="BL63" s="69"/>
      <c r="BM63" s="69"/>
      <c r="BN63" s="69"/>
      <c r="BO63" s="69"/>
      <c r="BP63" s="69"/>
      <c r="BQ63" s="69"/>
      <c r="BR63" s="69"/>
      <c r="BS63" s="69"/>
      <c r="BT63" s="69"/>
      <c r="BU63" s="69"/>
      <c r="BV63" s="69"/>
      <c r="BW63" s="69"/>
      <c r="BX63" s="69"/>
      <c r="BY63" s="69"/>
      <c r="BZ63" s="69"/>
      <c r="CA63" s="69"/>
      <c r="CB63" s="69"/>
    </row>
    <row r="64" spans="1:80" x14ac:dyDescent="0.25">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c r="BS64" s="69"/>
      <c r="BT64" s="69"/>
      <c r="BU64" s="69"/>
      <c r="BV64" s="69"/>
      <c r="BW64" s="69"/>
      <c r="BX64" s="69"/>
      <c r="BY64" s="69"/>
      <c r="BZ64" s="69"/>
      <c r="CA64" s="69"/>
      <c r="CB64" s="69"/>
    </row>
    <row r="65" spans="1:8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9"/>
      <c r="BN65" s="69"/>
      <c r="BO65" s="69"/>
      <c r="BP65" s="69"/>
      <c r="BQ65" s="69"/>
      <c r="BR65" s="69"/>
      <c r="BS65" s="69"/>
      <c r="BT65" s="69"/>
      <c r="BU65" s="69"/>
      <c r="BV65" s="69"/>
      <c r="BW65" s="69"/>
      <c r="BX65" s="69"/>
      <c r="BY65" s="69"/>
      <c r="BZ65" s="69"/>
      <c r="CA65" s="69"/>
      <c r="CB65" s="69"/>
    </row>
    <row r="66" spans="1:8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9"/>
      <c r="BN66" s="69"/>
      <c r="BO66" s="69"/>
      <c r="BP66" s="69"/>
      <c r="BQ66" s="69"/>
      <c r="BR66" s="69"/>
      <c r="BS66" s="69"/>
      <c r="BT66" s="69"/>
      <c r="BU66" s="69"/>
      <c r="BV66" s="69"/>
      <c r="BW66" s="69"/>
      <c r="BX66" s="69"/>
      <c r="BY66" s="69"/>
      <c r="BZ66" s="69"/>
      <c r="CA66" s="69"/>
      <c r="CB66" s="69"/>
    </row>
    <row r="67" spans="1:8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9"/>
      <c r="BN67" s="69"/>
      <c r="BO67" s="69"/>
      <c r="BP67" s="69"/>
      <c r="BQ67" s="69"/>
      <c r="BR67" s="69"/>
      <c r="BS67" s="69"/>
      <c r="BT67" s="69"/>
      <c r="BU67" s="69"/>
      <c r="BV67" s="69"/>
      <c r="BW67" s="69"/>
      <c r="BX67" s="69"/>
      <c r="BY67" s="69"/>
      <c r="BZ67" s="69"/>
      <c r="CA67" s="69"/>
      <c r="CB67" s="69"/>
    </row>
    <row r="68" spans="1:8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69"/>
      <c r="BT68" s="69"/>
      <c r="BU68" s="69"/>
      <c r="BV68" s="69"/>
      <c r="BW68" s="69"/>
      <c r="BX68" s="69"/>
      <c r="BY68" s="69"/>
      <c r="BZ68" s="69"/>
      <c r="CA68" s="69"/>
      <c r="CB68" s="69"/>
    </row>
    <row r="69" spans="1:8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9"/>
      <c r="BN69" s="69"/>
      <c r="BO69" s="69"/>
      <c r="BP69" s="69"/>
      <c r="BQ69" s="69"/>
      <c r="BR69" s="69"/>
      <c r="BS69" s="69"/>
      <c r="BT69" s="69"/>
      <c r="BU69" s="69"/>
      <c r="BV69" s="69"/>
      <c r="BW69" s="69"/>
      <c r="BX69" s="69"/>
      <c r="BY69" s="69"/>
      <c r="BZ69" s="69"/>
      <c r="CA69" s="69"/>
      <c r="CB69" s="69"/>
    </row>
    <row r="70" spans="1:8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9"/>
      <c r="BN70" s="69"/>
      <c r="BO70" s="69"/>
      <c r="BP70" s="69"/>
      <c r="BQ70" s="69"/>
      <c r="BR70" s="69"/>
      <c r="BS70" s="69"/>
      <c r="BT70" s="69"/>
      <c r="BU70" s="69"/>
      <c r="BV70" s="69"/>
      <c r="BW70" s="69"/>
      <c r="BX70" s="69"/>
      <c r="BY70" s="69"/>
      <c r="BZ70" s="69"/>
      <c r="CA70" s="69"/>
      <c r="CB70" s="69"/>
    </row>
    <row r="71" spans="1:8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9"/>
      <c r="BN71" s="69"/>
      <c r="BO71" s="69"/>
      <c r="BP71" s="69"/>
      <c r="BQ71" s="69"/>
      <c r="BR71" s="69"/>
      <c r="BS71" s="69"/>
      <c r="BT71" s="69"/>
      <c r="BU71" s="69"/>
      <c r="BV71" s="69"/>
      <c r="BW71" s="69"/>
      <c r="BX71" s="69"/>
      <c r="BY71" s="69"/>
      <c r="BZ71" s="69"/>
      <c r="CA71" s="69"/>
      <c r="CB71" s="69"/>
    </row>
    <row r="72" spans="1:8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9"/>
      <c r="BN72" s="69"/>
      <c r="BO72" s="69"/>
      <c r="BP72" s="69"/>
      <c r="BQ72" s="69"/>
      <c r="BR72" s="69"/>
      <c r="BS72" s="69"/>
      <c r="BT72" s="69"/>
      <c r="BU72" s="69"/>
      <c r="BV72" s="69"/>
      <c r="BW72" s="69"/>
      <c r="BX72" s="69"/>
      <c r="BY72" s="69"/>
      <c r="BZ72" s="69"/>
      <c r="CA72" s="69"/>
      <c r="CB72" s="69"/>
    </row>
    <row r="73" spans="1:8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c r="BO73" s="69"/>
      <c r="BP73" s="69"/>
      <c r="BQ73" s="69"/>
      <c r="BR73" s="69"/>
      <c r="BS73" s="69"/>
      <c r="BT73" s="69"/>
      <c r="BU73" s="69"/>
      <c r="BV73" s="69"/>
      <c r="BW73" s="69"/>
      <c r="BX73" s="69"/>
      <c r="BY73" s="69"/>
      <c r="BZ73" s="69"/>
      <c r="CA73" s="69"/>
      <c r="CB73" s="69"/>
    </row>
    <row r="74" spans="1:8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c r="BO74" s="69"/>
      <c r="BP74" s="69"/>
      <c r="BQ74" s="69"/>
      <c r="BR74" s="69"/>
      <c r="BS74" s="69"/>
      <c r="BT74" s="69"/>
      <c r="BU74" s="69"/>
      <c r="BV74" s="69"/>
      <c r="BW74" s="69"/>
      <c r="BX74" s="69"/>
      <c r="BY74" s="69"/>
      <c r="BZ74" s="69"/>
      <c r="CA74" s="69"/>
      <c r="CB74" s="69"/>
    </row>
    <row r="75" spans="1:8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s="69"/>
      <c r="BO75" s="69"/>
      <c r="BP75" s="69"/>
      <c r="BQ75" s="69"/>
      <c r="BR75" s="69"/>
      <c r="BS75" s="69"/>
      <c r="BT75" s="69"/>
      <c r="BU75" s="69"/>
      <c r="BV75" s="69"/>
      <c r="BW75" s="69"/>
      <c r="BX75" s="69"/>
      <c r="BY75" s="69"/>
      <c r="BZ75" s="69"/>
      <c r="CA75" s="69"/>
      <c r="CB75" s="69"/>
    </row>
    <row r="76" spans="1:8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c r="BS76" s="69"/>
      <c r="BT76" s="69"/>
      <c r="BU76" s="69"/>
      <c r="BV76" s="69"/>
      <c r="BW76" s="69"/>
      <c r="BX76" s="69"/>
      <c r="BY76" s="69"/>
      <c r="BZ76" s="69"/>
      <c r="CA76" s="69"/>
      <c r="CB76" s="69"/>
    </row>
    <row r="77" spans="1:8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c r="BS77" s="69"/>
      <c r="BT77" s="69"/>
      <c r="BU77" s="69"/>
      <c r="BV77" s="69"/>
      <c r="BW77" s="69"/>
      <c r="BX77" s="69"/>
      <c r="BY77" s="69"/>
      <c r="BZ77" s="69"/>
      <c r="CA77" s="69"/>
      <c r="CB77" s="69"/>
    </row>
    <row r="78" spans="1:8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c r="BT78" s="69"/>
      <c r="BU78" s="69"/>
      <c r="BV78" s="69"/>
      <c r="BW78" s="69"/>
      <c r="BX78" s="69"/>
      <c r="BY78" s="69"/>
      <c r="BZ78" s="69"/>
      <c r="CA78" s="69"/>
      <c r="CB78" s="69"/>
    </row>
    <row r="79" spans="1:8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row>
    <row r="80" spans="1:8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row>
    <row r="81" spans="1:63"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row>
    <row r="82" spans="1:63"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row>
    <row r="83" spans="1:63"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row>
    <row r="84" spans="1:63"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c r="BI84" s="69"/>
      <c r="BJ84" s="69"/>
      <c r="BK84" s="69"/>
    </row>
    <row r="85" spans="1:63"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row>
    <row r="86" spans="1:63"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row>
    <row r="87" spans="1:63"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row>
    <row r="88" spans="1:63"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c r="BI88" s="69"/>
      <c r="BJ88" s="69"/>
      <c r="BK88" s="69"/>
    </row>
    <row r="89" spans="1:63"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c r="BI89" s="69"/>
      <c r="BJ89" s="69"/>
      <c r="BK89" s="69"/>
    </row>
    <row r="90" spans="1:63"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c r="BI90" s="69"/>
      <c r="BJ90" s="69"/>
      <c r="BK90" s="69"/>
    </row>
    <row r="91" spans="1:63"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row>
    <row r="92" spans="1:63"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c r="BI92" s="69"/>
      <c r="BJ92" s="69"/>
      <c r="BK92" s="69"/>
    </row>
    <row r="93" spans="1:63"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c r="BI93" s="69"/>
      <c r="BJ93" s="69"/>
      <c r="BK93" s="69"/>
    </row>
    <row r="94" spans="1:63"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c r="BI94" s="69"/>
      <c r="BJ94" s="69"/>
      <c r="BK94" s="69"/>
    </row>
    <row r="95" spans="1:63"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c r="BI95" s="69"/>
      <c r="BJ95" s="69"/>
      <c r="BK95" s="69"/>
    </row>
    <row r="96" spans="1:63"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c r="BI96" s="69"/>
      <c r="BJ96" s="69"/>
      <c r="BK96" s="69"/>
    </row>
    <row r="97" spans="1:63"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c r="BI97" s="69"/>
      <c r="BJ97" s="69"/>
      <c r="BK97" s="69"/>
    </row>
    <row r="98" spans="1:63"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row>
    <row r="99" spans="1:63"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c r="BI99" s="69"/>
      <c r="BJ99" s="69"/>
      <c r="BK99" s="69"/>
    </row>
    <row r="100" spans="1:63"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c r="BI100" s="69"/>
      <c r="BJ100" s="69"/>
      <c r="BK100" s="69"/>
    </row>
    <row r="101" spans="1:63"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c r="BI101" s="69"/>
      <c r="BJ101" s="69"/>
      <c r="BK101" s="69"/>
    </row>
    <row r="102" spans="1:63"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c r="BI102" s="69"/>
      <c r="BJ102" s="69"/>
      <c r="BK102" s="69"/>
    </row>
    <row r="103" spans="1:63"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c r="BI103" s="69"/>
      <c r="BJ103" s="69"/>
      <c r="BK103" s="69"/>
    </row>
    <row r="104" spans="1:63"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c r="BI104" s="69"/>
      <c r="BJ104" s="69"/>
      <c r="BK104" s="69"/>
    </row>
    <row r="105" spans="1:63"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c r="BI105" s="69"/>
      <c r="BJ105" s="69"/>
      <c r="BK105" s="69"/>
    </row>
    <row r="106" spans="1:63"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c r="BI106" s="69"/>
      <c r="BJ106" s="69"/>
      <c r="BK106" s="69"/>
    </row>
    <row r="107" spans="1:63"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c r="BI107" s="69"/>
      <c r="BJ107" s="69"/>
      <c r="BK107" s="69"/>
    </row>
    <row r="108" spans="1:63"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c r="BI108" s="69"/>
      <c r="BJ108" s="69"/>
      <c r="BK108" s="69"/>
    </row>
    <row r="109" spans="1:63"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c r="BI109" s="69"/>
      <c r="BJ109" s="69"/>
      <c r="BK109" s="69"/>
    </row>
    <row r="110" spans="1:63"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row>
    <row r="111" spans="1:63"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c r="BI111" s="69"/>
      <c r="BJ111" s="69"/>
      <c r="BK111" s="69"/>
    </row>
    <row r="112" spans="1:63"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c r="BI112" s="69"/>
      <c r="BJ112" s="69"/>
      <c r="BK112" s="69"/>
    </row>
    <row r="113" spans="1:63"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c r="BI113" s="69"/>
      <c r="BJ113" s="69"/>
      <c r="BK113" s="69"/>
    </row>
    <row r="114" spans="1:63"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c r="BI114" s="69"/>
      <c r="BJ114" s="69"/>
      <c r="BK114" s="69"/>
    </row>
    <row r="115" spans="1:63"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c r="BI115" s="69"/>
      <c r="BJ115" s="69"/>
      <c r="BK115" s="69"/>
    </row>
    <row r="116" spans="1:63"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c r="BI116" s="69"/>
      <c r="BJ116" s="69"/>
      <c r="BK116" s="69"/>
    </row>
    <row r="117" spans="1:63"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c r="BI117" s="69"/>
      <c r="BJ117" s="69"/>
      <c r="BK117" s="69"/>
    </row>
    <row r="118" spans="1:63"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row>
    <row r="119" spans="1:63"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c r="BI119" s="69"/>
      <c r="BJ119" s="69"/>
      <c r="BK119" s="69"/>
    </row>
    <row r="120" spans="1:63"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c r="BI120" s="69"/>
      <c r="BJ120" s="69"/>
      <c r="BK120" s="69"/>
    </row>
    <row r="121" spans="1:63"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row>
    <row r="122" spans="1:63" x14ac:dyDescent="0.25">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c r="BI122" s="69"/>
      <c r="BJ122" s="69"/>
      <c r="BK122" s="69"/>
    </row>
    <row r="123" spans="1:63" x14ac:dyDescent="0.25">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c r="BI123" s="69"/>
      <c r="BJ123" s="69"/>
      <c r="BK123" s="69"/>
    </row>
    <row r="124" spans="1:63" x14ac:dyDescent="0.25">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c r="BI124" s="69"/>
      <c r="BJ124" s="69"/>
      <c r="BK124" s="69"/>
    </row>
    <row r="125" spans="1:63" x14ac:dyDescent="0.25">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c r="BI125" s="69"/>
      <c r="BJ125" s="69"/>
      <c r="BK125" s="69"/>
    </row>
    <row r="126" spans="1:63" x14ac:dyDescent="0.25">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row>
    <row r="127" spans="1:63" x14ac:dyDescent="0.25">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row>
    <row r="128" spans="1:63" x14ac:dyDescent="0.25">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row>
    <row r="129" spans="2:63" x14ac:dyDescent="0.25">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row>
    <row r="130" spans="2:63" x14ac:dyDescent="0.25">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row>
    <row r="131" spans="2:63" x14ac:dyDescent="0.25">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row>
    <row r="132" spans="2:63" x14ac:dyDescent="0.25">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row>
    <row r="133" spans="2:63" x14ac:dyDescent="0.25">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row>
    <row r="134" spans="2:63" x14ac:dyDescent="0.25">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row>
    <row r="135" spans="2:63" x14ac:dyDescent="0.25">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row>
    <row r="136" spans="2:63" x14ac:dyDescent="0.25">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row>
    <row r="137" spans="2:63" x14ac:dyDescent="0.25">
      <c r="B137" s="69"/>
      <c r="C137" s="69"/>
      <c r="D137" s="69"/>
      <c r="E137" s="69"/>
      <c r="F137" s="69"/>
      <c r="G137" s="69"/>
      <c r="H137" s="69"/>
      <c r="I137" s="69"/>
    </row>
    <row r="138" spans="2:63" x14ac:dyDescent="0.25">
      <c r="B138" s="69"/>
      <c r="C138" s="69"/>
      <c r="D138" s="69"/>
      <c r="E138" s="69"/>
      <c r="F138" s="69"/>
      <c r="G138" s="69"/>
      <c r="H138" s="69"/>
      <c r="I138" s="69"/>
    </row>
    <row r="139" spans="2:63" x14ac:dyDescent="0.25">
      <c r="B139" s="69"/>
      <c r="C139" s="69"/>
      <c r="D139" s="69"/>
      <c r="E139" s="69"/>
      <c r="F139" s="69"/>
      <c r="G139" s="69"/>
      <c r="H139" s="69"/>
      <c r="I139" s="69"/>
    </row>
    <row r="140" spans="2:63" x14ac:dyDescent="0.25">
      <c r="B140" s="69"/>
      <c r="C140" s="69"/>
      <c r="D140" s="69"/>
      <c r="E140" s="69"/>
      <c r="F140" s="69"/>
      <c r="G140" s="69"/>
      <c r="H140" s="69"/>
      <c r="I140" s="69"/>
    </row>
  </sheetData>
  <mergeCells count="317">
    <mergeCell ref="J46:O51"/>
    <mergeCell ref="P46:U51"/>
    <mergeCell ref="V46:AA51"/>
    <mergeCell ref="N10:O11"/>
    <mergeCell ref="N12:O13"/>
    <mergeCell ref="R12:S13"/>
    <mergeCell ref="T12:U13"/>
    <mergeCell ref="R8:S9"/>
    <mergeCell ref="B6:D45"/>
    <mergeCell ref="L14:M15"/>
    <mergeCell ref="N14:O15"/>
    <mergeCell ref="J16:K17"/>
    <mergeCell ref="L16:M17"/>
    <mergeCell ref="N16:O17"/>
    <mergeCell ref="J18:K19"/>
    <mergeCell ref="L18:M19"/>
    <mergeCell ref="N18:O19"/>
    <mergeCell ref="P14:Q15"/>
    <mergeCell ref="R14:S15"/>
    <mergeCell ref="T14:U15"/>
    <mergeCell ref="P16:Q17"/>
    <mergeCell ref="R16:S17"/>
    <mergeCell ref="T16:U17"/>
    <mergeCell ref="P18:Q19"/>
    <mergeCell ref="AO6:AT13"/>
    <mergeCell ref="AO14:AT21"/>
    <mergeCell ref="AO22:AT29"/>
    <mergeCell ref="AO30:AT37"/>
    <mergeCell ref="E22:I29"/>
    <mergeCell ref="E38:I45"/>
    <mergeCell ref="V6:W7"/>
    <mergeCell ref="Z6:AA7"/>
    <mergeCell ref="P8:Q9"/>
    <mergeCell ref="R6:S7"/>
    <mergeCell ref="T6:U7"/>
    <mergeCell ref="AF6:AG7"/>
    <mergeCell ref="AB8:AC9"/>
    <mergeCell ref="AD8:AE9"/>
    <mergeCell ref="AF8:AG9"/>
    <mergeCell ref="AB10:AC11"/>
    <mergeCell ref="AD10:AE11"/>
    <mergeCell ref="AF10:AG11"/>
    <mergeCell ref="V12:W13"/>
    <mergeCell ref="X12:Y13"/>
    <mergeCell ref="Z12:AA13"/>
    <mergeCell ref="AB6:AC7"/>
    <mergeCell ref="AD6:AE7"/>
    <mergeCell ref="AB12:AC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J12:K13"/>
    <mergeCell ref="L10:M11"/>
    <mergeCell ref="L12:M13"/>
    <mergeCell ref="J14:K15"/>
    <mergeCell ref="T8:U9"/>
    <mergeCell ref="P10:Q11"/>
    <mergeCell ref="R10:S11"/>
    <mergeCell ref="T10:U11"/>
    <mergeCell ref="Z10:AA11"/>
    <mergeCell ref="AD12:AE13"/>
    <mergeCell ref="V8:W9"/>
    <mergeCell ref="X8:Y9"/>
    <mergeCell ref="X6:Y7"/>
    <mergeCell ref="AF12:AG13"/>
    <mergeCell ref="Z8:AA9"/>
    <mergeCell ref="V10:W11"/>
    <mergeCell ref="X10:Y11"/>
    <mergeCell ref="V20:W21"/>
    <mergeCell ref="X20:Y21"/>
    <mergeCell ref="Z20:AA21"/>
    <mergeCell ref="V14:W15"/>
    <mergeCell ref="X14:Y15"/>
    <mergeCell ref="Z14:AA15"/>
    <mergeCell ref="V16:W17"/>
    <mergeCell ref="X16:Y17"/>
    <mergeCell ref="Z16:AA17"/>
    <mergeCell ref="V18:W19"/>
    <mergeCell ref="X18:Y19"/>
    <mergeCell ref="Z18:AA19"/>
    <mergeCell ref="AB14:AC15"/>
    <mergeCell ref="AD14:AE15"/>
    <mergeCell ref="AF14:AG15"/>
    <mergeCell ref="AB16:AC17"/>
    <mergeCell ref="AD16:AE17"/>
    <mergeCell ref="AF16:AG17"/>
    <mergeCell ref="AB18:AC19"/>
    <mergeCell ref="AD18:AE19"/>
    <mergeCell ref="AF18:AG19"/>
    <mergeCell ref="AB26:AC27"/>
    <mergeCell ref="AD26:AE27"/>
    <mergeCell ref="AF26:AG27"/>
    <mergeCell ref="AB20:AC21"/>
    <mergeCell ref="AD20:AE21"/>
    <mergeCell ref="AF20:AG21"/>
    <mergeCell ref="AB28:AC29"/>
    <mergeCell ref="AD28:AE29"/>
    <mergeCell ref="AF28:AG29"/>
    <mergeCell ref="AB22:AC23"/>
    <mergeCell ref="AD22:AE23"/>
    <mergeCell ref="AF22:AG23"/>
    <mergeCell ref="AB24:AC25"/>
    <mergeCell ref="AD24:AE25"/>
    <mergeCell ref="AF24:AG25"/>
    <mergeCell ref="AB44:AC45"/>
    <mergeCell ref="AD44:AE45"/>
    <mergeCell ref="AF44:AG45"/>
    <mergeCell ref="AB38:AC39"/>
    <mergeCell ref="AD38:AE39"/>
    <mergeCell ref="AF38:AG39"/>
    <mergeCell ref="AB40:AC41"/>
    <mergeCell ref="AD40:AE41"/>
    <mergeCell ref="AF40:AG41"/>
    <mergeCell ref="AB42:AC43"/>
    <mergeCell ref="AD42:AE43"/>
    <mergeCell ref="AF42:AG43"/>
    <mergeCell ref="AH10:AI11"/>
    <mergeCell ref="AJ10:AK11"/>
    <mergeCell ref="AL10:AM11"/>
    <mergeCell ref="AH12:AI13"/>
    <mergeCell ref="AJ12:AK13"/>
    <mergeCell ref="AL12:AM13"/>
    <mergeCell ref="AH6:AI7"/>
    <mergeCell ref="AJ6:AK7"/>
    <mergeCell ref="AL6:AM7"/>
    <mergeCell ref="AH8:AI9"/>
    <mergeCell ref="AJ8:AK9"/>
    <mergeCell ref="AL8:AM9"/>
    <mergeCell ref="AJ18:AK19"/>
    <mergeCell ref="AL18:AM19"/>
    <mergeCell ref="AH20:AI21"/>
    <mergeCell ref="AJ20:AK21"/>
    <mergeCell ref="AL20:AM21"/>
    <mergeCell ref="AH14:AI15"/>
    <mergeCell ref="AJ14:AK15"/>
    <mergeCell ref="AL14:AM15"/>
    <mergeCell ref="AH16:AI17"/>
    <mergeCell ref="AJ16:AK17"/>
    <mergeCell ref="AL16:AM17"/>
    <mergeCell ref="AH18:AI19"/>
    <mergeCell ref="AJ26:AK27"/>
    <mergeCell ref="AL26:AM27"/>
    <mergeCell ref="AH28:AI29"/>
    <mergeCell ref="AJ28:AK29"/>
    <mergeCell ref="AL28:AM29"/>
    <mergeCell ref="AH22:AI23"/>
    <mergeCell ref="AJ22:AK23"/>
    <mergeCell ref="AL22:AM23"/>
    <mergeCell ref="AH24:AI25"/>
    <mergeCell ref="AJ24:AK25"/>
    <mergeCell ref="AL24:AM25"/>
    <mergeCell ref="AH26:AI27"/>
    <mergeCell ref="AJ34:AK35"/>
    <mergeCell ref="AL34:AM35"/>
    <mergeCell ref="AH36:AI37"/>
    <mergeCell ref="AJ36:AK37"/>
    <mergeCell ref="AL36:AM37"/>
    <mergeCell ref="AH30:AI31"/>
    <mergeCell ref="AJ30:AK31"/>
    <mergeCell ref="AL30:AM31"/>
    <mergeCell ref="AH32:AI33"/>
    <mergeCell ref="AJ32:AK33"/>
    <mergeCell ref="AL32:AM33"/>
    <mergeCell ref="AH34:AI35"/>
    <mergeCell ref="AJ42:AK43"/>
    <mergeCell ref="AL42:AM43"/>
    <mergeCell ref="AH44:AI45"/>
    <mergeCell ref="AJ44:AK45"/>
    <mergeCell ref="AL44:AM45"/>
    <mergeCell ref="AH38:AI39"/>
    <mergeCell ref="AJ38:AK39"/>
    <mergeCell ref="AL38:AM39"/>
    <mergeCell ref="AH40:AI41"/>
    <mergeCell ref="AJ40:AK41"/>
    <mergeCell ref="AL40:AM41"/>
    <mergeCell ref="AH42:AI43"/>
    <mergeCell ref="AB34:AC35"/>
    <mergeCell ref="AD34:AE35"/>
    <mergeCell ref="AF34:AG35"/>
    <mergeCell ref="AB36:AC37"/>
    <mergeCell ref="AD36:AE37"/>
    <mergeCell ref="AF36:AG37"/>
    <mergeCell ref="AB30:AC31"/>
    <mergeCell ref="AD30:AE31"/>
    <mergeCell ref="AF30:AG31"/>
    <mergeCell ref="AB32:AC33"/>
    <mergeCell ref="AD32:AE33"/>
    <mergeCell ref="AF32:AG33"/>
    <mergeCell ref="R18:S19"/>
    <mergeCell ref="T18:U19"/>
    <mergeCell ref="P20:Q21"/>
    <mergeCell ref="R20:S21"/>
    <mergeCell ref="T20:U21"/>
    <mergeCell ref="J22:K23"/>
    <mergeCell ref="L22:M23"/>
    <mergeCell ref="N22:O23"/>
    <mergeCell ref="J20:K21"/>
    <mergeCell ref="L20:M21"/>
    <mergeCell ref="N20:O21"/>
    <mergeCell ref="P28:Q29"/>
    <mergeCell ref="R28:S29"/>
    <mergeCell ref="T28:U29"/>
    <mergeCell ref="V22:W23"/>
    <mergeCell ref="V28:W29"/>
    <mergeCell ref="J28:K29"/>
    <mergeCell ref="L28:M29"/>
    <mergeCell ref="N28:O29"/>
    <mergeCell ref="P22:Q23"/>
    <mergeCell ref="R22:S23"/>
    <mergeCell ref="T22:U23"/>
    <mergeCell ref="P24:Q25"/>
    <mergeCell ref="R24:S25"/>
    <mergeCell ref="T24:U25"/>
    <mergeCell ref="P26:Q27"/>
    <mergeCell ref="J24:K25"/>
    <mergeCell ref="L24:M25"/>
    <mergeCell ref="N24:O25"/>
    <mergeCell ref="J26:K27"/>
    <mergeCell ref="L26:M27"/>
    <mergeCell ref="N26:O27"/>
    <mergeCell ref="X22:Y23"/>
    <mergeCell ref="Z22:AA23"/>
    <mergeCell ref="V24:W25"/>
    <mergeCell ref="X24:Y25"/>
    <mergeCell ref="Z24:AA25"/>
    <mergeCell ref="V26:W27"/>
    <mergeCell ref="X26:Y27"/>
    <mergeCell ref="Z26:AA27"/>
    <mergeCell ref="R26:S27"/>
    <mergeCell ref="T26:U27"/>
    <mergeCell ref="V34:W35"/>
    <mergeCell ref="X34:Y35"/>
    <mergeCell ref="Z34:AA35"/>
    <mergeCell ref="V36:W37"/>
    <mergeCell ref="X36:Y37"/>
    <mergeCell ref="Z36:AA37"/>
    <mergeCell ref="X28:Y29"/>
    <mergeCell ref="Z28:AA29"/>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CM248"/>
  <sheetViews>
    <sheetView zoomScale="50" zoomScaleNormal="50" workbookViewId="0">
      <selection activeCell="B6" sqref="B6:D55"/>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row>
    <row r="2" spans="1:91" ht="18" customHeight="1" x14ac:dyDescent="0.25">
      <c r="A2" s="69"/>
      <c r="B2" s="453" t="s">
        <v>146</v>
      </c>
      <c r="C2" s="454"/>
      <c r="D2" s="454"/>
      <c r="E2" s="454"/>
      <c r="F2" s="454"/>
      <c r="G2" s="454"/>
      <c r="H2" s="454"/>
      <c r="I2" s="454"/>
      <c r="J2" s="384" t="s">
        <v>15</v>
      </c>
      <c r="K2" s="384"/>
      <c r="L2" s="384"/>
      <c r="M2" s="384"/>
      <c r="N2" s="384"/>
      <c r="O2" s="384"/>
      <c r="P2" s="384"/>
      <c r="Q2" s="384"/>
      <c r="R2" s="384"/>
      <c r="S2" s="384"/>
      <c r="T2" s="384"/>
      <c r="U2" s="384"/>
      <c r="V2" s="384"/>
      <c r="W2" s="384"/>
      <c r="X2" s="384"/>
      <c r="Y2" s="384"/>
      <c r="Z2" s="384"/>
      <c r="AA2" s="384"/>
      <c r="AB2" s="384"/>
      <c r="AC2" s="384"/>
      <c r="AD2" s="384"/>
      <c r="AE2" s="384"/>
      <c r="AF2" s="384"/>
      <c r="AG2" s="384"/>
      <c r="AH2" s="384"/>
      <c r="AI2" s="384"/>
      <c r="AJ2" s="384"/>
      <c r="AK2" s="384"/>
      <c r="AL2" s="384"/>
      <c r="AM2" s="384"/>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row>
    <row r="3" spans="1:91" ht="18.75" customHeight="1" x14ac:dyDescent="0.25">
      <c r="A3" s="69"/>
      <c r="B3" s="454"/>
      <c r="C3" s="454"/>
      <c r="D3" s="454"/>
      <c r="E3" s="454"/>
      <c r="F3" s="454"/>
      <c r="G3" s="454"/>
      <c r="H3" s="454"/>
      <c r="I3" s="454"/>
      <c r="J3" s="384"/>
      <c r="K3" s="384"/>
      <c r="L3" s="384"/>
      <c r="M3" s="384"/>
      <c r="N3" s="384"/>
      <c r="O3" s="384"/>
      <c r="P3" s="384"/>
      <c r="Q3" s="384"/>
      <c r="R3" s="384"/>
      <c r="S3" s="384"/>
      <c r="T3" s="384"/>
      <c r="U3" s="384"/>
      <c r="V3" s="384"/>
      <c r="W3" s="384"/>
      <c r="X3" s="384"/>
      <c r="Y3" s="384"/>
      <c r="Z3" s="384"/>
      <c r="AA3" s="384"/>
      <c r="AB3" s="384"/>
      <c r="AC3" s="384"/>
      <c r="AD3" s="384"/>
      <c r="AE3" s="384"/>
      <c r="AF3" s="384"/>
      <c r="AG3" s="384"/>
      <c r="AH3" s="384"/>
      <c r="AI3" s="384"/>
      <c r="AJ3" s="384"/>
      <c r="AK3" s="384"/>
      <c r="AL3" s="384"/>
      <c r="AM3" s="384"/>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row>
    <row r="4" spans="1:91" ht="15" customHeight="1" x14ac:dyDescent="0.25">
      <c r="A4" s="69"/>
      <c r="B4" s="454"/>
      <c r="C4" s="454"/>
      <c r="D4" s="454"/>
      <c r="E4" s="454"/>
      <c r="F4" s="454"/>
      <c r="G4" s="454"/>
      <c r="H4" s="454"/>
      <c r="I4" s="454"/>
      <c r="J4" s="384"/>
      <c r="K4" s="384"/>
      <c r="L4" s="384"/>
      <c r="M4" s="384"/>
      <c r="N4" s="384"/>
      <c r="O4" s="384"/>
      <c r="P4" s="384"/>
      <c r="Q4" s="384"/>
      <c r="R4" s="384"/>
      <c r="S4" s="384"/>
      <c r="T4" s="384"/>
      <c r="U4" s="384"/>
      <c r="V4" s="384"/>
      <c r="W4" s="384"/>
      <c r="X4" s="384"/>
      <c r="Y4" s="384"/>
      <c r="Z4" s="384"/>
      <c r="AA4" s="384"/>
      <c r="AB4" s="384"/>
      <c r="AC4" s="384"/>
      <c r="AD4" s="384"/>
      <c r="AE4" s="384"/>
      <c r="AF4" s="384"/>
      <c r="AG4" s="384"/>
      <c r="AH4" s="384"/>
      <c r="AI4" s="384"/>
      <c r="AJ4" s="384"/>
      <c r="AK4" s="384"/>
      <c r="AL4" s="384"/>
      <c r="AM4" s="384"/>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row>
    <row r="5" spans="1:91"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row>
    <row r="6" spans="1:91" ht="15" customHeight="1" x14ac:dyDescent="0.25">
      <c r="A6" s="69"/>
      <c r="B6" s="431" t="s">
        <v>131</v>
      </c>
      <c r="C6" s="431"/>
      <c r="D6" s="432"/>
      <c r="E6" s="433" t="s">
        <v>132</v>
      </c>
      <c r="F6" s="434"/>
      <c r="G6" s="434"/>
      <c r="H6" s="434"/>
      <c r="I6" s="435"/>
      <c r="J6" s="32" t="str">
        <f ca="1">IF(AND('Mapa final'!$AG$13="Muy Alta",'Mapa final'!$AI$13="Leve"),CONCATENATE("R1C",'Mapa final'!$W$13),"")</f>
        <v/>
      </c>
      <c r="K6" s="33" t="str">
        <f ca="1">IF(AND('Mapa final'!$AG$14="Muy Alta",'Mapa final'!$AI$14="Leve"),CONCATENATE("R1C",'Mapa final'!$W$14),"")</f>
        <v/>
      </c>
      <c r="L6" s="33" t="str">
        <f>IF(AND('Mapa final'!$AG$15="Muy Alta",'Mapa final'!$AI$15="Leve"),CONCATENATE("R1C",'Mapa final'!$W$15),"")</f>
        <v/>
      </c>
      <c r="M6" s="33" t="str">
        <f>IF(AND('Mapa final'!$AG$16="Muy Alta",'Mapa final'!$AI$16="Leve"),CONCATENATE("R1C",'Mapa final'!$W$16),"")</f>
        <v/>
      </c>
      <c r="N6" s="33" t="str">
        <f>IF(AND('Mapa final'!$AG$17="Muy Alta",'Mapa final'!$AI$17="Leve"),CONCATENATE("R1C",'Mapa final'!$W$17),"")</f>
        <v/>
      </c>
      <c r="O6" s="34" t="str">
        <f>IF(AND('Mapa final'!$AG$18="Muy Alta",'Mapa final'!$AI$18="Leve"),CONCATENATE("R1C",'Mapa final'!$W$18),"")</f>
        <v/>
      </c>
      <c r="P6" s="32" t="str">
        <f ca="1">IF(AND('Mapa final'!$AG$13="Muy Alta",'Mapa final'!$AI$13="Menor"),CONCATENATE("R1C",'Mapa final'!$W$13),"")</f>
        <v/>
      </c>
      <c r="Q6" s="33" t="str">
        <f ca="1">IF(AND('Mapa final'!$AG$14="Muy Alta",'Mapa final'!$AI$14="Menor"),CONCATENATE("R1C",'Mapa final'!$W$14),"")</f>
        <v/>
      </c>
      <c r="R6" s="33" t="str">
        <f>IF(AND('Mapa final'!$AG$15="Muy Alta",'Mapa final'!$AI$15="Menor"),CONCATENATE("R1C",'Mapa final'!$W$15),"")</f>
        <v/>
      </c>
      <c r="S6" s="33" t="str">
        <f>IF(AND('Mapa final'!$AG$16="Muy Alta",'Mapa final'!$AI$16="Menor"),CONCATENATE("R1C",'Mapa final'!$W$16),"")</f>
        <v/>
      </c>
      <c r="T6" s="33" t="str">
        <f>IF(AND('Mapa final'!$AG$17="Muy Alta",'Mapa final'!$AI$17="Menor"),CONCATENATE("R1C",'Mapa final'!$W$17),"")</f>
        <v/>
      </c>
      <c r="U6" s="34" t="str">
        <f>IF(AND('Mapa final'!$AG$18="Muy Alta",'Mapa final'!$AI$18="Menor"),CONCATENATE("R1C",'Mapa final'!$W$18),"")</f>
        <v/>
      </c>
      <c r="V6" s="32" t="str">
        <f ca="1">IF(AND('Mapa final'!$AG$13="Muy Alta",'Mapa final'!$AI$13="Moderado"),CONCATENATE("R1C",'Mapa final'!$W$13),"")</f>
        <v/>
      </c>
      <c r="W6" s="33" t="str">
        <f ca="1">IF(AND('Mapa final'!$AG$14="Muy Alta",'Mapa final'!$AI$14="Moderado"),CONCATENATE("R1C",'Mapa final'!$W$14),"")</f>
        <v/>
      </c>
      <c r="X6" s="33" t="str">
        <f>IF(AND('Mapa final'!$AG$15="Muy Alta",'Mapa final'!$AI$15="Moderado"),CONCATENATE("R1C",'Mapa final'!$W$15),"")</f>
        <v/>
      </c>
      <c r="Y6" s="33" t="str">
        <f>IF(AND('Mapa final'!$AG$16="Muy Alta",'Mapa final'!$AI$16="Moderado"),CONCATENATE("R1C",'Mapa final'!$W$16),"")</f>
        <v/>
      </c>
      <c r="Z6" s="33" t="str">
        <f>IF(AND('Mapa final'!$AG$17="Muy Alta",'Mapa final'!$AI$17="Moderado"),CONCATENATE("R1C",'Mapa final'!$W$17),"")</f>
        <v/>
      </c>
      <c r="AA6" s="34" t="str">
        <f>IF(AND('Mapa final'!$AG$18="Muy Alta",'Mapa final'!$AI$18="Moderado"),CONCATENATE("R1C",'Mapa final'!$W$18),"")</f>
        <v/>
      </c>
      <c r="AB6" s="32" t="str">
        <f ca="1">IF(AND('Mapa final'!$AG$13="Muy Alta",'Mapa final'!$AI$13="Mayor"),CONCATENATE("R1C",'Mapa final'!$W$13),"")</f>
        <v/>
      </c>
      <c r="AC6" s="33" t="str">
        <f ca="1">IF(AND('Mapa final'!$AG$14="Muy Alta",'Mapa final'!$AI$14="Mayor"),CONCATENATE("R1C",'Mapa final'!$W$14),"")</f>
        <v/>
      </c>
      <c r="AD6" s="33" t="str">
        <f>IF(AND('Mapa final'!$AG$15="Muy Alta",'Mapa final'!$AI$15="Mayor"),CONCATENATE("R1C",'Mapa final'!$W$15),"")</f>
        <v/>
      </c>
      <c r="AE6" s="33" t="str">
        <f>IF(AND('Mapa final'!$AG$16="Muy Alta",'Mapa final'!$AI$16="Mayor"),CONCATENATE("R1C",'Mapa final'!$W$16),"")</f>
        <v/>
      </c>
      <c r="AF6" s="33" t="str">
        <f>IF(AND('Mapa final'!$AG$17="Muy Alta",'Mapa final'!$AI$17="Mayor"),CONCATENATE("R1C",'Mapa final'!$W$17),"")</f>
        <v/>
      </c>
      <c r="AG6" s="34" t="str">
        <f>IF(AND('Mapa final'!$AG$18="Muy Alta",'Mapa final'!$AI$18="Mayor"),CONCATENATE("R1C",'Mapa final'!$W$18),"")</f>
        <v/>
      </c>
      <c r="AH6" s="35" t="str">
        <f ca="1">IF(AND('Mapa final'!$AG$13="Muy Alta",'Mapa final'!$AI$13="Catastrófico"),CONCATENATE("R1C",'Mapa final'!$W$13),"")</f>
        <v/>
      </c>
      <c r="AI6" s="36" t="str">
        <f ca="1">IF(AND('Mapa final'!$AG$14="Muy Alta",'Mapa final'!$AI$14="Catastrófico"),CONCATENATE("R1C",'Mapa final'!$W$14),"")</f>
        <v/>
      </c>
      <c r="AJ6" s="36" t="str">
        <f>IF(AND('Mapa final'!$AG$15="Muy Alta",'Mapa final'!$AI$15="Catastrófico"),CONCATENATE("R1C",'Mapa final'!$W$15),"")</f>
        <v/>
      </c>
      <c r="AK6" s="36" t="str">
        <f>IF(AND('Mapa final'!$AG$16="Muy Alta",'Mapa final'!$AI$16="Catastrófico"),CONCATENATE("R1C",'Mapa final'!$W$16),"")</f>
        <v/>
      </c>
      <c r="AL6" s="36" t="str">
        <f>IF(AND('Mapa final'!$AG$17="Muy Alta",'Mapa final'!$AI$17="Catastrófico"),CONCATENATE("R1C",'Mapa final'!$W$17),"")</f>
        <v/>
      </c>
      <c r="AM6" s="37" t="str">
        <f>IF(AND('Mapa final'!$AG$18="Muy Alta",'Mapa final'!$AI$18="Catastrófico"),CONCATENATE("R1C",'Mapa final'!$W$18),"")</f>
        <v/>
      </c>
      <c r="AN6" s="69"/>
      <c r="AO6" s="444" t="s">
        <v>133</v>
      </c>
      <c r="AP6" s="445"/>
      <c r="AQ6" s="445"/>
      <c r="AR6" s="445"/>
      <c r="AS6" s="445"/>
      <c r="AT6" s="446"/>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row>
    <row r="7" spans="1:91" ht="15" customHeight="1" x14ac:dyDescent="0.25">
      <c r="A7" s="69"/>
      <c r="B7" s="431"/>
      <c r="C7" s="431"/>
      <c r="D7" s="432"/>
      <c r="E7" s="436"/>
      <c r="F7" s="437"/>
      <c r="G7" s="437"/>
      <c r="H7" s="437"/>
      <c r="I7" s="438"/>
      <c r="J7" s="38" t="str">
        <f ca="1">IF(AND('Mapa final'!$AG$19="Muy Alta",'Mapa final'!$AI$19="Leve"),CONCATENATE("R2C",'Mapa final'!$W$19),"")</f>
        <v/>
      </c>
      <c r="K7" s="39" t="str">
        <f ca="1">IF(AND('Mapa final'!$AG$20="Muy Alta",'Mapa final'!$AI$20="Leve"),CONCATENATE("R2C",'Mapa final'!$W$20),"")</f>
        <v/>
      </c>
      <c r="L7" s="39" t="str">
        <f>IF(AND('Mapa final'!$AG$21="Muy Alta",'Mapa final'!$AI$21="Leve"),CONCATENATE("R2C",'Mapa final'!$W$21),"")</f>
        <v/>
      </c>
      <c r="M7" s="39" t="str">
        <f>IF(AND('Mapa final'!$AG$22="Muy Alta",'Mapa final'!$AI$22="Leve"),CONCATENATE("R2C",'Mapa final'!$W$22),"")</f>
        <v/>
      </c>
      <c r="N7" s="39" t="str">
        <f>IF(AND('Mapa final'!$AG$23="Muy Alta",'Mapa final'!$AI$23="Leve"),CONCATENATE("R2C",'Mapa final'!$W$23),"")</f>
        <v/>
      </c>
      <c r="O7" s="40" t="str">
        <f>IF(AND('Mapa final'!$AG$24="Muy Alta",'Mapa final'!$AI$24="Leve"),CONCATENATE("R2C",'Mapa final'!$W$24),"")</f>
        <v/>
      </c>
      <c r="P7" s="38" t="str">
        <f ca="1">IF(AND('Mapa final'!$AG$19="Muy Alta",'Mapa final'!$AI$19="Menor"),CONCATENATE("R2C",'Mapa final'!$W$19),"")</f>
        <v/>
      </c>
      <c r="Q7" s="39" t="str">
        <f ca="1">IF(AND('Mapa final'!$AG$20="Muy Alta",'Mapa final'!$AI$20="Menor"),CONCATENATE("R2C",'Mapa final'!$W$20),"")</f>
        <v/>
      </c>
      <c r="R7" s="39" t="str">
        <f>IF(AND('Mapa final'!$AG$21="Muy Alta",'Mapa final'!$AI$21="Menor"),CONCATENATE("R2C",'Mapa final'!$W$21),"")</f>
        <v/>
      </c>
      <c r="S7" s="39" t="str">
        <f>IF(AND('Mapa final'!$AG$22="Muy Alta",'Mapa final'!$AI$22="Menor"),CONCATENATE("R2C",'Mapa final'!$W$22),"")</f>
        <v/>
      </c>
      <c r="T7" s="39" t="str">
        <f>IF(AND('Mapa final'!$AG$23="Muy Alta",'Mapa final'!$AI$23="Menor"),CONCATENATE("R2C",'Mapa final'!$W$23),"")</f>
        <v/>
      </c>
      <c r="U7" s="40" t="str">
        <f>IF(AND('Mapa final'!$AG$24="Muy Alta",'Mapa final'!$AI$24="Menor"),CONCATENATE("R2C",'Mapa final'!$W$24),"")</f>
        <v/>
      </c>
      <c r="V7" s="38" t="str">
        <f ca="1">IF(AND('Mapa final'!$AG$19="Muy Alta",'Mapa final'!$AI$19="Moderado"),CONCATENATE("R2C",'Mapa final'!$W$19),"")</f>
        <v/>
      </c>
      <c r="W7" s="39" t="str">
        <f ca="1">IF(AND('Mapa final'!$AG$20="Muy Alta",'Mapa final'!$AI$20="Moderado"),CONCATENATE("R2C",'Mapa final'!$W$20),"")</f>
        <v/>
      </c>
      <c r="X7" s="39" t="str">
        <f>IF(AND('Mapa final'!$AG$21="Muy Alta",'Mapa final'!$AI$21="Moderado"),CONCATENATE("R2C",'Mapa final'!$W$21),"")</f>
        <v/>
      </c>
      <c r="Y7" s="39" t="str">
        <f>IF(AND('Mapa final'!$AG$22="Muy Alta",'Mapa final'!$AI$22="Moderado"),CONCATENATE("R2C",'Mapa final'!$W$22),"")</f>
        <v/>
      </c>
      <c r="Z7" s="39" t="str">
        <f>IF(AND('Mapa final'!$AG$23="Muy Alta",'Mapa final'!$AI$23="Moderado"),CONCATENATE("R2C",'Mapa final'!$W$23),"")</f>
        <v/>
      </c>
      <c r="AA7" s="40" t="str">
        <f>IF(AND('Mapa final'!$AG$24="Muy Alta",'Mapa final'!$AI$24="Moderado"),CONCATENATE("R2C",'Mapa final'!$W$24),"")</f>
        <v/>
      </c>
      <c r="AB7" s="38" t="str">
        <f ca="1">IF(AND('Mapa final'!$AG$19="Muy Alta",'Mapa final'!$AI$19="Mayor"),CONCATENATE("R2C",'Mapa final'!$W$19),"")</f>
        <v/>
      </c>
      <c r="AC7" s="39" t="str">
        <f ca="1">IF(AND('Mapa final'!$AG$20="Muy Alta",'Mapa final'!$AI$20="Mayor"),CONCATENATE("R2C",'Mapa final'!$W$20),"")</f>
        <v/>
      </c>
      <c r="AD7" s="39" t="str">
        <f>IF(AND('Mapa final'!$AG$21="Muy Alta",'Mapa final'!$AI$21="Mayor"),CONCATENATE("R2C",'Mapa final'!$W$21),"")</f>
        <v/>
      </c>
      <c r="AE7" s="39" t="str">
        <f>IF(AND('Mapa final'!$AG$22="Muy Alta",'Mapa final'!$AI$22="Mayor"),CONCATENATE("R2C",'Mapa final'!$W$22),"")</f>
        <v/>
      </c>
      <c r="AF7" s="39" t="str">
        <f>IF(AND('Mapa final'!$AG$23="Muy Alta",'Mapa final'!$AI$23="Mayor"),CONCATENATE("R2C",'Mapa final'!$W$23),"")</f>
        <v/>
      </c>
      <c r="AG7" s="40" t="str">
        <f>IF(AND('Mapa final'!$AG$24="Muy Alta",'Mapa final'!$AI$24="Mayor"),CONCATENATE("R2C",'Mapa final'!$W$24),"")</f>
        <v/>
      </c>
      <c r="AH7" s="41" t="str">
        <f ca="1">IF(AND('Mapa final'!$AG$19="Muy Alta",'Mapa final'!$AI$19="Catastrófico"),CONCATENATE("R2C",'Mapa final'!$W$19),"")</f>
        <v/>
      </c>
      <c r="AI7" s="42" t="str">
        <f ca="1">IF(AND('Mapa final'!$AG$20="Muy Alta",'Mapa final'!$AI$20="Catastrófico"),CONCATENATE("R2C",'Mapa final'!$W$20),"")</f>
        <v/>
      </c>
      <c r="AJ7" s="42" t="str">
        <f>IF(AND('Mapa final'!$AG$21="Muy Alta",'Mapa final'!$AI$21="Catastrófico"),CONCATENATE("R2C",'Mapa final'!$W$21),"")</f>
        <v/>
      </c>
      <c r="AK7" s="42" t="str">
        <f>IF(AND('Mapa final'!$AG$22="Muy Alta",'Mapa final'!$AI$22="Catastrófico"),CONCATENATE("R2C",'Mapa final'!$W$22),"")</f>
        <v/>
      </c>
      <c r="AL7" s="42" t="str">
        <f>IF(AND('Mapa final'!$AG$23="Muy Alta",'Mapa final'!$AI$23="Catastrófico"),CONCATENATE("R2C",'Mapa final'!$W$23),"")</f>
        <v/>
      </c>
      <c r="AM7" s="43" t="str">
        <f>IF(AND('Mapa final'!$AG$24="Muy Alta",'Mapa final'!$AI$24="Catastrófico"),CONCATENATE("R2C",'Mapa final'!$W$24),"")</f>
        <v/>
      </c>
      <c r="AN7" s="69"/>
      <c r="AO7" s="447"/>
      <c r="AP7" s="448"/>
      <c r="AQ7" s="448"/>
      <c r="AR7" s="448"/>
      <c r="AS7" s="448"/>
      <c r="AT7" s="449"/>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row>
    <row r="8" spans="1:91" ht="15" customHeight="1" x14ac:dyDescent="0.25">
      <c r="A8" s="69"/>
      <c r="B8" s="431"/>
      <c r="C8" s="431"/>
      <c r="D8" s="432"/>
      <c r="E8" s="436"/>
      <c r="F8" s="437"/>
      <c r="G8" s="437"/>
      <c r="H8" s="437"/>
      <c r="I8" s="438"/>
      <c r="J8" s="38" t="str">
        <f ca="1">IF(AND('Mapa final'!$AG$25="Muy Alta",'Mapa final'!$AI$25="Leve"),CONCATENATE("R3C",'Mapa final'!$W$25),"")</f>
        <v/>
      </c>
      <c r="K8" s="39" t="str">
        <f ca="1">IF(AND('Mapa final'!$AG$26="Muy Alta",'Mapa final'!$AI$26="Leve"),CONCATENATE("R3C",'Mapa final'!$W$26),"")</f>
        <v/>
      </c>
      <c r="L8" s="39" t="str">
        <f ca="1">IF(AND('Mapa final'!$AG$27="Muy Alta",'Mapa final'!$AI$27="Leve"),CONCATENATE("R3C",'Mapa final'!$W$27),"")</f>
        <v/>
      </c>
      <c r="M8" s="39" t="str">
        <f>IF(AND('Mapa final'!$AG$28="Muy Alta",'Mapa final'!$AI$28="Leve"),CONCATENATE("R3C",'Mapa final'!$W$28),"")</f>
        <v/>
      </c>
      <c r="N8" s="39" t="str">
        <f>IF(AND('Mapa final'!$AG$29="Muy Alta",'Mapa final'!$AI$29="Leve"),CONCATENATE("R3C",'Mapa final'!$W$29),"")</f>
        <v/>
      </c>
      <c r="O8" s="40" t="str">
        <f>IF(AND('Mapa final'!$AG$30="Muy Alta",'Mapa final'!$AI$30="Leve"),CONCATENATE("R3C",'Mapa final'!$W$30),"")</f>
        <v/>
      </c>
      <c r="P8" s="38" t="str">
        <f ca="1">IF(AND('Mapa final'!$AG$25="Muy Alta",'Mapa final'!$AI$25="Menor"),CONCATENATE("R3C",'Mapa final'!$W$25),"")</f>
        <v/>
      </c>
      <c r="Q8" s="39" t="str">
        <f ca="1">IF(AND('Mapa final'!$AG$26="Muy Alta",'Mapa final'!$AI$26="Menor"),CONCATENATE("R3C",'Mapa final'!$W$26),"")</f>
        <v/>
      </c>
      <c r="R8" s="39" t="str">
        <f ca="1">IF(AND('Mapa final'!$AG$27="Muy Alta",'Mapa final'!$AI$27="Menor"),CONCATENATE("R3C",'Mapa final'!$W$27),"")</f>
        <v/>
      </c>
      <c r="S8" s="39" t="str">
        <f>IF(AND('Mapa final'!$AG$28="Muy Alta",'Mapa final'!$AI$28="Menor"),CONCATENATE("R3C",'Mapa final'!$W$28),"")</f>
        <v/>
      </c>
      <c r="T8" s="39" t="str">
        <f>IF(AND('Mapa final'!$AG$29="Muy Alta",'Mapa final'!$AI$29="Menor"),CONCATENATE("R3C",'Mapa final'!$W$29),"")</f>
        <v/>
      </c>
      <c r="U8" s="40" t="str">
        <f>IF(AND('Mapa final'!$AG$30="Muy Alta",'Mapa final'!$AI$30="Menor"),CONCATENATE("R3C",'Mapa final'!$W$30),"")</f>
        <v/>
      </c>
      <c r="V8" s="38" t="str">
        <f ca="1">IF(AND('Mapa final'!$AG$25="Muy Alta",'Mapa final'!$AI$25="Moderado"),CONCATENATE("R3C",'Mapa final'!$W$25),"")</f>
        <v/>
      </c>
      <c r="W8" s="39" t="str">
        <f ca="1">IF(AND('Mapa final'!$AG$26="Muy Alta",'Mapa final'!$AI$26="Moderado"),CONCATENATE("R3C",'Mapa final'!$W$26),"")</f>
        <v/>
      </c>
      <c r="X8" s="39" t="str">
        <f ca="1">IF(AND('Mapa final'!$AG$27="Muy Alta",'Mapa final'!$AI$27="Moderado"),CONCATENATE("R3C",'Mapa final'!$W$27),"")</f>
        <v/>
      </c>
      <c r="Y8" s="39" t="str">
        <f>IF(AND('Mapa final'!$AG$28="Muy Alta",'Mapa final'!$AI$28="Moderado"),CONCATENATE("R3C",'Mapa final'!$W$28),"")</f>
        <v/>
      </c>
      <c r="Z8" s="39" t="str">
        <f>IF(AND('Mapa final'!$AG$29="Muy Alta",'Mapa final'!$AI$29="Moderado"),CONCATENATE("R3C",'Mapa final'!$W$29),"")</f>
        <v/>
      </c>
      <c r="AA8" s="40" t="str">
        <f>IF(AND('Mapa final'!$AG$30="Muy Alta",'Mapa final'!$AI$30="Moderado"),CONCATENATE("R3C",'Mapa final'!$W$30),"")</f>
        <v/>
      </c>
      <c r="AB8" s="38" t="str">
        <f ca="1">IF(AND('Mapa final'!$AG$25="Muy Alta",'Mapa final'!$AI$25="Mayor"),CONCATENATE("R3C",'Mapa final'!$W$25),"")</f>
        <v/>
      </c>
      <c r="AC8" s="39" t="str">
        <f ca="1">IF(AND('Mapa final'!$AG$26="Muy Alta",'Mapa final'!$AI$26="Mayor"),CONCATENATE("R3C",'Mapa final'!$W$26),"")</f>
        <v/>
      </c>
      <c r="AD8" s="39" t="str">
        <f ca="1">IF(AND('Mapa final'!$AG$27="Muy Alta",'Mapa final'!$AI$27="Mayor"),CONCATENATE("R3C",'Mapa final'!$W$27),"")</f>
        <v/>
      </c>
      <c r="AE8" s="39" t="str">
        <f>IF(AND('Mapa final'!$AG$28="Muy Alta",'Mapa final'!$AI$28="Mayor"),CONCATENATE("R3C",'Mapa final'!$W$28),"")</f>
        <v/>
      </c>
      <c r="AF8" s="39" t="str">
        <f>IF(AND('Mapa final'!$AG$29="Muy Alta",'Mapa final'!$AI$29="Mayor"),CONCATENATE("R3C",'Mapa final'!$W$29),"")</f>
        <v/>
      </c>
      <c r="AG8" s="40" t="str">
        <f>IF(AND('Mapa final'!$AG$30="Muy Alta",'Mapa final'!$AI$30="Mayor"),CONCATENATE("R3C",'Mapa final'!$W$30),"")</f>
        <v/>
      </c>
      <c r="AH8" s="41" t="str">
        <f ca="1">IF(AND('Mapa final'!$AG$25="Muy Alta",'Mapa final'!$AI$25="Catastrófico"),CONCATENATE("R3C",'Mapa final'!$W$25),"")</f>
        <v/>
      </c>
      <c r="AI8" s="42" t="str">
        <f ca="1">IF(AND('Mapa final'!$AG$26="Muy Alta",'Mapa final'!$AI$26="Catastrófico"),CONCATENATE("R3C",'Mapa final'!$W$26),"")</f>
        <v/>
      </c>
      <c r="AJ8" s="42" t="str">
        <f ca="1">IF(AND('Mapa final'!$AG$27="Muy Alta",'Mapa final'!$AI$27="Catastrófico"),CONCATENATE("R3C",'Mapa final'!$W$27),"")</f>
        <v/>
      </c>
      <c r="AK8" s="42" t="str">
        <f>IF(AND('Mapa final'!$AG$28="Muy Alta",'Mapa final'!$AI$28="Catastrófico"),CONCATENATE("R3C",'Mapa final'!$W$28),"")</f>
        <v/>
      </c>
      <c r="AL8" s="42" t="str">
        <f>IF(AND('Mapa final'!$AG$29="Muy Alta",'Mapa final'!$AI$29="Catastrófico"),CONCATENATE("R3C",'Mapa final'!$W$29),"")</f>
        <v/>
      </c>
      <c r="AM8" s="43" t="str">
        <f>IF(AND('Mapa final'!$AG$30="Muy Alta",'Mapa final'!$AI$30="Catastrófico"),CONCATENATE("R3C",'Mapa final'!$W$30),"")</f>
        <v/>
      </c>
      <c r="AN8" s="69"/>
      <c r="AO8" s="447"/>
      <c r="AP8" s="448"/>
      <c r="AQ8" s="448"/>
      <c r="AR8" s="448"/>
      <c r="AS8" s="448"/>
      <c r="AT8" s="449"/>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row>
    <row r="9" spans="1:91" ht="15" customHeight="1" x14ac:dyDescent="0.25">
      <c r="A9" s="69"/>
      <c r="B9" s="431"/>
      <c r="C9" s="431"/>
      <c r="D9" s="432"/>
      <c r="E9" s="436"/>
      <c r="F9" s="437"/>
      <c r="G9" s="437"/>
      <c r="H9" s="437"/>
      <c r="I9" s="438"/>
      <c r="J9" s="38" t="str">
        <f ca="1">IF(AND('Mapa final'!$AG$31="Muy Alta",'Mapa final'!$AI$31="Leve"),CONCATENATE("R4C",'Mapa final'!$W$31),"")</f>
        <v/>
      </c>
      <c r="K9" s="39" t="str">
        <f ca="1">IF(AND('Mapa final'!$AG$32="Muy Alta",'Mapa final'!$AI$32="Leve"),CONCATENATE("R4C",'Mapa final'!$W$32),"")</f>
        <v/>
      </c>
      <c r="L9" s="39" t="str">
        <f>IF(AND('Mapa final'!$AG$33="Muy Alta",'Mapa final'!$AI$33="Leve"),CONCATENATE("R4C",'Mapa final'!$W$33),"")</f>
        <v/>
      </c>
      <c r="M9" s="39" t="str">
        <f>IF(AND('Mapa final'!$AG$34="Muy Alta",'Mapa final'!$AI$34="Leve"),CONCATENATE("R4C",'Mapa final'!$W$34),"")</f>
        <v/>
      </c>
      <c r="N9" s="39" t="str">
        <f>IF(AND('Mapa final'!$AG$35="Muy Alta",'Mapa final'!$AI$35="Leve"),CONCATENATE("R4C",'Mapa final'!$W$35),"")</f>
        <v/>
      </c>
      <c r="O9" s="40" t="str">
        <f>IF(AND('Mapa final'!$AG$36="Muy Alta",'Mapa final'!$AI$36="Leve"),CONCATENATE("R4C",'Mapa final'!$W$36),"")</f>
        <v/>
      </c>
      <c r="P9" s="38" t="str">
        <f ca="1">IF(AND('Mapa final'!$AG$31="Muy Alta",'Mapa final'!$AI$31="Menor"),CONCATENATE("R4C",'Mapa final'!$W$31),"")</f>
        <v/>
      </c>
      <c r="Q9" s="39" t="str">
        <f ca="1">IF(AND('Mapa final'!$AG$32="Muy Alta",'Mapa final'!$AI$32="Menor"),CONCATENATE("R4C",'Mapa final'!$W$32),"")</f>
        <v/>
      </c>
      <c r="R9" s="39" t="str">
        <f>IF(AND('Mapa final'!$AG$33="Muy Alta",'Mapa final'!$AI$33="Menor"),CONCATENATE("R4C",'Mapa final'!$W$33),"")</f>
        <v/>
      </c>
      <c r="S9" s="39" t="str">
        <f>IF(AND('Mapa final'!$AG$34="Muy Alta",'Mapa final'!$AI$34="Menor"),CONCATENATE("R4C",'Mapa final'!$W$34),"")</f>
        <v/>
      </c>
      <c r="T9" s="39" t="str">
        <f>IF(AND('Mapa final'!$AG$35="Muy Alta",'Mapa final'!$AI$35="Menor"),CONCATENATE("R4C",'Mapa final'!$W$35),"")</f>
        <v/>
      </c>
      <c r="U9" s="40" t="str">
        <f>IF(AND('Mapa final'!$AG$36="Muy Alta",'Mapa final'!$AI$36="Menor"),CONCATENATE("R4C",'Mapa final'!$W$36),"")</f>
        <v/>
      </c>
      <c r="V9" s="38" t="str">
        <f ca="1">IF(AND('Mapa final'!$AG$31="Muy Alta",'Mapa final'!$AI$31="Moderado"),CONCATENATE("R4C",'Mapa final'!$W$31),"")</f>
        <v/>
      </c>
      <c r="W9" s="39" t="str">
        <f ca="1">IF(AND('Mapa final'!$AG$32="Muy Alta",'Mapa final'!$AI$32="Moderado"),CONCATENATE("R4C",'Mapa final'!$W$32),"")</f>
        <v/>
      </c>
      <c r="X9" s="39" t="str">
        <f>IF(AND('Mapa final'!$AG$33="Muy Alta",'Mapa final'!$AI$33="Moderado"),CONCATENATE("R4C",'Mapa final'!$W$33),"")</f>
        <v/>
      </c>
      <c r="Y9" s="39" t="str">
        <f>IF(AND('Mapa final'!$AG$34="Muy Alta",'Mapa final'!$AI$34="Moderado"),CONCATENATE("R4C",'Mapa final'!$W$34),"")</f>
        <v/>
      </c>
      <c r="Z9" s="39" t="str">
        <f>IF(AND('Mapa final'!$AG$35="Muy Alta",'Mapa final'!$AI$35="Moderado"),CONCATENATE("R4C",'Mapa final'!$W$35),"")</f>
        <v/>
      </c>
      <c r="AA9" s="40" t="str">
        <f>IF(AND('Mapa final'!$AG$36="Muy Alta",'Mapa final'!$AI$36="Moderado"),CONCATENATE("R4C",'Mapa final'!$W$36),"")</f>
        <v/>
      </c>
      <c r="AB9" s="38" t="str">
        <f ca="1">IF(AND('Mapa final'!$AG$31="Muy Alta",'Mapa final'!$AI$31="Mayor"),CONCATENATE("R4C",'Mapa final'!$W$31),"")</f>
        <v/>
      </c>
      <c r="AC9" s="39" t="str">
        <f ca="1">IF(AND('Mapa final'!$AG$32="Muy Alta",'Mapa final'!$AI$32="Mayor"),CONCATENATE("R4C",'Mapa final'!$W$32),"")</f>
        <v/>
      </c>
      <c r="AD9" s="39" t="str">
        <f>IF(AND('Mapa final'!$AG$33="Muy Alta",'Mapa final'!$AI$33="Mayor"),CONCATENATE("R4C",'Mapa final'!$W$33),"")</f>
        <v/>
      </c>
      <c r="AE9" s="39" t="str">
        <f>IF(AND('Mapa final'!$AG$34="Muy Alta",'Mapa final'!$AI$34="Mayor"),CONCATENATE("R4C",'Mapa final'!$W$34),"")</f>
        <v/>
      </c>
      <c r="AF9" s="39" t="str">
        <f>IF(AND('Mapa final'!$AG$35="Muy Alta",'Mapa final'!$AI$35="Mayor"),CONCATENATE("R4C",'Mapa final'!$W$35),"")</f>
        <v/>
      </c>
      <c r="AG9" s="40" t="str">
        <f>IF(AND('Mapa final'!$AG$36="Muy Alta",'Mapa final'!$AI$36="Mayor"),CONCATENATE("R4C",'Mapa final'!$W$36),"")</f>
        <v/>
      </c>
      <c r="AH9" s="41" t="str">
        <f ca="1">IF(AND('Mapa final'!$AG$31="Muy Alta",'Mapa final'!$AI$31="Catastrófico"),CONCATENATE("R4C",'Mapa final'!$W$31),"")</f>
        <v/>
      </c>
      <c r="AI9" s="42" t="str">
        <f ca="1">IF(AND('Mapa final'!$AG$32="Muy Alta",'Mapa final'!$AI$32="Catastrófico"),CONCATENATE("R4C",'Mapa final'!$W$32),"")</f>
        <v/>
      </c>
      <c r="AJ9" s="42" t="str">
        <f>IF(AND('Mapa final'!$AG$33="Muy Alta",'Mapa final'!$AI$33="Catastrófico"),CONCATENATE("R4C",'Mapa final'!$W$33),"")</f>
        <v/>
      </c>
      <c r="AK9" s="42" t="str">
        <f>IF(AND('Mapa final'!$AG$34="Muy Alta",'Mapa final'!$AI$34="Catastrófico"),CONCATENATE("R4C",'Mapa final'!$W$34),"")</f>
        <v/>
      </c>
      <c r="AL9" s="42" t="str">
        <f>IF(AND('Mapa final'!$AG$35="Muy Alta",'Mapa final'!$AI$35="Catastrófico"),CONCATENATE("R4C",'Mapa final'!$W$35),"")</f>
        <v/>
      </c>
      <c r="AM9" s="43" t="str">
        <f>IF(AND('Mapa final'!$AG$36="Muy Alta",'Mapa final'!$AI$36="Catastrófico"),CONCATENATE("R4C",'Mapa final'!$W$36),"")</f>
        <v/>
      </c>
      <c r="AN9" s="69"/>
      <c r="AO9" s="447"/>
      <c r="AP9" s="448"/>
      <c r="AQ9" s="448"/>
      <c r="AR9" s="448"/>
      <c r="AS9" s="448"/>
      <c r="AT9" s="449"/>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row>
    <row r="10" spans="1:91" ht="15" customHeight="1" x14ac:dyDescent="0.25">
      <c r="A10" s="69"/>
      <c r="B10" s="431"/>
      <c r="C10" s="431"/>
      <c r="D10" s="432"/>
      <c r="E10" s="436"/>
      <c r="F10" s="437"/>
      <c r="G10" s="437"/>
      <c r="H10" s="437"/>
      <c r="I10" s="438"/>
      <c r="J10" s="38" t="str">
        <f ca="1">IF(AND('Mapa final'!$AG$37="Muy Alta",'Mapa final'!$AI$37="Leve"),CONCATENATE("R5C",'Mapa final'!$W$37),"")</f>
        <v/>
      </c>
      <c r="K10" s="39" t="str">
        <f ca="1">IF(AND('Mapa final'!$AG$38="Muy Alta",'Mapa final'!$AI$38="Leve"),CONCATENATE("R5C",'Mapa final'!$W$38),"")</f>
        <v/>
      </c>
      <c r="L10" s="39" t="str">
        <f ca="1">IF(AND('Mapa final'!$AG$39="Muy Alta",'Mapa final'!$AI$39="Leve"),CONCATENATE("R5C",'Mapa final'!$W$39),"")</f>
        <v/>
      </c>
      <c r="M10" s="39" t="str">
        <f>IF(AND('Mapa final'!$AG$40="Muy Alta",'Mapa final'!$AI$40="Leve"),CONCATENATE("R5C",'Mapa final'!$W$40),"")</f>
        <v/>
      </c>
      <c r="N10" s="39" t="str">
        <f>IF(AND('Mapa final'!$AG$41="Muy Alta",'Mapa final'!$AI$41="Leve"),CONCATENATE("R5C",'Mapa final'!$W$41),"")</f>
        <v/>
      </c>
      <c r="O10" s="40" t="str">
        <f>IF(AND('Mapa final'!$AG$42="Muy Alta",'Mapa final'!$AI$42="Leve"),CONCATENATE("R5C",'Mapa final'!$W$42),"")</f>
        <v/>
      </c>
      <c r="P10" s="38" t="str">
        <f ca="1">IF(AND('Mapa final'!$AG$37="Muy Alta",'Mapa final'!$AI$37="Menor"),CONCATENATE("R5C",'Mapa final'!$W$37),"")</f>
        <v/>
      </c>
      <c r="Q10" s="39" t="str">
        <f ca="1">IF(AND('Mapa final'!$AG$38="Muy Alta",'Mapa final'!$AI$38="Menor"),CONCATENATE("R5C",'Mapa final'!$W$38),"")</f>
        <v/>
      </c>
      <c r="R10" s="39" t="str">
        <f ca="1">IF(AND('Mapa final'!$AG$39="Muy Alta",'Mapa final'!$AI$39="Menor"),CONCATENATE("R5C",'Mapa final'!$W$39),"")</f>
        <v/>
      </c>
      <c r="S10" s="39" t="str">
        <f>IF(AND('Mapa final'!$AG$40="Muy Alta",'Mapa final'!$AI$40="Menor"),CONCATENATE("R5C",'Mapa final'!$W$40),"")</f>
        <v/>
      </c>
      <c r="T10" s="39" t="str">
        <f>IF(AND('Mapa final'!$AG$41="Muy Alta",'Mapa final'!$AI$41="Menor"),CONCATENATE("R5C",'Mapa final'!$W$41),"")</f>
        <v/>
      </c>
      <c r="U10" s="40" t="str">
        <f>IF(AND('Mapa final'!$AG$42="Muy Alta",'Mapa final'!$AI$42="Menor"),CONCATENATE("R5C",'Mapa final'!$W$42),"")</f>
        <v/>
      </c>
      <c r="V10" s="38" t="str">
        <f ca="1">IF(AND('Mapa final'!$AG$37="Muy Alta",'Mapa final'!$AI$37="Moderado"),CONCATENATE("R5C",'Mapa final'!$W$37),"")</f>
        <v/>
      </c>
      <c r="W10" s="39" t="str">
        <f ca="1">IF(AND('Mapa final'!$AG$38="Muy Alta",'Mapa final'!$AI$38="Moderado"),CONCATENATE("R5C",'Mapa final'!$W$38),"")</f>
        <v/>
      </c>
      <c r="X10" s="39" t="str">
        <f ca="1">IF(AND('Mapa final'!$AG$39="Muy Alta",'Mapa final'!$AI$39="Moderado"),CONCATENATE("R5C",'Mapa final'!$W$39),"")</f>
        <v/>
      </c>
      <c r="Y10" s="39" t="str">
        <f>IF(AND('Mapa final'!$AG$40="Muy Alta",'Mapa final'!$AI$40="Moderado"),CONCATENATE("R5C",'Mapa final'!$W$40),"")</f>
        <v/>
      </c>
      <c r="Z10" s="39" t="str">
        <f>IF(AND('Mapa final'!$AG$41="Muy Alta",'Mapa final'!$AI$41="Moderado"),CONCATENATE("R5C",'Mapa final'!$W$41),"")</f>
        <v/>
      </c>
      <c r="AA10" s="40" t="str">
        <f>IF(AND('Mapa final'!$AG$42="Muy Alta",'Mapa final'!$AI$42="Moderado"),CONCATENATE("R5C",'Mapa final'!$W$42),"")</f>
        <v/>
      </c>
      <c r="AB10" s="38" t="str">
        <f ca="1">IF(AND('Mapa final'!$AG$37="Muy Alta",'Mapa final'!$AI$37="Mayor"),CONCATENATE("R5C",'Mapa final'!$W$37),"")</f>
        <v/>
      </c>
      <c r="AC10" s="39" t="str">
        <f ca="1">IF(AND('Mapa final'!$AG$38="Muy Alta",'Mapa final'!$AI$38="Mayor"),CONCATENATE("R5C",'Mapa final'!$W$38),"")</f>
        <v/>
      </c>
      <c r="AD10" s="39" t="str">
        <f ca="1">IF(AND('Mapa final'!$AG$39="Muy Alta",'Mapa final'!$AI$39="Mayor"),CONCATENATE("R5C",'Mapa final'!$W$39),"")</f>
        <v/>
      </c>
      <c r="AE10" s="39" t="str">
        <f>IF(AND('Mapa final'!$AG$40="Muy Alta",'Mapa final'!$AI$40="Mayor"),CONCATENATE("R5C",'Mapa final'!$W$40),"")</f>
        <v/>
      </c>
      <c r="AF10" s="39" t="str">
        <f>IF(AND('Mapa final'!$AG$41="Muy Alta",'Mapa final'!$AI$41="Mayor"),CONCATENATE("R5C",'Mapa final'!$W$41),"")</f>
        <v/>
      </c>
      <c r="AG10" s="40" t="str">
        <f>IF(AND('Mapa final'!$AG$42="Muy Alta",'Mapa final'!$AI$42="Mayor"),CONCATENATE("R5C",'Mapa final'!$W$42),"")</f>
        <v/>
      </c>
      <c r="AH10" s="41" t="str">
        <f ca="1">IF(AND('Mapa final'!$AG$37="Muy Alta",'Mapa final'!$AI$37="Catastrófico"),CONCATENATE("R5C",'Mapa final'!$W$37),"")</f>
        <v/>
      </c>
      <c r="AI10" s="42" t="str">
        <f ca="1">IF(AND('Mapa final'!$AG$38="Muy Alta",'Mapa final'!$AI$38="Catastrófico"),CONCATENATE("R5C",'Mapa final'!$W$38),"")</f>
        <v/>
      </c>
      <c r="AJ10" s="42" t="str">
        <f ca="1">IF(AND('Mapa final'!$AG$39="Muy Alta",'Mapa final'!$AI$39="Catastrófico"),CONCATENATE("R5C",'Mapa final'!$W$39),"")</f>
        <v/>
      </c>
      <c r="AK10" s="42" t="str">
        <f>IF(AND('Mapa final'!$AG$40="Muy Alta",'Mapa final'!$AI$40="Catastrófico"),CONCATENATE("R5C",'Mapa final'!$W$40),"")</f>
        <v/>
      </c>
      <c r="AL10" s="42" t="str">
        <f>IF(AND('Mapa final'!$AG$41="Muy Alta",'Mapa final'!$AI$41="Catastrófico"),CONCATENATE("R5C",'Mapa final'!$W$41),"")</f>
        <v/>
      </c>
      <c r="AM10" s="43" t="str">
        <f>IF(AND('Mapa final'!$AG$42="Muy Alta",'Mapa final'!$AI$42="Catastrófico"),CONCATENATE("R5C",'Mapa final'!$W$42),"")</f>
        <v/>
      </c>
      <c r="AN10" s="69"/>
      <c r="AO10" s="447"/>
      <c r="AP10" s="448"/>
      <c r="AQ10" s="448"/>
      <c r="AR10" s="448"/>
      <c r="AS10" s="448"/>
      <c r="AT10" s="449"/>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row>
    <row r="11" spans="1:91" ht="15" customHeight="1" x14ac:dyDescent="0.25">
      <c r="A11" s="69"/>
      <c r="B11" s="431"/>
      <c r="C11" s="431"/>
      <c r="D11" s="432"/>
      <c r="E11" s="436"/>
      <c r="F11" s="437"/>
      <c r="G11" s="437"/>
      <c r="H11" s="437"/>
      <c r="I11" s="438"/>
      <c r="J11" s="38" t="str">
        <f ca="1">IF(AND('Mapa final'!$AG$43="Muy Alta",'Mapa final'!$AI$43="Leve"),CONCATENATE("R6C",'Mapa final'!$W$43),"")</f>
        <v/>
      </c>
      <c r="K11" s="39" t="str">
        <f ca="1">IF(AND('Mapa final'!$AG$44="Muy Alta",'Mapa final'!$AI$44="Leve"),CONCATENATE("R6C",'Mapa final'!$W$44),"")</f>
        <v/>
      </c>
      <c r="L11" s="39" t="str">
        <f>IF(AND('Mapa final'!$AG$45="Muy Alta",'Mapa final'!$AI$45="Leve"),CONCATENATE("R6C",'Mapa final'!$W$45),"")</f>
        <v/>
      </c>
      <c r="M11" s="39" t="str">
        <f>IF(AND('Mapa final'!$AG$46="Muy Alta",'Mapa final'!$AI$46="Leve"),CONCATENATE("R6C",'Mapa final'!$W$46),"")</f>
        <v/>
      </c>
      <c r="N11" s="39" t="str">
        <f>IF(AND('Mapa final'!$AG$47="Muy Alta",'Mapa final'!$AI$47="Leve"),CONCATENATE("R6C",'Mapa final'!$W$47),"")</f>
        <v/>
      </c>
      <c r="O11" s="40" t="str">
        <f>IF(AND('Mapa final'!$AG$48="Muy Alta",'Mapa final'!$AI$48="Leve"),CONCATENATE("R6C",'Mapa final'!$W$48),"")</f>
        <v/>
      </c>
      <c r="P11" s="38" t="str">
        <f ca="1">IF(AND('Mapa final'!$AG$43="Muy Alta",'Mapa final'!$AI$43="Menor"),CONCATENATE("R6C",'Mapa final'!$W$43),"")</f>
        <v/>
      </c>
      <c r="Q11" s="39" t="str">
        <f ca="1">IF(AND('Mapa final'!$AG$44="Muy Alta",'Mapa final'!$AI$44="Menor"),CONCATENATE("R6C",'Mapa final'!$W$44),"")</f>
        <v/>
      </c>
      <c r="R11" s="39" t="str">
        <f>IF(AND('Mapa final'!$AG$45="Muy Alta",'Mapa final'!$AI$45="Menor"),CONCATENATE("R6C",'Mapa final'!$W$45),"")</f>
        <v/>
      </c>
      <c r="S11" s="39" t="str">
        <f>IF(AND('Mapa final'!$AG$46="Muy Alta",'Mapa final'!$AI$46="Menor"),CONCATENATE("R6C",'Mapa final'!$W$46),"")</f>
        <v/>
      </c>
      <c r="T11" s="39" t="str">
        <f>IF(AND('Mapa final'!$AG$47="Muy Alta",'Mapa final'!$AI$47="Menor"),CONCATENATE("R6C",'Mapa final'!$W$47),"")</f>
        <v/>
      </c>
      <c r="U11" s="40" t="str">
        <f>IF(AND('Mapa final'!$AG$48="Muy Alta",'Mapa final'!$AI$48="Menor"),CONCATENATE("R6C",'Mapa final'!$W$48),"")</f>
        <v/>
      </c>
      <c r="V11" s="38" t="str">
        <f ca="1">IF(AND('Mapa final'!$AG$43="Muy Alta",'Mapa final'!$AI$43="Moderado"),CONCATENATE("R6C",'Mapa final'!$W$43),"")</f>
        <v/>
      </c>
      <c r="W11" s="39" t="str">
        <f ca="1">IF(AND('Mapa final'!$AG$44="Muy Alta",'Mapa final'!$AI$44="Moderado"),CONCATENATE("R6C",'Mapa final'!$W$44),"")</f>
        <v/>
      </c>
      <c r="X11" s="39" t="str">
        <f>IF(AND('Mapa final'!$AG$45="Muy Alta",'Mapa final'!$AI$45="Moderado"),CONCATENATE("R6C",'Mapa final'!$W$45),"")</f>
        <v/>
      </c>
      <c r="Y11" s="39" t="str">
        <f>IF(AND('Mapa final'!$AG$46="Muy Alta",'Mapa final'!$AI$46="Moderado"),CONCATENATE("R6C",'Mapa final'!$W$46),"")</f>
        <v/>
      </c>
      <c r="Z11" s="39" t="str">
        <f>IF(AND('Mapa final'!$AG$47="Muy Alta",'Mapa final'!$AI$47="Moderado"),CONCATENATE("R6C",'Mapa final'!$W$47),"")</f>
        <v/>
      </c>
      <c r="AA11" s="40" t="str">
        <f>IF(AND('Mapa final'!$AG$48="Muy Alta",'Mapa final'!$AI$48="Moderado"),CONCATENATE("R6C",'Mapa final'!$W$48),"")</f>
        <v/>
      </c>
      <c r="AB11" s="38" t="str">
        <f ca="1">IF(AND('Mapa final'!$AG$43="Muy Alta",'Mapa final'!$AI$43="Mayor"),CONCATENATE("R6C",'Mapa final'!$W$43),"")</f>
        <v/>
      </c>
      <c r="AC11" s="39" t="str">
        <f ca="1">IF(AND('Mapa final'!$AG$44="Muy Alta",'Mapa final'!$AI$44="Mayor"),CONCATENATE("R6C",'Mapa final'!$W$44),"")</f>
        <v/>
      </c>
      <c r="AD11" s="39" t="str">
        <f>IF(AND('Mapa final'!$AG$45="Muy Alta",'Mapa final'!$AI$45="Mayor"),CONCATENATE("R6C",'Mapa final'!$W$45),"")</f>
        <v/>
      </c>
      <c r="AE11" s="39" t="str">
        <f>IF(AND('Mapa final'!$AG$46="Muy Alta",'Mapa final'!$AI$46="Mayor"),CONCATENATE("R6C",'Mapa final'!$W$46),"")</f>
        <v/>
      </c>
      <c r="AF11" s="39" t="str">
        <f>IF(AND('Mapa final'!$AG$47="Muy Alta",'Mapa final'!$AI$47="Mayor"),CONCATENATE("R6C",'Mapa final'!$W$47),"")</f>
        <v/>
      </c>
      <c r="AG11" s="40" t="str">
        <f>IF(AND('Mapa final'!$AG$48="Muy Alta",'Mapa final'!$AI$48="Mayor"),CONCATENATE("R6C",'Mapa final'!$W$48),"")</f>
        <v/>
      </c>
      <c r="AH11" s="41" t="str">
        <f ca="1">IF(AND('Mapa final'!$AG$43="Muy Alta",'Mapa final'!$AI$43="Catastrófico"),CONCATENATE("R6C",'Mapa final'!$W$43),"")</f>
        <v/>
      </c>
      <c r="AI11" s="42" t="str">
        <f ca="1">IF(AND('Mapa final'!$AG$44="Muy Alta",'Mapa final'!$AI$44="Catastrófico"),CONCATENATE("R6C",'Mapa final'!$W$44),"")</f>
        <v/>
      </c>
      <c r="AJ11" s="42" t="str">
        <f>IF(AND('Mapa final'!$AG$45="Muy Alta",'Mapa final'!$AI$45="Catastrófico"),CONCATENATE("R6C",'Mapa final'!$W$45),"")</f>
        <v/>
      </c>
      <c r="AK11" s="42" t="str">
        <f>IF(AND('Mapa final'!$AG$46="Muy Alta",'Mapa final'!$AI$46="Catastrófico"),CONCATENATE("R6C",'Mapa final'!$W$46),"")</f>
        <v/>
      </c>
      <c r="AL11" s="42" t="str">
        <f>IF(AND('Mapa final'!$AG$47="Muy Alta",'Mapa final'!$AI$47="Catastrófico"),CONCATENATE("R6C",'Mapa final'!$W$47),"")</f>
        <v/>
      </c>
      <c r="AM11" s="43" t="str">
        <f>IF(AND('Mapa final'!$AG$48="Muy Alta",'Mapa final'!$AI$48="Catastrófico"),CONCATENATE("R6C",'Mapa final'!$W$48),"")</f>
        <v/>
      </c>
      <c r="AN11" s="69"/>
      <c r="AO11" s="447"/>
      <c r="AP11" s="448"/>
      <c r="AQ11" s="448"/>
      <c r="AR11" s="448"/>
      <c r="AS11" s="448"/>
      <c r="AT11" s="449"/>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row>
    <row r="12" spans="1:91" ht="15" customHeight="1" x14ac:dyDescent="0.25">
      <c r="A12" s="69"/>
      <c r="B12" s="431"/>
      <c r="C12" s="431"/>
      <c r="D12" s="432"/>
      <c r="E12" s="436"/>
      <c r="F12" s="437"/>
      <c r="G12" s="437"/>
      <c r="H12" s="437"/>
      <c r="I12" s="438"/>
      <c r="J12" s="38" t="str">
        <f ca="1">IF(AND('Mapa final'!$AG$49="Muy Alta",'Mapa final'!$AI$49="Leve"),CONCATENATE("R7C",'Mapa final'!$W$49),"")</f>
        <v/>
      </c>
      <c r="K12" s="39" t="str">
        <f ca="1">IF(AND('Mapa final'!$AG$50="Muy Alta",'Mapa final'!$AI$50="Leve"),CONCATENATE("R7C",'Mapa final'!$W$50),"")</f>
        <v/>
      </c>
      <c r="L12" s="39" t="str">
        <f>IF(AND('Mapa final'!$AG$51="Muy Alta",'Mapa final'!$AI$51="Leve"),CONCATENATE("R7C",'Mapa final'!$W$51),"")</f>
        <v/>
      </c>
      <c r="M12" s="39" t="str">
        <f>IF(AND('Mapa final'!$AG$52="Muy Alta",'Mapa final'!$AI$52="Leve"),CONCATENATE("R7C",'Mapa final'!$W$52),"")</f>
        <v/>
      </c>
      <c r="N12" s="39" t="str">
        <f>IF(AND('Mapa final'!$AG$53="Muy Alta",'Mapa final'!$AI$53="Leve"),CONCATENATE("R7C",'Mapa final'!$W$53),"")</f>
        <v/>
      </c>
      <c r="O12" s="40" t="str">
        <f>IF(AND('Mapa final'!$AG$54="Muy Alta",'Mapa final'!$AI$54="Leve"),CONCATENATE("R7C",'Mapa final'!$W$54),"")</f>
        <v/>
      </c>
      <c r="P12" s="38" t="str">
        <f ca="1">IF(AND('Mapa final'!$AG$49="Muy Alta",'Mapa final'!$AI$49="Menor"),CONCATENATE("R7C",'Mapa final'!$W$49),"")</f>
        <v/>
      </c>
      <c r="Q12" s="39" t="str">
        <f ca="1">IF(AND('Mapa final'!$AG$50="Muy Alta",'Mapa final'!$AI$50="Menor"),CONCATENATE("R7C",'Mapa final'!$W$50),"")</f>
        <v/>
      </c>
      <c r="R12" s="39" t="str">
        <f>IF(AND('Mapa final'!$AG$51="Muy Alta",'Mapa final'!$AI$51="Menor"),CONCATENATE("R7C",'Mapa final'!$W$51),"")</f>
        <v/>
      </c>
      <c r="S12" s="39" t="str">
        <f>IF(AND('Mapa final'!$AG$52="Muy Alta",'Mapa final'!$AI$52="Menor"),CONCATENATE("R7C",'Mapa final'!$W$52),"")</f>
        <v/>
      </c>
      <c r="T12" s="39" t="str">
        <f>IF(AND('Mapa final'!$AG$53="Muy Alta",'Mapa final'!$AI$53="Menor"),CONCATENATE("R7C",'Mapa final'!$W$53),"")</f>
        <v/>
      </c>
      <c r="U12" s="40" t="str">
        <f>IF(AND('Mapa final'!$AG$54="Muy Alta",'Mapa final'!$AI$54="Menor"),CONCATENATE("R7C",'Mapa final'!$W$54),"")</f>
        <v/>
      </c>
      <c r="V12" s="38" t="str">
        <f ca="1">IF(AND('Mapa final'!$AG$49="Muy Alta",'Mapa final'!$AI$49="Moderado"),CONCATENATE("R7C",'Mapa final'!$W$49),"")</f>
        <v/>
      </c>
      <c r="W12" s="39" t="str">
        <f ca="1">IF(AND('Mapa final'!$AG$50="Muy Alta",'Mapa final'!$AI$50="Moderado"),CONCATENATE("R7C",'Mapa final'!$W$50),"")</f>
        <v/>
      </c>
      <c r="X12" s="39" t="str">
        <f>IF(AND('Mapa final'!$AG$51="Muy Alta",'Mapa final'!$AI$51="Moderado"),CONCATENATE("R7C",'Mapa final'!$W$51),"")</f>
        <v/>
      </c>
      <c r="Y12" s="39" t="str">
        <f>IF(AND('Mapa final'!$AG$52="Muy Alta",'Mapa final'!$AI$52="Moderado"),CONCATENATE("R7C",'Mapa final'!$W$52),"")</f>
        <v/>
      </c>
      <c r="Z12" s="39" t="str">
        <f>IF(AND('Mapa final'!$AG$53="Muy Alta",'Mapa final'!$AI$53="Moderado"),CONCATENATE("R7C",'Mapa final'!$W$53),"")</f>
        <v/>
      </c>
      <c r="AA12" s="40" t="str">
        <f>IF(AND('Mapa final'!$AG$54="Muy Alta",'Mapa final'!$AI$54="Moderado"),CONCATENATE("R7C",'Mapa final'!$W$54),"")</f>
        <v/>
      </c>
      <c r="AB12" s="38" t="str">
        <f ca="1">IF(AND('Mapa final'!$AG$49="Muy Alta",'Mapa final'!$AI$49="Mayor"),CONCATENATE("R7C",'Mapa final'!$W$49),"")</f>
        <v/>
      </c>
      <c r="AC12" s="39" t="str">
        <f ca="1">IF(AND('Mapa final'!$AG$50="Muy Alta",'Mapa final'!$AI$50="Mayor"),CONCATENATE("R7C",'Mapa final'!$W$50),"")</f>
        <v/>
      </c>
      <c r="AD12" s="39" t="str">
        <f>IF(AND('Mapa final'!$AG$51="Muy Alta",'Mapa final'!$AI$51="Mayor"),CONCATENATE("R7C",'Mapa final'!$W$51),"")</f>
        <v/>
      </c>
      <c r="AE12" s="39" t="str">
        <f>IF(AND('Mapa final'!$AG$52="Muy Alta",'Mapa final'!$AI$52="Mayor"),CONCATENATE("R7C",'Mapa final'!$W$52),"")</f>
        <v/>
      </c>
      <c r="AF12" s="39" t="str">
        <f>IF(AND('Mapa final'!$AG$53="Muy Alta",'Mapa final'!$AI$53="Mayor"),CONCATENATE("R7C",'Mapa final'!$W$53),"")</f>
        <v/>
      </c>
      <c r="AG12" s="40" t="str">
        <f>IF(AND('Mapa final'!$AG$54="Muy Alta",'Mapa final'!$AI$54="Mayor"),CONCATENATE("R7C",'Mapa final'!$W$54),"")</f>
        <v/>
      </c>
      <c r="AH12" s="41" t="str">
        <f ca="1">IF(AND('Mapa final'!$AG$49="Muy Alta",'Mapa final'!$AI$49="Catastrófico"),CONCATENATE("R7C",'Mapa final'!$W$49),"")</f>
        <v/>
      </c>
      <c r="AI12" s="42" t="str">
        <f ca="1">IF(AND('Mapa final'!$AG$50="Muy Alta",'Mapa final'!$AI$50="Catastrófico"),CONCATENATE("R7C",'Mapa final'!$W$50),"")</f>
        <v/>
      </c>
      <c r="AJ12" s="42" t="str">
        <f>IF(AND('Mapa final'!$AG$51="Muy Alta",'Mapa final'!$AI$51="Catastrófico"),CONCATENATE("R7C",'Mapa final'!$W$51),"")</f>
        <v/>
      </c>
      <c r="AK12" s="42" t="str">
        <f>IF(AND('Mapa final'!$AG$52="Muy Alta",'Mapa final'!$AI$52="Catastrófico"),CONCATENATE("R7C",'Mapa final'!$W$52),"")</f>
        <v/>
      </c>
      <c r="AL12" s="42" t="str">
        <f>IF(AND('Mapa final'!$AG$53="Muy Alta",'Mapa final'!$AI$53="Catastrófico"),CONCATENATE("R7C",'Mapa final'!$W$53),"")</f>
        <v/>
      </c>
      <c r="AM12" s="43" t="str">
        <f>IF(AND('Mapa final'!$AG$54="Muy Alta",'Mapa final'!$AI$54="Catastrófico"),CONCATENATE("R7C",'Mapa final'!$W$54),"")</f>
        <v/>
      </c>
      <c r="AN12" s="69"/>
      <c r="AO12" s="447"/>
      <c r="AP12" s="448"/>
      <c r="AQ12" s="448"/>
      <c r="AR12" s="448"/>
      <c r="AS12" s="448"/>
      <c r="AT12" s="449"/>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row>
    <row r="13" spans="1:91" ht="15" customHeight="1" x14ac:dyDescent="0.25">
      <c r="A13" s="69"/>
      <c r="B13" s="431"/>
      <c r="C13" s="431"/>
      <c r="D13" s="432"/>
      <c r="E13" s="436"/>
      <c r="F13" s="437"/>
      <c r="G13" s="437"/>
      <c r="H13" s="437"/>
      <c r="I13" s="438"/>
      <c r="J13" s="38" t="str">
        <f ca="1">IF(AND('Mapa final'!$AG$55="Muy Alta",'Mapa final'!$AI$55="Leve"),CONCATENATE("R8C",'Mapa final'!$W$55),"")</f>
        <v/>
      </c>
      <c r="K13" s="39" t="str">
        <f ca="1">IF(AND('Mapa final'!$AG$56="Muy Alta",'Mapa final'!$AI$56="Leve"),CONCATENATE("R8C",'Mapa final'!$W$56),"")</f>
        <v/>
      </c>
      <c r="L13" s="39" t="str">
        <f ca="1">IF(AND('Mapa final'!$AG$57="Muy Alta",'Mapa final'!$AI$57="Leve"),CONCATENATE("R8C",'Mapa final'!$W$57),"")</f>
        <v/>
      </c>
      <c r="M13" s="39" t="str">
        <f ca="1">IF(AND('Mapa final'!$AG$58="Muy Alta",'Mapa final'!$AI$58="Leve"),CONCATENATE("R8C",'Mapa final'!$W$58),"")</f>
        <v/>
      </c>
      <c r="N13" s="39" t="str">
        <f>IF(AND('Mapa final'!$AG$59="Muy Alta",'Mapa final'!$AI$59="Leve"),CONCATENATE("R8C",'Mapa final'!$W$59),"")</f>
        <v/>
      </c>
      <c r="O13" s="40" t="str">
        <f>IF(AND('Mapa final'!$AG$60="Muy Alta",'Mapa final'!$AI$60="Leve"),CONCATENATE("R8C",'Mapa final'!$W$60),"")</f>
        <v/>
      </c>
      <c r="P13" s="38" t="str">
        <f ca="1">IF(AND('Mapa final'!$AG$55="Muy Alta",'Mapa final'!$AI$55="Menor"),CONCATENATE("R8C",'Mapa final'!$W$55),"")</f>
        <v/>
      </c>
      <c r="Q13" s="39" t="str">
        <f ca="1">IF(AND('Mapa final'!$AG$56="Muy Alta",'Mapa final'!$AI$56="Menor"),CONCATENATE("R8C",'Mapa final'!$W$56),"")</f>
        <v/>
      </c>
      <c r="R13" s="39" t="str">
        <f ca="1">IF(AND('Mapa final'!$AG$57="Muy Alta",'Mapa final'!$AI$57="Menor"),CONCATENATE("R8C",'Mapa final'!$W$57),"")</f>
        <v/>
      </c>
      <c r="S13" s="39" t="str">
        <f ca="1">IF(AND('Mapa final'!$AG$58="Muy Alta",'Mapa final'!$AI$58="Menor"),CONCATENATE("R8C",'Mapa final'!$W$58),"")</f>
        <v/>
      </c>
      <c r="T13" s="39" t="str">
        <f>IF(AND('Mapa final'!$AG$59="Muy Alta",'Mapa final'!$AI$59="Menor"),CONCATENATE("R8C",'Mapa final'!$W$59),"")</f>
        <v/>
      </c>
      <c r="U13" s="40" t="str">
        <f>IF(AND('Mapa final'!$AG$60="Muy Alta",'Mapa final'!$AI$60="Menor"),CONCATENATE("R8C",'Mapa final'!$W$60),"")</f>
        <v/>
      </c>
      <c r="V13" s="38" t="str">
        <f ca="1">IF(AND('Mapa final'!$AG$55="Muy Alta",'Mapa final'!$AI$55="Moderado"),CONCATENATE("R8C",'Mapa final'!$W$55),"")</f>
        <v/>
      </c>
      <c r="W13" s="39" t="str">
        <f ca="1">IF(AND('Mapa final'!$AG$56="Muy Alta",'Mapa final'!$AI$56="Moderado"),CONCATENATE("R8C",'Mapa final'!$W$56),"")</f>
        <v/>
      </c>
      <c r="X13" s="39" t="str">
        <f ca="1">IF(AND('Mapa final'!$AG$57="Muy Alta",'Mapa final'!$AI$57="Moderado"),CONCATENATE("R8C",'Mapa final'!$W$57),"")</f>
        <v/>
      </c>
      <c r="Y13" s="39" t="str">
        <f ca="1">IF(AND('Mapa final'!$AG$58="Muy Alta",'Mapa final'!$AI$58="Moderado"),CONCATENATE("R8C",'Mapa final'!$W$58),"")</f>
        <v/>
      </c>
      <c r="Z13" s="39" t="str">
        <f>IF(AND('Mapa final'!$AG$59="Muy Alta",'Mapa final'!$AI$59="Moderado"),CONCATENATE("R8C",'Mapa final'!$W$59),"")</f>
        <v/>
      </c>
      <c r="AA13" s="40" t="str">
        <f>IF(AND('Mapa final'!$AG$60="Muy Alta",'Mapa final'!$AI$60="Moderado"),CONCATENATE("R8C",'Mapa final'!$W$60),"")</f>
        <v/>
      </c>
      <c r="AB13" s="38" t="str">
        <f ca="1">IF(AND('Mapa final'!$AG$55="Muy Alta",'Mapa final'!$AI$55="Mayor"),CONCATENATE("R8C",'Mapa final'!$W$55),"")</f>
        <v/>
      </c>
      <c r="AC13" s="39" t="str">
        <f ca="1">IF(AND('Mapa final'!$AG$56="Muy Alta",'Mapa final'!$AI$56="Mayor"),CONCATENATE("R8C",'Mapa final'!$W$56),"")</f>
        <v/>
      </c>
      <c r="AD13" s="39" t="str">
        <f ca="1">IF(AND('Mapa final'!$AG$57="Muy Alta",'Mapa final'!$AI$57="Mayor"),CONCATENATE("R8C",'Mapa final'!$W$57),"")</f>
        <v/>
      </c>
      <c r="AE13" s="39" t="str">
        <f ca="1">IF(AND('Mapa final'!$AG$58="Muy Alta",'Mapa final'!$AI$58="Mayor"),CONCATENATE("R8C",'Mapa final'!$W$58),"")</f>
        <v/>
      </c>
      <c r="AF13" s="39" t="str">
        <f>IF(AND('Mapa final'!$AG$59="Muy Alta",'Mapa final'!$AI$59="Mayor"),CONCATENATE("R8C",'Mapa final'!$W$59),"")</f>
        <v/>
      </c>
      <c r="AG13" s="40" t="str">
        <f>IF(AND('Mapa final'!$AG$60="Muy Alta",'Mapa final'!$AI$60="Mayor"),CONCATENATE("R8C",'Mapa final'!$W$60),"")</f>
        <v/>
      </c>
      <c r="AH13" s="41" t="str">
        <f ca="1">IF(AND('Mapa final'!$AG$55="Muy Alta",'Mapa final'!$AI$55="Catastrófico"),CONCATENATE("R8C",'Mapa final'!$W$55),"")</f>
        <v/>
      </c>
      <c r="AI13" s="42" t="str">
        <f ca="1">IF(AND('Mapa final'!$AG$56="Muy Alta",'Mapa final'!$AI$56="Catastrófico"),CONCATENATE("R8C",'Mapa final'!$W$56),"")</f>
        <v/>
      </c>
      <c r="AJ13" s="42" t="str">
        <f ca="1">IF(AND('Mapa final'!$AG$57="Muy Alta",'Mapa final'!$AI$57="Catastrófico"),CONCATENATE("R8C",'Mapa final'!$W$57),"")</f>
        <v/>
      </c>
      <c r="AK13" s="42" t="str">
        <f ca="1">IF(AND('Mapa final'!$AG$58="Muy Alta",'Mapa final'!$AI$58="Catastrófico"),CONCATENATE("R8C",'Mapa final'!$W$58),"")</f>
        <v/>
      </c>
      <c r="AL13" s="42" t="str">
        <f>IF(AND('Mapa final'!$AG$59="Muy Alta",'Mapa final'!$AI$59="Catastrófico"),CONCATENATE("R8C",'Mapa final'!$W$59),"")</f>
        <v/>
      </c>
      <c r="AM13" s="43" t="str">
        <f>IF(AND('Mapa final'!$AG$60="Muy Alta",'Mapa final'!$AI$60="Catastrófico"),CONCATENATE("R8C",'Mapa final'!$W$60),"")</f>
        <v/>
      </c>
      <c r="AN13" s="69"/>
      <c r="AO13" s="447"/>
      <c r="AP13" s="448"/>
      <c r="AQ13" s="448"/>
      <c r="AR13" s="448"/>
      <c r="AS13" s="448"/>
      <c r="AT13" s="449"/>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row>
    <row r="14" spans="1:91" ht="15" customHeight="1" x14ac:dyDescent="0.25">
      <c r="A14" s="69"/>
      <c r="B14" s="431"/>
      <c r="C14" s="431"/>
      <c r="D14" s="432"/>
      <c r="E14" s="436"/>
      <c r="F14" s="437"/>
      <c r="G14" s="437"/>
      <c r="H14" s="437"/>
      <c r="I14" s="438"/>
      <c r="J14" s="38" t="str">
        <f ca="1">IF(AND('Mapa final'!$AG$61="Muy Alta",'Mapa final'!$AI$61="Leve"),CONCATENATE("R9C",'Mapa final'!$W$61),"")</f>
        <v/>
      </c>
      <c r="K14" s="39" t="str">
        <f ca="1">IF(AND('Mapa final'!$AG$62="Muy Alta",'Mapa final'!$AI$62="Leve"),CONCATENATE("R9C",'Mapa final'!$W$62),"")</f>
        <v/>
      </c>
      <c r="L14" s="39" t="str">
        <f ca="1">IF(AND('Mapa final'!$AG$63="Muy Alta",'Mapa final'!$AI$63="Leve"),CONCATENATE("R9C",'Mapa final'!$W$63),"")</f>
        <v/>
      </c>
      <c r="M14" s="39" t="str">
        <f ca="1">IF(AND('Mapa final'!$AG$64="Muy Alta",'Mapa final'!$AI$64="Leve"),CONCATENATE("R9C",'Mapa final'!$W$64),"")</f>
        <v/>
      </c>
      <c r="N14" s="39" t="str">
        <f ca="1">IF(AND('Mapa final'!$AG$65="Muy Alta",'Mapa final'!$AI$65="Leve"),CONCATENATE("R9C",'Mapa final'!$W$65),"")</f>
        <v/>
      </c>
      <c r="O14" s="40" t="str">
        <f ca="1">IF(AND('Mapa final'!$AG$66="Muy Alta",'Mapa final'!$AI$66="Leve"),CONCATENATE("R9C",'Mapa final'!$W$66),"")</f>
        <v/>
      </c>
      <c r="P14" s="38" t="str">
        <f ca="1">IF(AND('Mapa final'!$AG$61="Muy Alta",'Mapa final'!$AI$61="Menor"),CONCATENATE("R9C",'Mapa final'!$W$61),"")</f>
        <v/>
      </c>
      <c r="Q14" s="39" t="str">
        <f ca="1">IF(AND('Mapa final'!$AG$62="Muy Alta",'Mapa final'!$AI$62="Menor"),CONCATENATE("R9C",'Mapa final'!$W$62),"")</f>
        <v/>
      </c>
      <c r="R14" s="39" t="str">
        <f ca="1">IF(AND('Mapa final'!$AG$63="Muy Alta",'Mapa final'!$AI$63="Menor"),CONCATENATE("R9C",'Mapa final'!$W$63),"")</f>
        <v/>
      </c>
      <c r="S14" s="39" t="str">
        <f ca="1">IF(AND('Mapa final'!$AG$64="Muy Alta",'Mapa final'!$AI$64="Menor"),CONCATENATE("R9C",'Mapa final'!$W$64),"")</f>
        <v/>
      </c>
      <c r="T14" s="39" t="str">
        <f ca="1">IF(AND('Mapa final'!$AG$65="Muy Alta",'Mapa final'!$AI$65="Menor"),CONCATENATE("R9C",'Mapa final'!$W$65),"")</f>
        <v/>
      </c>
      <c r="U14" s="40" t="str">
        <f ca="1">IF(AND('Mapa final'!$AG$66="Muy Alta",'Mapa final'!$AI$66="Menor"),CONCATENATE("R9C",'Mapa final'!$W$66),"")</f>
        <v/>
      </c>
      <c r="V14" s="38" t="str">
        <f ca="1">IF(AND('Mapa final'!$AG$61="Muy Alta",'Mapa final'!$AI$61="Moderado"),CONCATENATE("R9C",'Mapa final'!$W$61),"")</f>
        <v/>
      </c>
      <c r="W14" s="39" t="str">
        <f ca="1">IF(AND('Mapa final'!$AG$62="Muy Alta",'Mapa final'!$AI$62="Moderado"),CONCATENATE("R9C",'Mapa final'!$W$62),"")</f>
        <v/>
      </c>
      <c r="X14" s="39" t="str">
        <f ca="1">IF(AND('Mapa final'!$AG$63="Muy Alta",'Mapa final'!$AI$63="Moderado"),CONCATENATE("R9C",'Mapa final'!$W$63),"")</f>
        <v/>
      </c>
      <c r="Y14" s="39" t="str">
        <f ca="1">IF(AND('Mapa final'!$AG$64="Muy Alta",'Mapa final'!$AI$64="Moderado"),CONCATENATE("R9C",'Mapa final'!$W$64),"")</f>
        <v/>
      </c>
      <c r="Z14" s="39" t="str">
        <f ca="1">IF(AND('Mapa final'!$AG$65="Muy Alta",'Mapa final'!$AI$65="Moderado"),CONCATENATE("R9C",'Mapa final'!$W$65),"")</f>
        <v/>
      </c>
      <c r="AA14" s="40" t="str">
        <f ca="1">IF(AND('Mapa final'!$AG$66="Muy Alta",'Mapa final'!$AI$66="Moderado"),CONCATENATE("R9C",'Mapa final'!$W$66),"")</f>
        <v/>
      </c>
      <c r="AB14" s="38" t="str">
        <f ca="1">IF(AND('Mapa final'!$AG$61="Muy Alta",'Mapa final'!$AI$61="Mayor"),CONCATENATE("R9C",'Mapa final'!$W$61),"")</f>
        <v/>
      </c>
      <c r="AC14" s="39" t="str">
        <f ca="1">IF(AND('Mapa final'!$AG$62="Muy Alta",'Mapa final'!$AI$62="Mayor"),CONCATENATE("R9C",'Mapa final'!$W$62),"")</f>
        <v/>
      </c>
      <c r="AD14" s="39" t="str">
        <f ca="1">IF(AND('Mapa final'!$AG$63="Muy Alta",'Mapa final'!$AI$63="Mayor"),CONCATENATE("R9C",'Mapa final'!$W$63),"")</f>
        <v/>
      </c>
      <c r="AE14" s="39" t="str">
        <f ca="1">IF(AND('Mapa final'!$AG$64="Muy Alta",'Mapa final'!$AI$64="Mayor"),CONCATENATE("R9C",'Mapa final'!$W$64),"")</f>
        <v/>
      </c>
      <c r="AF14" s="39" t="str">
        <f ca="1">IF(AND('Mapa final'!$AG$65="Muy Alta",'Mapa final'!$AI$65="Mayor"),CONCATENATE("R9C",'Mapa final'!$W$65),"")</f>
        <v/>
      </c>
      <c r="AG14" s="40" t="str">
        <f ca="1">IF(AND('Mapa final'!$AG$66="Muy Alta",'Mapa final'!$AI$66="Mayor"),CONCATENATE("R9C",'Mapa final'!$W$66),"")</f>
        <v/>
      </c>
      <c r="AH14" s="41" t="str">
        <f ca="1">IF(AND('Mapa final'!$AG$61="Muy Alta",'Mapa final'!$AI$61="Catastrófico"),CONCATENATE("R9C",'Mapa final'!$W$61),"")</f>
        <v/>
      </c>
      <c r="AI14" s="42" t="str">
        <f ca="1">IF(AND('Mapa final'!$AG$62="Muy Alta",'Mapa final'!$AI$62="Catastrófico"),CONCATENATE("R9C",'Mapa final'!$W$62),"")</f>
        <v/>
      </c>
      <c r="AJ14" s="42" t="str">
        <f ca="1">IF(AND('Mapa final'!$AG$63="Muy Alta",'Mapa final'!$AI$63="Catastrófico"),CONCATENATE("R9C",'Mapa final'!$W$63),"")</f>
        <v/>
      </c>
      <c r="AK14" s="42" t="str">
        <f ca="1">IF(AND('Mapa final'!$AG$64="Muy Alta",'Mapa final'!$AI$64="Catastrófico"),CONCATENATE("R9C",'Mapa final'!$W$64),"")</f>
        <v/>
      </c>
      <c r="AL14" s="42" t="str">
        <f ca="1">IF(AND('Mapa final'!$AG$65="Muy Alta",'Mapa final'!$AI$65="Catastrófico"),CONCATENATE("R9C",'Mapa final'!$W$65),"")</f>
        <v/>
      </c>
      <c r="AM14" s="43" t="str">
        <f ca="1">IF(AND('Mapa final'!$AG$66="Muy Alta",'Mapa final'!$AI$66="Catastrófico"),CONCATENATE("R9C",'Mapa final'!$W$66),"")</f>
        <v/>
      </c>
      <c r="AN14" s="69"/>
      <c r="AO14" s="447"/>
      <c r="AP14" s="448"/>
      <c r="AQ14" s="448"/>
      <c r="AR14" s="448"/>
      <c r="AS14" s="448"/>
      <c r="AT14" s="449"/>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row>
    <row r="15" spans="1:91" ht="15.75" customHeight="1" thickBot="1" x14ac:dyDescent="0.3">
      <c r="A15" s="69"/>
      <c r="B15" s="431"/>
      <c r="C15" s="431"/>
      <c r="D15" s="432"/>
      <c r="E15" s="439"/>
      <c r="F15" s="440"/>
      <c r="G15" s="440"/>
      <c r="H15" s="440"/>
      <c r="I15" s="441"/>
      <c r="J15" s="44" t="str">
        <f ca="1">IF(AND('Mapa final'!$AG$67="Muy Alta",'Mapa final'!$AI$67="Leve"),CONCATENATE("R10C",'Mapa final'!$W$67),"")</f>
        <v/>
      </c>
      <c r="K15" s="45" t="str">
        <f ca="1">IF(AND('Mapa final'!$AG$68="Muy Alta",'Mapa final'!$AI$68="Leve"),CONCATENATE("R10C",'Mapa final'!$W$68),"")</f>
        <v/>
      </c>
      <c r="L15" s="45" t="str">
        <f>IF(AND('Mapa final'!$AG$69="Muy Alta",'Mapa final'!$AI$69="Leve"),CONCATENATE("R10C",'Mapa final'!$W$69),"")</f>
        <v/>
      </c>
      <c r="M15" s="45" t="str">
        <f>IF(AND('Mapa final'!$AG$70="Muy Alta",'Mapa final'!$AI$70="Leve"),CONCATENATE("R10C",'Mapa final'!$W$70),"")</f>
        <v/>
      </c>
      <c r="N15" s="45" t="str">
        <f>IF(AND('Mapa final'!$AG$71="Muy Alta",'Mapa final'!$AI$71="Leve"),CONCATENATE("R10C",'Mapa final'!$W$71),"")</f>
        <v/>
      </c>
      <c r="O15" s="46" t="str">
        <f>IF(AND('Mapa final'!$AG$72="Muy Alta",'Mapa final'!$AI$72="Leve"),CONCATENATE("R10C",'Mapa final'!$W$72),"")</f>
        <v/>
      </c>
      <c r="P15" s="38" t="str">
        <f ca="1">IF(AND('Mapa final'!$AG$67="Muy Alta",'Mapa final'!$AI$67="Menor"),CONCATENATE("R10C",'Mapa final'!$W$67),"")</f>
        <v/>
      </c>
      <c r="Q15" s="39" t="str">
        <f ca="1">IF(AND('Mapa final'!$AG$68="Muy Alta",'Mapa final'!$AI$68="Menor"),CONCATENATE("R10C",'Mapa final'!$W$68),"")</f>
        <v/>
      </c>
      <c r="R15" s="39" t="str">
        <f>IF(AND('Mapa final'!$AG$69="Muy Alta",'Mapa final'!$AI$69="Menor"),CONCATENATE("R10C",'Mapa final'!$W$69),"")</f>
        <v/>
      </c>
      <c r="S15" s="39" t="str">
        <f>IF(AND('Mapa final'!$AG$70="Muy Alta",'Mapa final'!$AI$70="Menor"),CONCATENATE("R10C",'Mapa final'!$W$70),"")</f>
        <v/>
      </c>
      <c r="T15" s="39" t="str">
        <f>IF(AND('Mapa final'!$AG$71="Muy Alta",'Mapa final'!$AI$71="Menor"),CONCATENATE("R10C",'Mapa final'!$W$71),"")</f>
        <v/>
      </c>
      <c r="U15" s="40" t="str">
        <f>IF(AND('Mapa final'!$AG$72="Muy Alta",'Mapa final'!$AI$72="Menor"),CONCATENATE("R10C",'Mapa final'!$W$72),"")</f>
        <v/>
      </c>
      <c r="V15" s="44" t="str">
        <f ca="1">IF(AND('Mapa final'!$AG$67="Muy Alta",'Mapa final'!$AI$67="Moderado"),CONCATENATE("R10C",'Mapa final'!$W$67),"")</f>
        <v/>
      </c>
      <c r="W15" s="45" t="str">
        <f ca="1">IF(AND('Mapa final'!$AG$68="Muy Alta",'Mapa final'!$AI$68="Moderado"),CONCATENATE("R10C",'Mapa final'!$W$68),"")</f>
        <v/>
      </c>
      <c r="X15" s="45" t="str">
        <f>IF(AND('Mapa final'!$AG$69="Muy Alta",'Mapa final'!$AI$69="Moderado"),CONCATENATE("R10C",'Mapa final'!$W$69),"")</f>
        <v/>
      </c>
      <c r="Y15" s="45" t="str">
        <f>IF(AND('Mapa final'!$AG$70="Muy Alta",'Mapa final'!$AI$70="Moderado"),CONCATENATE("R10C",'Mapa final'!$W$70),"")</f>
        <v/>
      </c>
      <c r="Z15" s="45" t="str">
        <f>IF(AND('Mapa final'!$AG$71="Muy Alta",'Mapa final'!$AI$71="Moderado"),CONCATENATE("R10C",'Mapa final'!$W$71),"")</f>
        <v/>
      </c>
      <c r="AA15" s="46" t="str">
        <f>IF(AND('Mapa final'!$AG$72="Muy Alta",'Mapa final'!$AI$72="Moderado"),CONCATENATE("R10C",'Mapa final'!$W$72),"")</f>
        <v/>
      </c>
      <c r="AB15" s="38" t="str">
        <f ca="1">IF(AND('Mapa final'!$AG$67="Muy Alta",'Mapa final'!$AI$67="Mayor"),CONCATENATE("R10C",'Mapa final'!$W$67),"")</f>
        <v/>
      </c>
      <c r="AC15" s="39" t="str">
        <f ca="1">IF(AND('Mapa final'!$AG$68="Muy Alta",'Mapa final'!$AI$68="Mayor"),CONCATENATE("R10C",'Mapa final'!$W$68),"")</f>
        <v/>
      </c>
      <c r="AD15" s="39" t="str">
        <f>IF(AND('Mapa final'!$AG$69="Muy Alta",'Mapa final'!$AI$69="Mayor"),CONCATENATE("R10C",'Mapa final'!$W$69),"")</f>
        <v/>
      </c>
      <c r="AE15" s="39" t="str">
        <f>IF(AND('Mapa final'!$AG$70="Muy Alta",'Mapa final'!$AI$70="Mayor"),CONCATENATE("R10C",'Mapa final'!$W$70),"")</f>
        <v/>
      </c>
      <c r="AF15" s="39" t="str">
        <f>IF(AND('Mapa final'!$AG$71="Muy Alta",'Mapa final'!$AI$71="Mayor"),CONCATENATE("R10C",'Mapa final'!$W$71),"")</f>
        <v/>
      </c>
      <c r="AG15" s="40" t="str">
        <f>IF(AND('Mapa final'!$AG$72="Muy Alta",'Mapa final'!$AI$72="Mayor"),CONCATENATE("R10C",'Mapa final'!$W$72),"")</f>
        <v/>
      </c>
      <c r="AH15" s="47" t="str">
        <f ca="1">IF(AND('Mapa final'!$AG$67="Muy Alta",'Mapa final'!$AI$67="Catastrófico"),CONCATENATE("R10C",'Mapa final'!$W$67),"")</f>
        <v/>
      </c>
      <c r="AI15" s="48" t="str">
        <f ca="1">IF(AND('Mapa final'!$AG$68="Muy Alta",'Mapa final'!$AI$68="Catastrófico"),CONCATENATE("R10C",'Mapa final'!$W$68),"")</f>
        <v/>
      </c>
      <c r="AJ15" s="48" t="str">
        <f>IF(AND('Mapa final'!$AG$69="Muy Alta",'Mapa final'!$AI$69="Catastrófico"),CONCATENATE("R10C",'Mapa final'!$W$69),"")</f>
        <v/>
      </c>
      <c r="AK15" s="48" t="str">
        <f>IF(AND('Mapa final'!$AG$70="Muy Alta",'Mapa final'!$AI$70="Catastrófico"),CONCATENATE("R10C",'Mapa final'!$W$70),"")</f>
        <v/>
      </c>
      <c r="AL15" s="48" t="str">
        <f>IF(AND('Mapa final'!$AG$71="Muy Alta",'Mapa final'!$AI$71="Catastrófico"),CONCATENATE("R10C",'Mapa final'!$W$71),"")</f>
        <v/>
      </c>
      <c r="AM15" s="49" t="str">
        <f>IF(AND('Mapa final'!$AG$72="Muy Alta",'Mapa final'!$AI$72="Catastrófico"),CONCATENATE("R10C",'Mapa final'!$W$72),"")</f>
        <v/>
      </c>
      <c r="AN15" s="69"/>
      <c r="AO15" s="450"/>
      <c r="AP15" s="451"/>
      <c r="AQ15" s="451"/>
      <c r="AR15" s="451"/>
      <c r="AS15" s="451"/>
      <c r="AT15" s="452"/>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row>
    <row r="16" spans="1:91" ht="15" customHeight="1" x14ac:dyDescent="0.25">
      <c r="A16" s="69"/>
      <c r="B16" s="431"/>
      <c r="C16" s="431"/>
      <c r="D16" s="432"/>
      <c r="E16" s="433" t="s">
        <v>134</v>
      </c>
      <c r="F16" s="434"/>
      <c r="G16" s="434"/>
      <c r="H16" s="434"/>
      <c r="I16" s="434"/>
      <c r="J16" s="50" t="str">
        <f ca="1">IF(AND('Mapa final'!$AG$13="Alta",'Mapa final'!$AI$13="Leve"),CONCATENATE("R1C",'Mapa final'!$W$13),"")</f>
        <v/>
      </c>
      <c r="K16" s="51" t="str">
        <f ca="1">IF(AND('Mapa final'!$AG$14="Alta",'Mapa final'!$AI$14="Leve"),CONCATENATE("R1C",'Mapa final'!$W$14),"")</f>
        <v/>
      </c>
      <c r="L16" s="51" t="str">
        <f>IF(AND('Mapa final'!$AG$15="Alta",'Mapa final'!$AI$15="Leve"),CONCATENATE("R1C",'Mapa final'!$W$15),"")</f>
        <v/>
      </c>
      <c r="M16" s="51" t="str">
        <f>IF(AND('Mapa final'!$AG$16="Alta",'Mapa final'!$AI$16="Leve"),CONCATENATE("R1C",'Mapa final'!$W$16),"")</f>
        <v/>
      </c>
      <c r="N16" s="51" t="str">
        <f>IF(AND('Mapa final'!$AG$17="Alta",'Mapa final'!$AI$17="Leve"),CONCATENATE("R1C",'Mapa final'!$W$17),"")</f>
        <v/>
      </c>
      <c r="O16" s="52" t="str">
        <f>IF(AND('Mapa final'!$AG$18="Alta",'Mapa final'!$AI$18="Leve"),CONCATENATE("R1C",'Mapa final'!$W$18),"")</f>
        <v/>
      </c>
      <c r="P16" s="50" t="str">
        <f ca="1">IF(AND('Mapa final'!$AG$13="Alta",'Mapa final'!$AI$13="Menor"),CONCATENATE("R1C",'Mapa final'!$W$13),"")</f>
        <v/>
      </c>
      <c r="Q16" s="51" t="str">
        <f ca="1">IF(AND('Mapa final'!$AG$14="Alta",'Mapa final'!$AI$14="Menor"),CONCATENATE("R1C",'Mapa final'!$W$14),"")</f>
        <v/>
      </c>
      <c r="R16" s="51" t="str">
        <f>IF(AND('Mapa final'!$AG$15="Alta",'Mapa final'!$AI$15="Menor"),CONCATENATE("R1C",'Mapa final'!$W$15),"")</f>
        <v/>
      </c>
      <c r="S16" s="51" t="str">
        <f>IF(AND('Mapa final'!$AG$16="Alta",'Mapa final'!$AI$16="Menor"),CONCATENATE("R1C",'Mapa final'!$W$16),"")</f>
        <v/>
      </c>
      <c r="T16" s="51" t="str">
        <f>IF(AND('Mapa final'!$AG$17="Alta",'Mapa final'!$AI$17="Menor"),CONCATENATE("R1C",'Mapa final'!$W$17),"")</f>
        <v/>
      </c>
      <c r="U16" s="52" t="str">
        <f>IF(AND('Mapa final'!$AG$18="Alta",'Mapa final'!$AI$18="Menor"),CONCATENATE("R1C",'Mapa final'!$W$18),"")</f>
        <v/>
      </c>
      <c r="V16" s="32" t="str">
        <f ca="1">IF(AND('Mapa final'!$AG$13="Alta",'Mapa final'!$AI$13="Moderado"),CONCATENATE("R1C",'Mapa final'!$W$13),"")</f>
        <v/>
      </c>
      <c r="W16" s="33" t="str">
        <f ca="1">IF(AND('Mapa final'!$AG$14="Alta",'Mapa final'!$AI$14="Moderado"),CONCATENATE("R1C",'Mapa final'!$W$14),"")</f>
        <v/>
      </c>
      <c r="X16" s="33" t="str">
        <f>IF(AND('Mapa final'!$AG$15="Alta",'Mapa final'!$AI$15="Moderado"),CONCATENATE("R1C",'Mapa final'!$W$15),"")</f>
        <v/>
      </c>
      <c r="Y16" s="33" t="str">
        <f>IF(AND('Mapa final'!$AG$16="Alta",'Mapa final'!$AI$16="Moderado"),CONCATENATE("R1C",'Mapa final'!$W$16),"")</f>
        <v/>
      </c>
      <c r="Z16" s="33" t="str">
        <f>IF(AND('Mapa final'!$AG$17="Alta",'Mapa final'!$AI$17="Moderado"),CONCATENATE("R1C",'Mapa final'!$W$17),"")</f>
        <v/>
      </c>
      <c r="AA16" s="34" t="str">
        <f>IF(AND('Mapa final'!$AG$18="Alta",'Mapa final'!$AI$18="Moderado"),CONCATENATE("R1C",'Mapa final'!$W$18),"")</f>
        <v/>
      </c>
      <c r="AB16" s="32" t="str">
        <f ca="1">IF(AND('Mapa final'!$AG$13="Alta",'Mapa final'!$AI$13="Mayor"),CONCATENATE("R1C",'Mapa final'!$W$13),"")</f>
        <v/>
      </c>
      <c r="AC16" s="33" t="str">
        <f ca="1">IF(AND('Mapa final'!$AG$14="Alta",'Mapa final'!$AI$14="Mayor"),CONCATENATE("R1C",'Mapa final'!$W$14),"")</f>
        <v/>
      </c>
      <c r="AD16" s="33" t="str">
        <f>IF(AND('Mapa final'!$AG$15="Alta",'Mapa final'!$AI$15="Mayor"),CONCATENATE("R1C",'Mapa final'!$W$15),"")</f>
        <v/>
      </c>
      <c r="AE16" s="33" t="str">
        <f>IF(AND('Mapa final'!$AG$16="Alta",'Mapa final'!$AI$16="Mayor"),CONCATENATE("R1C",'Mapa final'!$W$16),"")</f>
        <v/>
      </c>
      <c r="AF16" s="33" t="str">
        <f>IF(AND('Mapa final'!$AG$17="Alta",'Mapa final'!$AI$17="Mayor"),CONCATENATE("R1C",'Mapa final'!$W$17),"")</f>
        <v/>
      </c>
      <c r="AG16" s="34" t="str">
        <f>IF(AND('Mapa final'!$AG$18="Alta",'Mapa final'!$AI$18="Mayor"),CONCATENATE("R1C",'Mapa final'!$W$18),"")</f>
        <v/>
      </c>
      <c r="AH16" s="35" t="str">
        <f ca="1">IF(AND('Mapa final'!$AG$13="Alta",'Mapa final'!$AI$13="Catastrófico"),CONCATENATE("R1C",'Mapa final'!$W$13),"")</f>
        <v/>
      </c>
      <c r="AI16" s="36" t="str">
        <f ca="1">IF(AND('Mapa final'!$AG$14="Alta",'Mapa final'!$AI$14="Catastrófico"),CONCATENATE("R1C",'Mapa final'!$W$14),"")</f>
        <v/>
      </c>
      <c r="AJ16" s="36" t="str">
        <f>IF(AND('Mapa final'!$AG$15="Alta",'Mapa final'!$AI$15="Catastrófico"),CONCATENATE("R1C",'Mapa final'!$W$15),"")</f>
        <v/>
      </c>
      <c r="AK16" s="36" t="str">
        <f>IF(AND('Mapa final'!$AG$16="Alta",'Mapa final'!$AI$16="Catastrófico"),CONCATENATE("R1C",'Mapa final'!$W$16),"")</f>
        <v/>
      </c>
      <c r="AL16" s="36" t="str">
        <f>IF(AND('Mapa final'!$AG$17="Alta",'Mapa final'!$AI$17="Catastrófico"),CONCATENATE("R1C",'Mapa final'!$W$17),"")</f>
        <v/>
      </c>
      <c r="AM16" s="37" t="str">
        <f>IF(AND('Mapa final'!$AG$18="Alta",'Mapa final'!$AI$18="Catastrófico"),CONCATENATE("R1C",'Mapa final'!$W$18),"")</f>
        <v/>
      </c>
      <c r="AN16" s="69"/>
      <c r="AO16" s="464" t="s">
        <v>135</v>
      </c>
      <c r="AP16" s="465"/>
      <c r="AQ16" s="465"/>
      <c r="AR16" s="465"/>
      <c r="AS16" s="465"/>
      <c r="AT16" s="466"/>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row>
    <row r="17" spans="1:76" ht="15" customHeight="1" x14ac:dyDescent="0.25">
      <c r="A17" s="69"/>
      <c r="B17" s="431"/>
      <c r="C17" s="431"/>
      <c r="D17" s="432"/>
      <c r="E17" s="443"/>
      <c r="F17" s="437"/>
      <c r="G17" s="437"/>
      <c r="H17" s="437"/>
      <c r="I17" s="437"/>
      <c r="J17" s="53" t="str">
        <f ca="1">IF(AND('Mapa final'!$AG$19="Alta",'Mapa final'!$AI$19="Leve"),CONCATENATE("R2C",'Mapa final'!$W$19),"")</f>
        <v/>
      </c>
      <c r="K17" s="54" t="str">
        <f ca="1">IF(AND('Mapa final'!$AG$20="Alta",'Mapa final'!$AI$20="Leve"),CONCATENATE("R2C",'Mapa final'!$W$20),"")</f>
        <v/>
      </c>
      <c r="L17" s="54" t="str">
        <f>IF(AND('Mapa final'!$AG$21="Alta",'Mapa final'!$AI$21="Leve"),CONCATENATE("R2C",'Mapa final'!$W$21),"")</f>
        <v/>
      </c>
      <c r="M17" s="54" t="str">
        <f>IF(AND('Mapa final'!$AG$22="Alta",'Mapa final'!$AI$22="Leve"),CONCATENATE("R2C",'Mapa final'!$W$22),"")</f>
        <v/>
      </c>
      <c r="N17" s="54" t="str">
        <f>IF(AND('Mapa final'!$AG$23="Alta",'Mapa final'!$AI$23="Leve"),CONCATENATE("R2C",'Mapa final'!$W$23),"")</f>
        <v/>
      </c>
      <c r="O17" s="55" t="str">
        <f>IF(AND('Mapa final'!$AG$24="Alta",'Mapa final'!$AI$24="Leve"),CONCATENATE("R2C",'Mapa final'!$W$24),"")</f>
        <v/>
      </c>
      <c r="P17" s="53" t="str">
        <f ca="1">IF(AND('Mapa final'!$AG$19="Alta",'Mapa final'!$AI$19="Menor"),CONCATENATE("R2C",'Mapa final'!$W$19),"")</f>
        <v/>
      </c>
      <c r="Q17" s="54" t="str">
        <f ca="1">IF(AND('Mapa final'!$AG$20="Alta",'Mapa final'!$AI$20="Menor"),CONCATENATE("R2C",'Mapa final'!$W$20),"")</f>
        <v/>
      </c>
      <c r="R17" s="54" t="str">
        <f>IF(AND('Mapa final'!$AG$21="Alta",'Mapa final'!$AI$21="Menor"),CONCATENATE("R2C",'Mapa final'!$W$21),"")</f>
        <v/>
      </c>
      <c r="S17" s="54" t="str">
        <f>IF(AND('Mapa final'!$AG$22="Alta",'Mapa final'!$AI$22="Menor"),CONCATENATE("R2C",'Mapa final'!$W$22),"")</f>
        <v/>
      </c>
      <c r="T17" s="54" t="str">
        <f>IF(AND('Mapa final'!$AG$23="Alta",'Mapa final'!$AI$23="Menor"),CONCATENATE("R2C",'Mapa final'!$W$23),"")</f>
        <v/>
      </c>
      <c r="U17" s="55" t="str">
        <f>IF(AND('Mapa final'!$AG$24="Alta",'Mapa final'!$AI$24="Menor"),CONCATENATE("R2C",'Mapa final'!$W$24),"")</f>
        <v/>
      </c>
      <c r="V17" s="38" t="str">
        <f ca="1">IF(AND('Mapa final'!$AG$19="Alta",'Mapa final'!$AI$19="Moderado"),CONCATENATE("R2C",'Mapa final'!$W$19),"")</f>
        <v/>
      </c>
      <c r="W17" s="39" t="str">
        <f ca="1">IF(AND('Mapa final'!$AG$20="Alta",'Mapa final'!$AI$20="Moderado"),CONCATENATE("R2C",'Mapa final'!$W$20),"")</f>
        <v/>
      </c>
      <c r="X17" s="39" t="str">
        <f>IF(AND('Mapa final'!$AG$21="Alta",'Mapa final'!$AI$21="Moderado"),CONCATENATE("R2C",'Mapa final'!$W$21),"")</f>
        <v/>
      </c>
      <c r="Y17" s="39" t="str">
        <f>IF(AND('Mapa final'!$AG$22="Alta",'Mapa final'!$AI$22="Moderado"),CONCATENATE("R2C",'Mapa final'!$W$22),"")</f>
        <v/>
      </c>
      <c r="Z17" s="39" t="str">
        <f>IF(AND('Mapa final'!$AG$23="Alta",'Mapa final'!$AI$23="Moderado"),CONCATENATE("R2C",'Mapa final'!$W$23),"")</f>
        <v/>
      </c>
      <c r="AA17" s="40" t="str">
        <f>IF(AND('Mapa final'!$AG$24="Alta",'Mapa final'!$AI$24="Moderado"),CONCATENATE("R2C",'Mapa final'!$W$24),"")</f>
        <v/>
      </c>
      <c r="AB17" s="38" t="str">
        <f ca="1">IF(AND('Mapa final'!$AG$19="Alta",'Mapa final'!$AI$19="Mayor"),CONCATENATE("R2C",'Mapa final'!$W$19),"")</f>
        <v/>
      </c>
      <c r="AC17" s="39" t="str">
        <f ca="1">IF(AND('Mapa final'!$AG$20="Alta",'Mapa final'!$AI$20="Mayor"),CONCATENATE("R2C",'Mapa final'!$W$20),"")</f>
        <v/>
      </c>
      <c r="AD17" s="39" t="str">
        <f>IF(AND('Mapa final'!$AG$21="Alta",'Mapa final'!$AI$21="Mayor"),CONCATENATE("R2C",'Mapa final'!$W$21),"")</f>
        <v/>
      </c>
      <c r="AE17" s="39" t="str">
        <f>IF(AND('Mapa final'!$AG$22="Alta",'Mapa final'!$AI$22="Mayor"),CONCATENATE("R2C",'Mapa final'!$W$22),"")</f>
        <v/>
      </c>
      <c r="AF17" s="39" t="str">
        <f>IF(AND('Mapa final'!$AG$23="Alta",'Mapa final'!$AI$23="Mayor"),CONCATENATE("R2C",'Mapa final'!$W$23),"")</f>
        <v/>
      </c>
      <c r="AG17" s="40" t="str">
        <f>IF(AND('Mapa final'!$AG$24="Alta",'Mapa final'!$AI$24="Mayor"),CONCATENATE("R2C",'Mapa final'!$W$24),"")</f>
        <v/>
      </c>
      <c r="AH17" s="41" t="str">
        <f ca="1">IF(AND('Mapa final'!$AG$19="Alta",'Mapa final'!$AI$19="Catastrófico"),CONCATENATE("R2C",'Mapa final'!$W$19),"")</f>
        <v/>
      </c>
      <c r="AI17" s="42" t="str">
        <f ca="1">IF(AND('Mapa final'!$AG$20="Alta",'Mapa final'!$AI$20="Catastrófico"),CONCATENATE("R2C",'Mapa final'!$W$20),"")</f>
        <v/>
      </c>
      <c r="AJ17" s="42" t="str">
        <f>IF(AND('Mapa final'!$AG$21="Alta",'Mapa final'!$AI$21="Catastrófico"),CONCATENATE("R2C",'Mapa final'!$W$21),"")</f>
        <v/>
      </c>
      <c r="AK17" s="42" t="str">
        <f>IF(AND('Mapa final'!$AG$22="Alta",'Mapa final'!$AI$22="Catastrófico"),CONCATENATE("R2C",'Mapa final'!$W$22),"")</f>
        <v/>
      </c>
      <c r="AL17" s="42" t="str">
        <f>IF(AND('Mapa final'!$AG$23="Alta",'Mapa final'!$AI$23="Catastrófico"),CONCATENATE("R2C",'Mapa final'!$W$23),"")</f>
        <v/>
      </c>
      <c r="AM17" s="43" t="str">
        <f>IF(AND('Mapa final'!$AG$24="Alta",'Mapa final'!$AI$24="Catastrófico"),CONCATENATE("R2C",'Mapa final'!$W$24),"")</f>
        <v/>
      </c>
      <c r="AN17" s="69"/>
      <c r="AO17" s="467"/>
      <c r="AP17" s="468"/>
      <c r="AQ17" s="468"/>
      <c r="AR17" s="468"/>
      <c r="AS17" s="468"/>
      <c r="AT17" s="469"/>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row>
    <row r="18" spans="1:76" ht="15" customHeight="1" x14ac:dyDescent="0.25">
      <c r="A18" s="69"/>
      <c r="B18" s="431"/>
      <c r="C18" s="431"/>
      <c r="D18" s="432"/>
      <c r="E18" s="436"/>
      <c r="F18" s="437"/>
      <c r="G18" s="437"/>
      <c r="H18" s="437"/>
      <c r="I18" s="437"/>
      <c r="J18" s="53" t="str">
        <f ca="1">IF(AND('Mapa final'!$AG$25="Alta",'Mapa final'!$AI$25="Leve"),CONCATENATE("R3C",'Mapa final'!$W$25),"")</f>
        <v/>
      </c>
      <c r="K18" s="54" t="str">
        <f ca="1">IF(AND('Mapa final'!$AG$26="Alta",'Mapa final'!$AI$26="Leve"),CONCATENATE("R3C",'Mapa final'!$W$26),"")</f>
        <v/>
      </c>
      <c r="L18" s="54" t="str">
        <f ca="1">IF(AND('Mapa final'!$AG$27="Alta",'Mapa final'!$AI$27="Leve"),CONCATENATE("R3C",'Mapa final'!$W$27),"")</f>
        <v/>
      </c>
      <c r="M18" s="54" t="str">
        <f>IF(AND('Mapa final'!$AG$28="Alta",'Mapa final'!$AI$28="Leve"),CONCATENATE("R3C",'Mapa final'!$W$28),"")</f>
        <v/>
      </c>
      <c r="N18" s="54" t="str">
        <f>IF(AND('Mapa final'!$AG$29="Alta",'Mapa final'!$AI$29="Leve"),CONCATENATE("R3C",'Mapa final'!$W$29),"")</f>
        <v/>
      </c>
      <c r="O18" s="55" t="str">
        <f>IF(AND('Mapa final'!$AG$30="Alta",'Mapa final'!$AI$30="Leve"),CONCATENATE("R3C",'Mapa final'!$W$30),"")</f>
        <v/>
      </c>
      <c r="P18" s="53" t="str">
        <f ca="1">IF(AND('Mapa final'!$AG$25="Alta",'Mapa final'!$AI$25="Menor"),CONCATENATE("R3C",'Mapa final'!$W$25),"")</f>
        <v/>
      </c>
      <c r="Q18" s="54" t="str">
        <f ca="1">IF(AND('Mapa final'!$AG$26="Alta",'Mapa final'!$AI$26="Menor"),CONCATENATE("R3C",'Mapa final'!$W$26),"")</f>
        <v/>
      </c>
      <c r="R18" s="54" t="str">
        <f ca="1">IF(AND('Mapa final'!$AG$27="Alta",'Mapa final'!$AI$27="Menor"),CONCATENATE("R3C",'Mapa final'!$W$27),"")</f>
        <v/>
      </c>
      <c r="S18" s="54" t="str">
        <f>IF(AND('Mapa final'!$AG$28="Alta",'Mapa final'!$AI$28="Menor"),CONCATENATE("R3C",'Mapa final'!$W$28),"")</f>
        <v/>
      </c>
      <c r="T18" s="54" t="str">
        <f>IF(AND('Mapa final'!$AG$29="Alta",'Mapa final'!$AI$29="Menor"),CONCATENATE("R3C",'Mapa final'!$W$29),"")</f>
        <v/>
      </c>
      <c r="U18" s="55" t="str">
        <f>IF(AND('Mapa final'!$AG$30="Alta",'Mapa final'!$AI$30="Menor"),CONCATENATE("R3C",'Mapa final'!$W$30),"")</f>
        <v/>
      </c>
      <c r="V18" s="38" t="str">
        <f ca="1">IF(AND('Mapa final'!$AG$25="Alta",'Mapa final'!$AI$25="Moderado"),CONCATENATE("R3C",'Mapa final'!$W$25),"")</f>
        <v/>
      </c>
      <c r="W18" s="39" t="str">
        <f ca="1">IF(AND('Mapa final'!$AG$26="Alta",'Mapa final'!$AI$26="Moderado"),CONCATENATE("R3C",'Mapa final'!$W$26),"")</f>
        <v/>
      </c>
      <c r="X18" s="39" t="str">
        <f ca="1">IF(AND('Mapa final'!$AG$27="Alta",'Mapa final'!$AI$27="Moderado"),CONCATENATE("R3C",'Mapa final'!$W$27),"")</f>
        <v/>
      </c>
      <c r="Y18" s="39" t="str">
        <f>IF(AND('Mapa final'!$AG$28="Alta",'Mapa final'!$AI$28="Moderado"),CONCATENATE("R3C",'Mapa final'!$W$28),"")</f>
        <v/>
      </c>
      <c r="Z18" s="39" t="str">
        <f>IF(AND('Mapa final'!$AG$29="Alta",'Mapa final'!$AI$29="Moderado"),CONCATENATE("R3C",'Mapa final'!$W$29),"")</f>
        <v/>
      </c>
      <c r="AA18" s="40" t="str">
        <f>IF(AND('Mapa final'!$AG$30="Alta",'Mapa final'!$AI$30="Moderado"),CONCATENATE("R3C",'Mapa final'!$W$30),"")</f>
        <v/>
      </c>
      <c r="AB18" s="38" t="str">
        <f ca="1">IF(AND('Mapa final'!$AG$25="Alta",'Mapa final'!$AI$25="Mayor"),CONCATENATE("R3C",'Mapa final'!$W$25),"")</f>
        <v/>
      </c>
      <c r="AC18" s="39" t="str">
        <f ca="1">IF(AND('Mapa final'!$AG$26="Alta",'Mapa final'!$AI$26="Mayor"),CONCATENATE("R3C",'Mapa final'!$W$26),"")</f>
        <v/>
      </c>
      <c r="AD18" s="39" t="str">
        <f ca="1">IF(AND('Mapa final'!$AG$27="Alta",'Mapa final'!$AI$27="Mayor"),CONCATENATE("R3C",'Mapa final'!$W$27),"")</f>
        <v/>
      </c>
      <c r="AE18" s="39" t="str">
        <f>IF(AND('Mapa final'!$AG$28="Alta",'Mapa final'!$AI$28="Mayor"),CONCATENATE("R3C",'Mapa final'!$W$28),"")</f>
        <v/>
      </c>
      <c r="AF18" s="39" t="str">
        <f>IF(AND('Mapa final'!$AG$29="Alta",'Mapa final'!$AI$29="Mayor"),CONCATENATE("R3C",'Mapa final'!$W$29),"")</f>
        <v/>
      </c>
      <c r="AG18" s="40" t="str">
        <f>IF(AND('Mapa final'!$AG$30="Alta",'Mapa final'!$AI$30="Mayor"),CONCATENATE("R3C",'Mapa final'!$W$30),"")</f>
        <v/>
      </c>
      <c r="AH18" s="41" t="str">
        <f ca="1">IF(AND('Mapa final'!$AG$25="Alta",'Mapa final'!$AI$25="Catastrófico"),CONCATENATE("R3C",'Mapa final'!$W$25),"")</f>
        <v/>
      </c>
      <c r="AI18" s="42" t="str">
        <f ca="1">IF(AND('Mapa final'!$AG$26="Alta",'Mapa final'!$AI$26="Catastrófico"),CONCATENATE("R3C",'Mapa final'!$W$26),"")</f>
        <v/>
      </c>
      <c r="AJ18" s="42" t="str">
        <f ca="1">IF(AND('Mapa final'!$AG$27="Alta",'Mapa final'!$AI$27="Catastrófico"),CONCATENATE("R3C",'Mapa final'!$W$27),"")</f>
        <v/>
      </c>
      <c r="AK18" s="42" t="str">
        <f>IF(AND('Mapa final'!$AG$28="Alta",'Mapa final'!$AI$28="Catastrófico"),CONCATENATE("R3C",'Mapa final'!$W$28),"")</f>
        <v/>
      </c>
      <c r="AL18" s="42" t="str">
        <f>IF(AND('Mapa final'!$AG$29="Alta",'Mapa final'!$AI$29="Catastrófico"),CONCATENATE("R3C",'Mapa final'!$W$29),"")</f>
        <v/>
      </c>
      <c r="AM18" s="43" t="str">
        <f>IF(AND('Mapa final'!$AG$30="Alta",'Mapa final'!$AI$30="Catastrófico"),CONCATENATE("R3C",'Mapa final'!$W$30),"")</f>
        <v/>
      </c>
      <c r="AN18" s="69"/>
      <c r="AO18" s="467"/>
      <c r="AP18" s="468"/>
      <c r="AQ18" s="468"/>
      <c r="AR18" s="468"/>
      <c r="AS18" s="468"/>
      <c r="AT18" s="469"/>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row>
    <row r="19" spans="1:76" ht="15" customHeight="1" x14ac:dyDescent="0.25">
      <c r="A19" s="69"/>
      <c r="B19" s="431"/>
      <c r="C19" s="431"/>
      <c r="D19" s="432"/>
      <c r="E19" s="436"/>
      <c r="F19" s="437"/>
      <c r="G19" s="437"/>
      <c r="H19" s="437"/>
      <c r="I19" s="437"/>
      <c r="J19" s="53" t="str">
        <f ca="1">IF(AND('Mapa final'!$AG$31="Alta",'Mapa final'!$AI$31="Leve"),CONCATENATE("R4C",'Mapa final'!$W$31),"")</f>
        <v/>
      </c>
      <c r="K19" s="54" t="str">
        <f ca="1">IF(AND('Mapa final'!$AG$32="Alta",'Mapa final'!$AI$32="Leve"),CONCATENATE("R4C",'Mapa final'!$W$32),"")</f>
        <v/>
      </c>
      <c r="L19" s="54" t="str">
        <f>IF(AND('Mapa final'!$AG$33="Alta",'Mapa final'!$AI$33="Leve"),CONCATENATE("R4C",'Mapa final'!$W$33),"")</f>
        <v/>
      </c>
      <c r="M19" s="54" t="str">
        <f>IF(AND('Mapa final'!$AG$34="Alta",'Mapa final'!$AI$34="Leve"),CONCATENATE("R4C",'Mapa final'!$W$34),"")</f>
        <v/>
      </c>
      <c r="N19" s="54" t="str">
        <f>IF(AND('Mapa final'!$AG$35="Alta",'Mapa final'!$AI$35="Leve"),CONCATENATE("R4C",'Mapa final'!$W$35),"")</f>
        <v/>
      </c>
      <c r="O19" s="55" t="str">
        <f>IF(AND('Mapa final'!$AG$36="Alta",'Mapa final'!$AI$36="Leve"),CONCATENATE("R4C",'Mapa final'!$W$36),"")</f>
        <v/>
      </c>
      <c r="P19" s="53" t="str">
        <f ca="1">IF(AND('Mapa final'!$AG$31="Alta",'Mapa final'!$AI$31="Menor"),CONCATENATE("R4C",'Mapa final'!$W$31),"")</f>
        <v/>
      </c>
      <c r="Q19" s="54" t="str">
        <f ca="1">IF(AND('Mapa final'!$AG$32="Alta",'Mapa final'!$AI$32="Menor"),CONCATENATE("R4C",'Mapa final'!$W$32),"")</f>
        <v/>
      </c>
      <c r="R19" s="54" t="str">
        <f>IF(AND('Mapa final'!$AG$33="Alta",'Mapa final'!$AI$33="Menor"),CONCATENATE("R4C",'Mapa final'!$W$33),"")</f>
        <v/>
      </c>
      <c r="S19" s="54" t="str">
        <f>IF(AND('Mapa final'!$AG$34="Alta",'Mapa final'!$AI$34="Menor"),CONCATENATE("R4C",'Mapa final'!$W$34),"")</f>
        <v/>
      </c>
      <c r="T19" s="54" t="str">
        <f>IF(AND('Mapa final'!$AG$35="Alta",'Mapa final'!$AI$35="Menor"),CONCATENATE("R4C",'Mapa final'!$W$35),"")</f>
        <v/>
      </c>
      <c r="U19" s="55" t="str">
        <f>IF(AND('Mapa final'!$AG$36="Alta",'Mapa final'!$AI$36="Menor"),CONCATENATE("R4C",'Mapa final'!$W$36),"")</f>
        <v/>
      </c>
      <c r="V19" s="38" t="str">
        <f ca="1">IF(AND('Mapa final'!$AG$31="Alta",'Mapa final'!$AI$31="Moderado"),CONCATENATE("R4C",'Mapa final'!$W$31),"")</f>
        <v/>
      </c>
      <c r="W19" s="39" t="str">
        <f ca="1">IF(AND('Mapa final'!$AG$32="Alta",'Mapa final'!$AI$32="Moderado"),CONCATENATE("R4C",'Mapa final'!$W$32),"")</f>
        <v/>
      </c>
      <c r="X19" s="39" t="str">
        <f>IF(AND('Mapa final'!$AG$33="Alta",'Mapa final'!$AI$33="Moderado"),CONCATENATE("R4C",'Mapa final'!$W$33),"")</f>
        <v/>
      </c>
      <c r="Y19" s="39" t="str">
        <f>IF(AND('Mapa final'!$AG$34="Alta",'Mapa final'!$AI$34="Moderado"),CONCATENATE("R4C",'Mapa final'!$W$34),"")</f>
        <v/>
      </c>
      <c r="Z19" s="39" t="str">
        <f>IF(AND('Mapa final'!$AG$35="Alta",'Mapa final'!$AI$35="Moderado"),CONCATENATE("R4C",'Mapa final'!$W$35),"")</f>
        <v/>
      </c>
      <c r="AA19" s="40" t="str">
        <f>IF(AND('Mapa final'!$AG$36="Alta",'Mapa final'!$AI$36="Moderado"),CONCATENATE("R4C",'Mapa final'!$W$36),"")</f>
        <v/>
      </c>
      <c r="AB19" s="38" t="str">
        <f ca="1">IF(AND('Mapa final'!$AG$31="Alta",'Mapa final'!$AI$31="Mayor"),CONCATENATE("R4C",'Mapa final'!$W$31),"")</f>
        <v/>
      </c>
      <c r="AC19" s="39" t="str">
        <f ca="1">IF(AND('Mapa final'!$AG$32="Alta",'Mapa final'!$AI$32="Mayor"),CONCATENATE("R4C",'Mapa final'!$W$32),"")</f>
        <v/>
      </c>
      <c r="AD19" s="39" t="str">
        <f>IF(AND('Mapa final'!$AG$33="Alta",'Mapa final'!$AI$33="Mayor"),CONCATENATE("R4C",'Mapa final'!$W$33),"")</f>
        <v/>
      </c>
      <c r="AE19" s="39" t="str">
        <f>IF(AND('Mapa final'!$AG$34="Alta",'Mapa final'!$AI$34="Mayor"),CONCATENATE("R4C",'Mapa final'!$W$34),"")</f>
        <v/>
      </c>
      <c r="AF19" s="39" t="str">
        <f>IF(AND('Mapa final'!$AG$35="Alta",'Mapa final'!$AI$35="Mayor"),CONCATENATE("R4C",'Mapa final'!$W$35),"")</f>
        <v/>
      </c>
      <c r="AG19" s="40" t="str">
        <f>IF(AND('Mapa final'!$AG$36="Alta",'Mapa final'!$AI$36="Mayor"),CONCATENATE("R4C",'Mapa final'!$W$36),"")</f>
        <v/>
      </c>
      <c r="AH19" s="41" t="str">
        <f ca="1">IF(AND('Mapa final'!$AG$31="Alta",'Mapa final'!$AI$31="Catastrófico"),CONCATENATE("R4C",'Mapa final'!$W$31),"")</f>
        <v/>
      </c>
      <c r="AI19" s="42" t="str">
        <f ca="1">IF(AND('Mapa final'!$AG$32="Alta",'Mapa final'!$AI$32="Catastrófico"),CONCATENATE("R4C",'Mapa final'!$W$32),"")</f>
        <v/>
      </c>
      <c r="AJ19" s="42" t="str">
        <f>IF(AND('Mapa final'!$AG$33="Alta",'Mapa final'!$AI$33="Catastrófico"),CONCATENATE("R4C",'Mapa final'!$W$33),"")</f>
        <v/>
      </c>
      <c r="AK19" s="42" t="str">
        <f>IF(AND('Mapa final'!$AG$34="Alta",'Mapa final'!$AI$34="Catastrófico"),CONCATENATE("R4C",'Mapa final'!$W$34),"")</f>
        <v/>
      </c>
      <c r="AL19" s="42" t="str">
        <f>IF(AND('Mapa final'!$AG$35="Alta",'Mapa final'!$AI$35="Catastrófico"),CONCATENATE("R4C",'Mapa final'!$W$35),"")</f>
        <v/>
      </c>
      <c r="AM19" s="43" t="str">
        <f>IF(AND('Mapa final'!$AG$36="Alta",'Mapa final'!$AI$36="Catastrófico"),CONCATENATE("R4C",'Mapa final'!$W$36),"")</f>
        <v/>
      </c>
      <c r="AN19" s="69"/>
      <c r="AO19" s="467"/>
      <c r="AP19" s="468"/>
      <c r="AQ19" s="468"/>
      <c r="AR19" s="468"/>
      <c r="AS19" s="468"/>
      <c r="AT19" s="469"/>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row>
    <row r="20" spans="1:76" ht="15" customHeight="1" x14ac:dyDescent="0.25">
      <c r="A20" s="69"/>
      <c r="B20" s="431"/>
      <c r="C20" s="431"/>
      <c r="D20" s="432"/>
      <c r="E20" s="436"/>
      <c r="F20" s="437"/>
      <c r="G20" s="437"/>
      <c r="H20" s="437"/>
      <c r="I20" s="437"/>
      <c r="J20" s="53" t="str">
        <f ca="1">IF(AND('Mapa final'!$AG$37="Alta",'Mapa final'!$AI$37="Leve"),CONCATENATE("R5C",'Mapa final'!$W$37),"")</f>
        <v/>
      </c>
      <c r="K20" s="54" t="str">
        <f ca="1">IF(AND('Mapa final'!$AG$38="Alta",'Mapa final'!$AI$38="Leve"),CONCATENATE("R5C",'Mapa final'!$W$38),"")</f>
        <v/>
      </c>
      <c r="L20" s="54" t="str">
        <f ca="1">IF(AND('Mapa final'!$AG$39="Alta",'Mapa final'!$AI$39="Leve"),CONCATENATE("R5C",'Mapa final'!$W$39),"")</f>
        <v/>
      </c>
      <c r="M20" s="54" t="str">
        <f>IF(AND('Mapa final'!$AG$40="Alta",'Mapa final'!$AI$40="Leve"),CONCATENATE("R5C",'Mapa final'!$W$40),"")</f>
        <v/>
      </c>
      <c r="N20" s="54" t="str">
        <f>IF(AND('Mapa final'!$AG$41="Alta",'Mapa final'!$AI$41="Leve"),CONCATENATE("R5C",'Mapa final'!$W$41),"")</f>
        <v/>
      </c>
      <c r="O20" s="55" t="str">
        <f>IF(AND('Mapa final'!$AG$42="Alta",'Mapa final'!$AI$42="Leve"),CONCATENATE("R5C",'Mapa final'!$W$42),"")</f>
        <v/>
      </c>
      <c r="P20" s="53" t="str">
        <f ca="1">IF(AND('Mapa final'!$AG$37="Alta",'Mapa final'!$AI$37="Menor"),CONCATENATE("R5C",'Mapa final'!$W$37),"")</f>
        <v/>
      </c>
      <c r="Q20" s="54" t="str">
        <f ca="1">IF(AND('Mapa final'!$AG$38="Alta",'Mapa final'!$AI$38="Menor"),CONCATENATE("R5C",'Mapa final'!$W$38),"")</f>
        <v/>
      </c>
      <c r="R20" s="54" t="str">
        <f ca="1">IF(AND('Mapa final'!$AG$39="Alta",'Mapa final'!$AI$39="Menor"),CONCATENATE("R5C",'Mapa final'!$W$39),"")</f>
        <v/>
      </c>
      <c r="S20" s="54" t="str">
        <f>IF(AND('Mapa final'!$AG$40="Alta",'Mapa final'!$AI$40="Menor"),CONCATENATE("R5C",'Mapa final'!$W$40),"")</f>
        <v/>
      </c>
      <c r="T20" s="54" t="str">
        <f>IF(AND('Mapa final'!$AG$41="Alta",'Mapa final'!$AI$41="Menor"),CONCATENATE("R5C",'Mapa final'!$W$41),"")</f>
        <v/>
      </c>
      <c r="U20" s="55" t="str">
        <f>IF(AND('Mapa final'!$AG$42="Alta",'Mapa final'!$AI$42="Menor"),CONCATENATE("R5C",'Mapa final'!$W$42),"")</f>
        <v/>
      </c>
      <c r="V20" s="38" t="str">
        <f ca="1">IF(AND('Mapa final'!$AG$37="Alta",'Mapa final'!$AI$37="Moderado"),CONCATENATE("R5C",'Mapa final'!$W$37),"")</f>
        <v/>
      </c>
      <c r="W20" s="39" t="str">
        <f ca="1">IF(AND('Mapa final'!$AG$38="Alta",'Mapa final'!$AI$38="Moderado"),CONCATENATE("R5C",'Mapa final'!$W$38),"")</f>
        <v/>
      </c>
      <c r="X20" s="39" t="str">
        <f ca="1">IF(AND('Mapa final'!$AG$39="Alta",'Mapa final'!$AI$39="Moderado"),CONCATENATE("R5C",'Mapa final'!$W$39),"")</f>
        <v/>
      </c>
      <c r="Y20" s="39" t="str">
        <f>IF(AND('Mapa final'!$AG$40="Alta",'Mapa final'!$AI$40="Moderado"),CONCATENATE("R5C",'Mapa final'!$W$40),"")</f>
        <v/>
      </c>
      <c r="Z20" s="39" t="str">
        <f>IF(AND('Mapa final'!$AG$41="Alta",'Mapa final'!$AI$41="Moderado"),CONCATENATE("R5C",'Mapa final'!$W$41),"")</f>
        <v/>
      </c>
      <c r="AA20" s="40" t="str">
        <f>IF(AND('Mapa final'!$AG$42="Alta",'Mapa final'!$AI$42="Moderado"),CONCATENATE("R5C",'Mapa final'!$W$42),"")</f>
        <v/>
      </c>
      <c r="AB20" s="38" t="str">
        <f ca="1">IF(AND('Mapa final'!$AG$37="Alta",'Mapa final'!$AI$37="Mayor"),CONCATENATE("R5C",'Mapa final'!$W$37),"")</f>
        <v/>
      </c>
      <c r="AC20" s="39" t="str">
        <f ca="1">IF(AND('Mapa final'!$AG$38="Alta",'Mapa final'!$AI$38="Mayor"),CONCATENATE("R5C",'Mapa final'!$W$38),"")</f>
        <v/>
      </c>
      <c r="AD20" s="39" t="str">
        <f ca="1">IF(AND('Mapa final'!$AG$39="Alta",'Mapa final'!$AI$39="Mayor"),CONCATENATE("R5C",'Mapa final'!$W$39),"")</f>
        <v/>
      </c>
      <c r="AE20" s="39" t="str">
        <f>IF(AND('Mapa final'!$AG$40="Alta",'Mapa final'!$AI$40="Mayor"),CONCATENATE("R5C",'Mapa final'!$W$40),"")</f>
        <v/>
      </c>
      <c r="AF20" s="39" t="str">
        <f>IF(AND('Mapa final'!$AG$41="Alta",'Mapa final'!$AI$41="Mayor"),CONCATENATE("R5C",'Mapa final'!$W$41),"")</f>
        <v/>
      </c>
      <c r="AG20" s="40" t="str">
        <f>IF(AND('Mapa final'!$AG$42="Alta",'Mapa final'!$AI$42="Mayor"),CONCATENATE("R5C",'Mapa final'!$W$42),"")</f>
        <v/>
      </c>
      <c r="AH20" s="41" t="str">
        <f ca="1">IF(AND('Mapa final'!$AG$37="Alta",'Mapa final'!$AI$37="Catastrófico"),CONCATENATE("R5C",'Mapa final'!$W$37),"")</f>
        <v/>
      </c>
      <c r="AI20" s="42" t="str">
        <f ca="1">IF(AND('Mapa final'!$AG$38="Alta",'Mapa final'!$AI$38="Catastrófico"),CONCATENATE("R5C",'Mapa final'!$W$38),"")</f>
        <v/>
      </c>
      <c r="AJ20" s="42" t="str">
        <f ca="1">IF(AND('Mapa final'!$AG$39="Alta",'Mapa final'!$AI$39="Catastrófico"),CONCATENATE("R5C",'Mapa final'!$W$39),"")</f>
        <v/>
      </c>
      <c r="AK20" s="42" t="str">
        <f>IF(AND('Mapa final'!$AG$40="Alta",'Mapa final'!$AI$40="Catastrófico"),CONCATENATE("R5C",'Mapa final'!$W$40),"")</f>
        <v/>
      </c>
      <c r="AL20" s="42" t="str">
        <f>IF(AND('Mapa final'!$AG$41="Alta",'Mapa final'!$AI$41="Catastrófico"),CONCATENATE("R5C",'Mapa final'!$W$41),"")</f>
        <v/>
      </c>
      <c r="AM20" s="43" t="str">
        <f>IF(AND('Mapa final'!$AG$42="Alta",'Mapa final'!$AI$42="Catastrófico"),CONCATENATE("R5C",'Mapa final'!$W$42),"")</f>
        <v/>
      </c>
      <c r="AN20" s="69"/>
      <c r="AO20" s="467"/>
      <c r="AP20" s="468"/>
      <c r="AQ20" s="468"/>
      <c r="AR20" s="468"/>
      <c r="AS20" s="468"/>
      <c r="AT20" s="469"/>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row>
    <row r="21" spans="1:76" ht="15" customHeight="1" x14ac:dyDescent="0.25">
      <c r="A21" s="69"/>
      <c r="B21" s="431"/>
      <c r="C21" s="431"/>
      <c r="D21" s="432"/>
      <c r="E21" s="436"/>
      <c r="F21" s="437"/>
      <c r="G21" s="437"/>
      <c r="H21" s="437"/>
      <c r="I21" s="437"/>
      <c r="J21" s="53" t="str">
        <f ca="1">IF(AND('Mapa final'!$AG$43="Alta",'Mapa final'!$AI$43="Leve"),CONCATENATE("R6C",'Mapa final'!$W$43),"")</f>
        <v/>
      </c>
      <c r="K21" s="54" t="str">
        <f ca="1">IF(AND('Mapa final'!$AG$44="Alta",'Mapa final'!$AI$44="Leve"),CONCATENATE("R6C",'Mapa final'!$W$44),"")</f>
        <v/>
      </c>
      <c r="L21" s="54" t="str">
        <f>IF(AND('Mapa final'!$AG$45="Alta",'Mapa final'!$AI$45="Leve"),CONCATENATE("R6C",'Mapa final'!$W$45),"")</f>
        <v/>
      </c>
      <c r="M21" s="54" t="str">
        <f>IF(AND('Mapa final'!$AG$46="Alta",'Mapa final'!$AI$46="Leve"),CONCATENATE("R6C",'Mapa final'!$W$46),"")</f>
        <v/>
      </c>
      <c r="N21" s="54" t="str">
        <f>IF(AND('Mapa final'!$AG$47="Alta",'Mapa final'!$AI$47="Leve"),CONCATENATE("R6C",'Mapa final'!$W$47),"")</f>
        <v/>
      </c>
      <c r="O21" s="55" t="str">
        <f>IF(AND('Mapa final'!$AG$48="Alta",'Mapa final'!$AI$48="Leve"),CONCATENATE("R6C",'Mapa final'!$W$48),"")</f>
        <v/>
      </c>
      <c r="P21" s="53" t="str">
        <f ca="1">IF(AND('Mapa final'!$AG$43="Alta",'Mapa final'!$AI$43="Menor"),CONCATENATE("R6C",'Mapa final'!$W$43),"")</f>
        <v/>
      </c>
      <c r="Q21" s="54" t="str">
        <f ca="1">IF(AND('Mapa final'!$AG$44="Alta",'Mapa final'!$AI$44="Menor"),CONCATENATE("R6C",'Mapa final'!$W$44),"")</f>
        <v/>
      </c>
      <c r="R21" s="54" t="str">
        <f>IF(AND('Mapa final'!$AG$45="Alta",'Mapa final'!$AI$45="Menor"),CONCATENATE("R6C",'Mapa final'!$W$45),"")</f>
        <v/>
      </c>
      <c r="S21" s="54" t="str">
        <f>IF(AND('Mapa final'!$AG$46="Alta",'Mapa final'!$AI$46="Menor"),CONCATENATE("R6C",'Mapa final'!$W$46),"")</f>
        <v/>
      </c>
      <c r="T21" s="54" t="str">
        <f>IF(AND('Mapa final'!$AG$47="Alta",'Mapa final'!$AI$47="Menor"),CONCATENATE("R6C",'Mapa final'!$W$47),"")</f>
        <v/>
      </c>
      <c r="U21" s="55" t="str">
        <f>IF(AND('Mapa final'!$AG$48="Alta",'Mapa final'!$AI$48="Menor"),CONCATENATE("R6C",'Mapa final'!$W$48),"")</f>
        <v/>
      </c>
      <c r="V21" s="38" t="str">
        <f ca="1">IF(AND('Mapa final'!$AG$43="Alta",'Mapa final'!$AI$43="Moderado"),CONCATENATE("R6C",'Mapa final'!$W$43),"")</f>
        <v/>
      </c>
      <c r="W21" s="39" t="str">
        <f ca="1">IF(AND('Mapa final'!$AG$44="Alta",'Mapa final'!$AI$44="Moderado"),CONCATENATE("R6C",'Mapa final'!$W$44),"")</f>
        <v/>
      </c>
      <c r="X21" s="39" t="str">
        <f>IF(AND('Mapa final'!$AG$45="Alta",'Mapa final'!$AI$45="Moderado"),CONCATENATE("R6C",'Mapa final'!$W$45),"")</f>
        <v/>
      </c>
      <c r="Y21" s="39" t="str">
        <f>IF(AND('Mapa final'!$AG$46="Alta",'Mapa final'!$AI$46="Moderado"),CONCATENATE("R6C",'Mapa final'!$W$46),"")</f>
        <v/>
      </c>
      <c r="Z21" s="39" t="str">
        <f>IF(AND('Mapa final'!$AG$47="Alta",'Mapa final'!$AI$47="Moderado"),CONCATENATE("R6C",'Mapa final'!$W$47),"")</f>
        <v/>
      </c>
      <c r="AA21" s="40" t="str">
        <f>IF(AND('Mapa final'!$AG$48="Alta",'Mapa final'!$AI$48="Moderado"),CONCATENATE("R6C",'Mapa final'!$W$48),"")</f>
        <v/>
      </c>
      <c r="AB21" s="38" t="str">
        <f ca="1">IF(AND('Mapa final'!$AG$43="Alta",'Mapa final'!$AI$43="Mayor"),CONCATENATE("R6C",'Mapa final'!$W$43),"")</f>
        <v/>
      </c>
      <c r="AC21" s="39" t="str">
        <f ca="1">IF(AND('Mapa final'!$AG$44="Alta",'Mapa final'!$AI$44="Mayor"),CONCATENATE("R6C",'Mapa final'!$W$44),"")</f>
        <v/>
      </c>
      <c r="AD21" s="39" t="str">
        <f>IF(AND('Mapa final'!$AG$45="Alta",'Mapa final'!$AI$45="Mayor"),CONCATENATE("R6C",'Mapa final'!$W$45),"")</f>
        <v/>
      </c>
      <c r="AE21" s="39" t="str">
        <f>IF(AND('Mapa final'!$AG$46="Alta",'Mapa final'!$AI$46="Mayor"),CONCATENATE("R6C",'Mapa final'!$W$46),"")</f>
        <v/>
      </c>
      <c r="AF21" s="39" t="str">
        <f>IF(AND('Mapa final'!$AG$47="Alta",'Mapa final'!$AI$47="Mayor"),CONCATENATE("R6C",'Mapa final'!$W$47),"")</f>
        <v/>
      </c>
      <c r="AG21" s="40" t="str">
        <f>IF(AND('Mapa final'!$AG$48="Alta",'Mapa final'!$AI$48="Mayor"),CONCATENATE("R6C",'Mapa final'!$W$48),"")</f>
        <v/>
      </c>
      <c r="AH21" s="41" t="str">
        <f ca="1">IF(AND('Mapa final'!$AG$43="Alta",'Mapa final'!$AI$43="Catastrófico"),CONCATENATE("R6C",'Mapa final'!$W$43),"")</f>
        <v/>
      </c>
      <c r="AI21" s="42" t="str">
        <f ca="1">IF(AND('Mapa final'!$AG$44="Alta",'Mapa final'!$AI$44="Catastrófico"),CONCATENATE("R6C",'Mapa final'!$W$44),"")</f>
        <v/>
      </c>
      <c r="AJ21" s="42" t="str">
        <f>IF(AND('Mapa final'!$AG$45="Alta",'Mapa final'!$AI$45="Catastrófico"),CONCATENATE("R6C",'Mapa final'!$W$45),"")</f>
        <v/>
      </c>
      <c r="AK21" s="42" t="str">
        <f>IF(AND('Mapa final'!$AG$46="Alta",'Mapa final'!$AI$46="Catastrófico"),CONCATENATE("R6C",'Mapa final'!$W$46),"")</f>
        <v/>
      </c>
      <c r="AL21" s="42" t="str">
        <f>IF(AND('Mapa final'!$AG$47="Alta",'Mapa final'!$AI$47="Catastrófico"),CONCATENATE("R6C",'Mapa final'!$W$47),"")</f>
        <v/>
      </c>
      <c r="AM21" s="43" t="str">
        <f>IF(AND('Mapa final'!$AG$48="Alta",'Mapa final'!$AI$48="Catastrófico"),CONCATENATE("R6C",'Mapa final'!$W$48),"")</f>
        <v/>
      </c>
      <c r="AN21" s="69"/>
      <c r="AO21" s="467"/>
      <c r="AP21" s="468"/>
      <c r="AQ21" s="468"/>
      <c r="AR21" s="468"/>
      <c r="AS21" s="468"/>
      <c r="AT21" s="469"/>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row>
    <row r="22" spans="1:76" ht="15" customHeight="1" x14ac:dyDescent="0.25">
      <c r="A22" s="69"/>
      <c r="B22" s="431"/>
      <c r="C22" s="431"/>
      <c r="D22" s="432"/>
      <c r="E22" s="436"/>
      <c r="F22" s="437"/>
      <c r="G22" s="437"/>
      <c r="H22" s="437"/>
      <c r="I22" s="437"/>
      <c r="J22" s="53" t="str">
        <f ca="1">IF(AND('Mapa final'!$AG$49="Alta",'Mapa final'!$AI$49="Leve"),CONCATENATE("R7C",'Mapa final'!$W$49),"")</f>
        <v/>
      </c>
      <c r="K22" s="54" t="str">
        <f ca="1">IF(AND('Mapa final'!$AG$50="Alta",'Mapa final'!$AI$50="Leve"),CONCATENATE("R7C",'Mapa final'!$W$50),"")</f>
        <v/>
      </c>
      <c r="L22" s="54" t="str">
        <f>IF(AND('Mapa final'!$AG$51="Alta",'Mapa final'!$AI$51="Leve"),CONCATENATE("R7C",'Mapa final'!$W$51),"")</f>
        <v/>
      </c>
      <c r="M22" s="54" t="str">
        <f>IF(AND('Mapa final'!$AG$52="Alta",'Mapa final'!$AI$52="Leve"),CONCATENATE("R7C",'Mapa final'!$W$52),"")</f>
        <v/>
      </c>
      <c r="N22" s="54" t="str">
        <f>IF(AND('Mapa final'!$AG$53="Alta",'Mapa final'!$AI$53="Leve"),CONCATENATE("R7C",'Mapa final'!$W$53),"")</f>
        <v/>
      </c>
      <c r="O22" s="55" t="str">
        <f>IF(AND('Mapa final'!$AG$54="Alta",'Mapa final'!$AI$54="Leve"),CONCATENATE("R7C",'Mapa final'!$W$54),"")</f>
        <v/>
      </c>
      <c r="P22" s="53" t="str">
        <f ca="1">IF(AND('Mapa final'!$AG$49="Alta",'Mapa final'!$AI$49="Menor"),CONCATENATE("R7C",'Mapa final'!$W$49),"")</f>
        <v/>
      </c>
      <c r="Q22" s="54" t="str">
        <f ca="1">IF(AND('Mapa final'!$AG$50="Alta",'Mapa final'!$AI$50="Menor"),CONCATENATE("R7C",'Mapa final'!$W$50),"")</f>
        <v/>
      </c>
      <c r="R22" s="54" t="str">
        <f>IF(AND('Mapa final'!$AG$51="Alta",'Mapa final'!$AI$51="Menor"),CONCATENATE("R7C",'Mapa final'!$W$51),"")</f>
        <v/>
      </c>
      <c r="S22" s="54" t="str">
        <f>IF(AND('Mapa final'!$AG$52="Alta",'Mapa final'!$AI$52="Menor"),CONCATENATE("R7C",'Mapa final'!$W$52),"")</f>
        <v/>
      </c>
      <c r="T22" s="54" t="str">
        <f>IF(AND('Mapa final'!$AG$53="Alta",'Mapa final'!$AI$53="Menor"),CONCATENATE("R7C",'Mapa final'!$W$53),"")</f>
        <v/>
      </c>
      <c r="U22" s="55" t="str">
        <f>IF(AND('Mapa final'!$AG$54="Alta",'Mapa final'!$AI$54="Menor"),CONCATENATE("R7C",'Mapa final'!$W$54),"")</f>
        <v/>
      </c>
      <c r="V22" s="38" t="str">
        <f ca="1">IF(AND('Mapa final'!$AG$49="Alta",'Mapa final'!$AI$49="Moderado"),CONCATENATE("R7C",'Mapa final'!$W$49),"")</f>
        <v/>
      </c>
      <c r="W22" s="39" t="str">
        <f ca="1">IF(AND('Mapa final'!$AG$50="Alta",'Mapa final'!$AI$50="Moderado"),CONCATENATE("R7C",'Mapa final'!$W$50),"")</f>
        <v/>
      </c>
      <c r="X22" s="39" t="str">
        <f>IF(AND('Mapa final'!$AG$51="Alta",'Mapa final'!$AI$51="Moderado"),CONCATENATE("R7C",'Mapa final'!$W$51),"")</f>
        <v/>
      </c>
      <c r="Y22" s="39" t="str">
        <f>IF(AND('Mapa final'!$AG$52="Alta",'Mapa final'!$AI$52="Moderado"),CONCATENATE("R7C",'Mapa final'!$W$52),"")</f>
        <v/>
      </c>
      <c r="Z22" s="39" t="str">
        <f>IF(AND('Mapa final'!$AG$53="Alta",'Mapa final'!$AI$53="Moderado"),CONCATENATE("R7C",'Mapa final'!$W$53),"")</f>
        <v/>
      </c>
      <c r="AA22" s="40" t="str">
        <f>IF(AND('Mapa final'!$AG$54="Alta",'Mapa final'!$AI$54="Moderado"),CONCATENATE("R7C",'Mapa final'!$W$54),"")</f>
        <v/>
      </c>
      <c r="AB22" s="38" t="str">
        <f ca="1">IF(AND('Mapa final'!$AG$49="Alta",'Mapa final'!$AI$49="Mayor"),CONCATENATE("R7C",'Mapa final'!$W$49),"")</f>
        <v/>
      </c>
      <c r="AC22" s="39" t="str">
        <f ca="1">IF(AND('Mapa final'!$AG$50="Alta",'Mapa final'!$AI$50="Mayor"),CONCATENATE("R7C",'Mapa final'!$W$50),"")</f>
        <v/>
      </c>
      <c r="AD22" s="39" t="str">
        <f>IF(AND('Mapa final'!$AG$51="Alta",'Mapa final'!$AI$51="Mayor"),CONCATENATE("R7C",'Mapa final'!$W$51),"")</f>
        <v/>
      </c>
      <c r="AE22" s="39" t="str">
        <f>IF(AND('Mapa final'!$AG$52="Alta",'Mapa final'!$AI$52="Mayor"),CONCATENATE("R7C",'Mapa final'!$W$52),"")</f>
        <v/>
      </c>
      <c r="AF22" s="39" t="str">
        <f>IF(AND('Mapa final'!$AG$53="Alta",'Mapa final'!$AI$53="Mayor"),CONCATENATE("R7C",'Mapa final'!$W$53),"")</f>
        <v/>
      </c>
      <c r="AG22" s="40" t="str">
        <f>IF(AND('Mapa final'!$AG$54="Alta",'Mapa final'!$AI$54="Mayor"),CONCATENATE("R7C",'Mapa final'!$W$54),"")</f>
        <v/>
      </c>
      <c r="AH22" s="41" t="str">
        <f ca="1">IF(AND('Mapa final'!$AG$49="Alta",'Mapa final'!$AI$49="Catastrófico"),CONCATENATE("R7C",'Mapa final'!$W$49),"")</f>
        <v/>
      </c>
      <c r="AI22" s="42" t="str">
        <f ca="1">IF(AND('Mapa final'!$AG$50="Alta",'Mapa final'!$AI$50="Catastrófico"),CONCATENATE("R7C",'Mapa final'!$W$50),"")</f>
        <v/>
      </c>
      <c r="AJ22" s="42" t="str">
        <f>IF(AND('Mapa final'!$AG$51="Alta",'Mapa final'!$AI$51="Catastrófico"),CONCATENATE("R7C",'Mapa final'!$W$51),"")</f>
        <v/>
      </c>
      <c r="AK22" s="42" t="str">
        <f>IF(AND('Mapa final'!$AG$52="Alta",'Mapa final'!$AI$52="Catastrófico"),CONCATENATE("R7C",'Mapa final'!$W$52),"")</f>
        <v/>
      </c>
      <c r="AL22" s="42" t="str">
        <f>IF(AND('Mapa final'!$AG$53="Alta",'Mapa final'!$AI$53="Catastrófico"),CONCATENATE("R7C",'Mapa final'!$W$53),"")</f>
        <v/>
      </c>
      <c r="AM22" s="43" t="str">
        <f>IF(AND('Mapa final'!$AG$54="Alta",'Mapa final'!$AI$54="Catastrófico"),CONCATENATE("R7C",'Mapa final'!$W$54),"")</f>
        <v/>
      </c>
      <c r="AN22" s="69"/>
      <c r="AO22" s="467"/>
      <c r="AP22" s="468"/>
      <c r="AQ22" s="468"/>
      <c r="AR22" s="468"/>
      <c r="AS22" s="468"/>
      <c r="AT22" s="469"/>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row>
    <row r="23" spans="1:76" ht="15" customHeight="1" x14ac:dyDescent="0.25">
      <c r="A23" s="69"/>
      <c r="B23" s="431"/>
      <c r="C23" s="431"/>
      <c r="D23" s="432"/>
      <c r="E23" s="436"/>
      <c r="F23" s="437"/>
      <c r="G23" s="437"/>
      <c r="H23" s="437"/>
      <c r="I23" s="437"/>
      <c r="J23" s="53" t="str">
        <f ca="1">IF(AND('Mapa final'!$AG$55="Alta",'Mapa final'!$AI$55="Leve"),CONCATENATE("R8C",'Mapa final'!$W$55),"")</f>
        <v/>
      </c>
      <c r="K23" s="54" t="str">
        <f ca="1">IF(AND('Mapa final'!$AG$56="Alta",'Mapa final'!$AI$56="Leve"),CONCATENATE("R8C",'Mapa final'!$W$56),"")</f>
        <v/>
      </c>
      <c r="L23" s="54" t="str">
        <f ca="1">IF(AND('Mapa final'!$AG$57="Alta",'Mapa final'!$AI$57="Leve"),CONCATENATE("R8C",'Mapa final'!$W$57),"")</f>
        <v/>
      </c>
      <c r="M23" s="54" t="str">
        <f ca="1">IF(AND('Mapa final'!$AG$58="Alta",'Mapa final'!$AI$58="Leve"),CONCATENATE("R8C",'Mapa final'!$W$58),"")</f>
        <v/>
      </c>
      <c r="N23" s="54" t="str">
        <f>IF(AND('Mapa final'!$AG$59="Alta",'Mapa final'!$AI$59="Leve"),CONCATENATE("R8C",'Mapa final'!$W$59),"")</f>
        <v/>
      </c>
      <c r="O23" s="55" t="str">
        <f>IF(AND('Mapa final'!$AG$60="Alta",'Mapa final'!$AI$60="Leve"),CONCATENATE("R8C",'Mapa final'!$W$60),"")</f>
        <v/>
      </c>
      <c r="P23" s="53" t="str">
        <f ca="1">IF(AND('Mapa final'!$AG$55="Alta",'Mapa final'!$AI$55="Menor"),CONCATENATE("R8C",'Mapa final'!$W$55),"")</f>
        <v/>
      </c>
      <c r="Q23" s="54" t="str">
        <f ca="1">IF(AND('Mapa final'!$AG$56="Alta",'Mapa final'!$AI$56="Menor"),CONCATENATE("R8C",'Mapa final'!$W$56),"")</f>
        <v/>
      </c>
      <c r="R23" s="54" t="str">
        <f ca="1">IF(AND('Mapa final'!$AG$57="Alta",'Mapa final'!$AI$57="Menor"),CONCATENATE("R8C",'Mapa final'!$W$57),"")</f>
        <v/>
      </c>
      <c r="S23" s="54" t="str">
        <f ca="1">IF(AND('Mapa final'!$AG$58="Alta",'Mapa final'!$AI$58="Menor"),CONCATENATE("R8C",'Mapa final'!$W$58),"")</f>
        <v/>
      </c>
      <c r="T23" s="54" t="str">
        <f>IF(AND('Mapa final'!$AG$59="Alta",'Mapa final'!$AI$59="Menor"),CONCATENATE("R8C",'Mapa final'!$W$59),"")</f>
        <v/>
      </c>
      <c r="U23" s="55" t="str">
        <f>IF(AND('Mapa final'!$AG$60="Alta",'Mapa final'!$AI$60="Menor"),CONCATENATE("R8C",'Mapa final'!$W$60),"")</f>
        <v/>
      </c>
      <c r="V23" s="38" t="str">
        <f ca="1">IF(AND('Mapa final'!$AG$55="Alta",'Mapa final'!$AI$55="Moderado"),CONCATENATE("R8C",'Mapa final'!$W$55),"")</f>
        <v/>
      </c>
      <c r="W23" s="39" t="str">
        <f ca="1">IF(AND('Mapa final'!$AG$56="Alta",'Mapa final'!$AI$56="Moderado"),CONCATENATE("R8C",'Mapa final'!$W$56),"")</f>
        <v/>
      </c>
      <c r="X23" s="39" t="str">
        <f ca="1">IF(AND('Mapa final'!$AG$57="Alta",'Mapa final'!$AI$57="Moderado"),CONCATENATE("R8C",'Mapa final'!$W$57),"")</f>
        <v/>
      </c>
      <c r="Y23" s="39" t="str">
        <f ca="1">IF(AND('Mapa final'!$AG$58="Alta",'Mapa final'!$AI$58="Moderado"),CONCATENATE("R8C",'Mapa final'!$W$58),"")</f>
        <v/>
      </c>
      <c r="Z23" s="39" t="str">
        <f>IF(AND('Mapa final'!$AG$59="Alta",'Mapa final'!$AI$59="Moderado"),CONCATENATE("R8C",'Mapa final'!$W$59),"")</f>
        <v/>
      </c>
      <c r="AA23" s="40" t="str">
        <f>IF(AND('Mapa final'!$AG$60="Alta",'Mapa final'!$AI$60="Moderado"),CONCATENATE("R8C",'Mapa final'!$W$60),"")</f>
        <v/>
      </c>
      <c r="AB23" s="38" t="str">
        <f ca="1">IF(AND('Mapa final'!$AG$55="Alta",'Mapa final'!$AI$55="Mayor"),CONCATENATE("R8C",'Mapa final'!$W$55),"")</f>
        <v/>
      </c>
      <c r="AC23" s="39" t="str">
        <f ca="1">IF(AND('Mapa final'!$AG$56="Alta",'Mapa final'!$AI$56="Mayor"),CONCATENATE("R8C",'Mapa final'!$W$56),"")</f>
        <v/>
      </c>
      <c r="AD23" s="39" t="str">
        <f ca="1">IF(AND('Mapa final'!$AG$57="Alta",'Mapa final'!$AI$57="Mayor"),CONCATENATE("R8C",'Mapa final'!$W$57),"")</f>
        <v/>
      </c>
      <c r="AE23" s="39" t="str">
        <f ca="1">IF(AND('Mapa final'!$AG$58="Alta",'Mapa final'!$AI$58="Mayor"),CONCATENATE("R8C",'Mapa final'!$W$58),"")</f>
        <v/>
      </c>
      <c r="AF23" s="39" t="str">
        <f>IF(AND('Mapa final'!$AG$59="Alta",'Mapa final'!$AI$59="Mayor"),CONCATENATE("R8C",'Mapa final'!$W$59),"")</f>
        <v/>
      </c>
      <c r="AG23" s="40" t="str">
        <f>IF(AND('Mapa final'!$AG$60="Alta",'Mapa final'!$AI$60="Mayor"),CONCATENATE("R8C",'Mapa final'!$W$60),"")</f>
        <v/>
      </c>
      <c r="AH23" s="41" t="str">
        <f ca="1">IF(AND('Mapa final'!$AG$55="Alta",'Mapa final'!$AI$55="Catastrófico"),CONCATENATE("R8C",'Mapa final'!$W$55),"")</f>
        <v/>
      </c>
      <c r="AI23" s="42" t="str">
        <f ca="1">IF(AND('Mapa final'!$AG$56="Alta",'Mapa final'!$AI$56="Catastrófico"),CONCATENATE("R8C",'Mapa final'!$W$56),"")</f>
        <v/>
      </c>
      <c r="AJ23" s="42" t="str">
        <f ca="1">IF(AND('Mapa final'!$AG$57="Alta",'Mapa final'!$AI$57="Catastrófico"),CONCATENATE("R8C",'Mapa final'!$W$57),"")</f>
        <v/>
      </c>
      <c r="AK23" s="42" t="str">
        <f ca="1">IF(AND('Mapa final'!$AG$58="Alta",'Mapa final'!$AI$58="Catastrófico"),CONCATENATE("R8C",'Mapa final'!$W$58),"")</f>
        <v/>
      </c>
      <c r="AL23" s="42" t="str">
        <f>IF(AND('Mapa final'!$AG$59="Alta",'Mapa final'!$AI$59="Catastrófico"),CONCATENATE("R8C",'Mapa final'!$W$59),"")</f>
        <v/>
      </c>
      <c r="AM23" s="43" t="str">
        <f>IF(AND('Mapa final'!$AG$60="Alta",'Mapa final'!$AI$60="Catastrófico"),CONCATENATE("R8C",'Mapa final'!$W$60),"")</f>
        <v/>
      </c>
      <c r="AN23" s="69"/>
      <c r="AO23" s="467"/>
      <c r="AP23" s="468"/>
      <c r="AQ23" s="468"/>
      <c r="AR23" s="468"/>
      <c r="AS23" s="468"/>
      <c r="AT23" s="469"/>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row>
    <row r="24" spans="1:76" ht="15" customHeight="1" x14ac:dyDescent="0.25">
      <c r="A24" s="69"/>
      <c r="B24" s="431"/>
      <c r="C24" s="431"/>
      <c r="D24" s="432"/>
      <c r="E24" s="436"/>
      <c r="F24" s="437"/>
      <c r="G24" s="437"/>
      <c r="H24" s="437"/>
      <c r="I24" s="437"/>
      <c r="J24" s="53" t="str">
        <f ca="1">IF(AND('Mapa final'!$AG$61="Alta",'Mapa final'!$AI$61="Leve"),CONCATENATE("R9C",'Mapa final'!$W$61),"")</f>
        <v/>
      </c>
      <c r="K24" s="54" t="str">
        <f ca="1">IF(AND('Mapa final'!$AG$62="Alta",'Mapa final'!$AI$62="Leve"),CONCATENATE("R9C",'Mapa final'!$W$62),"")</f>
        <v/>
      </c>
      <c r="L24" s="54" t="str">
        <f ca="1">IF(AND('Mapa final'!$AG$63="Alta",'Mapa final'!$AI$63="Leve"),CONCATENATE("R9C",'Mapa final'!$W$63),"")</f>
        <v/>
      </c>
      <c r="M24" s="54" t="str">
        <f ca="1">IF(AND('Mapa final'!$AG$64="Alta",'Mapa final'!$AI$64="Leve"),CONCATENATE("R9C",'Mapa final'!$W$64),"")</f>
        <v/>
      </c>
      <c r="N24" s="54" t="str">
        <f ca="1">IF(AND('Mapa final'!$AG$65="Alta",'Mapa final'!$AI$65="Leve"),CONCATENATE("R9C",'Mapa final'!$W$65),"")</f>
        <v/>
      </c>
      <c r="O24" s="55" t="str">
        <f ca="1">IF(AND('Mapa final'!$AG$66="Alta",'Mapa final'!$AI$66="Leve"),CONCATENATE("R9C",'Mapa final'!$W$66),"")</f>
        <v/>
      </c>
      <c r="P24" s="53" t="str">
        <f ca="1">IF(AND('Mapa final'!$AG$61="Alta",'Mapa final'!$AI$61="Menor"),CONCATENATE("R9C",'Mapa final'!$W$61),"")</f>
        <v/>
      </c>
      <c r="Q24" s="54" t="str">
        <f ca="1">IF(AND('Mapa final'!$AG$62="Alta",'Mapa final'!$AI$62="Menor"),CONCATENATE("R9C",'Mapa final'!$W$62),"")</f>
        <v/>
      </c>
      <c r="R24" s="54" t="str">
        <f ca="1">IF(AND('Mapa final'!$AG$63="Alta",'Mapa final'!$AI$63="Menor"),CONCATENATE("R9C",'Mapa final'!$W$63),"")</f>
        <v/>
      </c>
      <c r="S24" s="54" t="str">
        <f ca="1">IF(AND('Mapa final'!$AG$64="Alta",'Mapa final'!$AI$64="Menor"),CONCATENATE("R9C",'Mapa final'!$W$64),"")</f>
        <v/>
      </c>
      <c r="T24" s="54" t="str">
        <f ca="1">IF(AND('Mapa final'!$AG$65="Alta",'Mapa final'!$AI$65="Menor"),CONCATENATE("R9C",'Mapa final'!$W$65),"")</f>
        <v/>
      </c>
      <c r="U24" s="55" t="str">
        <f ca="1">IF(AND('Mapa final'!$AG$66="Alta",'Mapa final'!$AI$66="Menor"),CONCATENATE("R9C",'Mapa final'!$W$66),"")</f>
        <v/>
      </c>
      <c r="V24" s="38" t="str">
        <f ca="1">IF(AND('Mapa final'!$AG$61="Alta",'Mapa final'!$AI$61="Moderado"),CONCATENATE("R9C",'Mapa final'!$W$61),"")</f>
        <v/>
      </c>
      <c r="W24" s="39" t="str">
        <f ca="1">IF(AND('Mapa final'!$AG$62="Alta",'Mapa final'!$AI$62="Moderado"),CONCATENATE("R9C",'Mapa final'!$W$62),"")</f>
        <v/>
      </c>
      <c r="X24" s="39" t="str">
        <f ca="1">IF(AND('Mapa final'!$AG$63="Alta",'Mapa final'!$AI$63="Moderado"),CONCATENATE("R9C",'Mapa final'!$W$63),"")</f>
        <v/>
      </c>
      <c r="Y24" s="39" t="str">
        <f ca="1">IF(AND('Mapa final'!$AG$64="Alta",'Mapa final'!$AI$64="Moderado"),CONCATENATE("R9C",'Mapa final'!$W$64),"")</f>
        <v/>
      </c>
      <c r="Z24" s="39" t="str">
        <f ca="1">IF(AND('Mapa final'!$AG$65="Alta",'Mapa final'!$AI$65="Moderado"),CONCATENATE("R9C",'Mapa final'!$W$65),"")</f>
        <v/>
      </c>
      <c r="AA24" s="40" t="str">
        <f ca="1">IF(AND('Mapa final'!$AG$66="Alta",'Mapa final'!$AI$66="Moderado"),CONCATENATE("R9C",'Mapa final'!$W$66),"")</f>
        <v/>
      </c>
      <c r="AB24" s="38" t="str">
        <f ca="1">IF(AND('Mapa final'!$AG$61="Alta",'Mapa final'!$AI$61="Mayor"),CONCATENATE("R9C",'Mapa final'!$W$61),"")</f>
        <v/>
      </c>
      <c r="AC24" s="39" t="str">
        <f ca="1">IF(AND('Mapa final'!$AG$62="Alta",'Mapa final'!$AI$62="Mayor"),CONCATENATE("R9C",'Mapa final'!$W$62),"")</f>
        <v/>
      </c>
      <c r="AD24" s="39" t="str">
        <f ca="1">IF(AND('Mapa final'!$AG$63="Alta",'Mapa final'!$AI$63="Mayor"),CONCATENATE("R9C",'Mapa final'!$W$63),"")</f>
        <v/>
      </c>
      <c r="AE24" s="39" t="str">
        <f ca="1">IF(AND('Mapa final'!$AG$64="Alta",'Mapa final'!$AI$64="Mayor"),CONCATENATE("R9C",'Mapa final'!$W$64),"")</f>
        <v/>
      </c>
      <c r="AF24" s="39" t="str">
        <f ca="1">IF(AND('Mapa final'!$AG$65="Alta",'Mapa final'!$AI$65="Mayor"),CONCATENATE("R9C",'Mapa final'!$W$65),"")</f>
        <v/>
      </c>
      <c r="AG24" s="40" t="str">
        <f ca="1">IF(AND('Mapa final'!$AG$66="Alta",'Mapa final'!$AI$66="Mayor"),CONCATENATE("R9C",'Mapa final'!$W$66),"")</f>
        <v/>
      </c>
      <c r="AH24" s="41" t="str">
        <f ca="1">IF(AND('Mapa final'!$AG$61="Alta",'Mapa final'!$AI$61="Catastrófico"),CONCATENATE("R9C",'Mapa final'!$W$61),"")</f>
        <v/>
      </c>
      <c r="AI24" s="42" t="str">
        <f ca="1">IF(AND('Mapa final'!$AG$62="Alta",'Mapa final'!$AI$62="Catastrófico"),CONCATENATE("R9C",'Mapa final'!$W$62),"")</f>
        <v/>
      </c>
      <c r="AJ24" s="42" t="str">
        <f ca="1">IF(AND('Mapa final'!$AG$63="Alta",'Mapa final'!$AI$63="Catastrófico"),CONCATENATE("R9C",'Mapa final'!$W$63),"")</f>
        <v/>
      </c>
      <c r="AK24" s="42" t="str">
        <f ca="1">IF(AND('Mapa final'!$AG$64="Alta",'Mapa final'!$AI$64="Catastrófico"),CONCATENATE("R9C",'Mapa final'!$W$64),"")</f>
        <v/>
      </c>
      <c r="AL24" s="42" t="str">
        <f ca="1">IF(AND('Mapa final'!$AG$65="Alta",'Mapa final'!$AI$65="Catastrófico"),CONCATENATE("R9C",'Mapa final'!$W$65),"")</f>
        <v/>
      </c>
      <c r="AM24" s="43" t="str">
        <f ca="1">IF(AND('Mapa final'!$AG$66="Alta",'Mapa final'!$AI$66="Catastrófico"),CONCATENATE("R9C",'Mapa final'!$W$66),"")</f>
        <v/>
      </c>
      <c r="AN24" s="69"/>
      <c r="AO24" s="467"/>
      <c r="AP24" s="468"/>
      <c r="AQ24" s="468"/>
      <c r="AR24" s="468"/>
      <c r="AS24" s="468"/>
      <c r="AT24" s="469"/>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row>
    <row r="25" spans="1:76" ht="15.75" customHeight="1" thickBot="1" x14ac:dyDescent="0.3">
      <c r="A25" s="69"/>
      <c r="B25" s="431"/>
      <c r="C25" s="431"/>
      <c r="D25" s="432"/>
      <c r="E25" s="439"/>
      <c r="F25" s="440"/>
      <c r="G25" s="440"/>
      <c r="H25" s="440"/>
      <c r="I25" s="440"/>
      <c r="J25" s="56" t="str">
        <f ca="1">IF(AND('Mapa final'!$AG$67="Alta",'Mapa final'!$AI$67="Leve"),CONCATENATE("R10C",'Mapa final'!$W$67),"")</f>
        <v/>
      </c>
      <c r="K25" s="57" t="str">
        <f ca="1">IF(AND('Mapa final'!$AG$68="Alta",'Mapa final'!$AI$68="Leve"),CONCATENATE("R10C",'Mapa final'!$W$68),"")</f>
        <v/>
      </c>
      <c r="L25" s="57" t="str">
        <f>IF(AND('Mapa final'!$AG$69="Alta",'Mapa final'!$AI$69="Leve"),CONCATENATE("R10C",'Mapa final'!$W$69),"")</f>
        <v/>
      </c>
      <c r="M25" s="57" t="str">
        <f>IF(AND('Mapa final'!$AG$70="Alta",'Mapa final'!$AI$70="Leve"),CONCATENATE("R10C",'Mapa final'!$W$70),"")</f>
        <v/>
      </c>
      <c r="N25" s="57" t="str">
        <f>IF(AND('Mapa final'!$AG$71="Alta",'Mapa final'!$AI$71="Leve"),CONCATENATE("R10C",'Mapa final'!$W$71),"")</f>
        <v/>
      </c>
      <c r="O25" s="58" t="str">
        <f>IF(AND('Mapa final'!$AG$72="Alta",'Mapa final'!$AI$72="Leve"),CONCATENATE("R10C",'Mapa final'!$W$72),"")</f>
        <v/>
      </c>
      <c r="P25" s="56" t="str">
        <f ca="1">IF(AND('Mapa final'!$AG$67="Alta",'Mapa final'!$AI$67="Menor"),CONCATENATE("R10C",'Mapa final'!$W$67),"")</f>
        <v/>
      </c>
      <c r="Q25" s="57" t="str">
        <f ca="1">IF(AND('Mapa final'!$AG$68="Alta",'Mapa final'!$AI$68="Menor"),CONCATENATE("R10C",'Mapa final'!$W$68),"")</f>
        <v/>
      </c>
      <c r="R25" s="57" t="str">
        <f>IF(AND('Mapa final'!$AG$69="Alta",'Mapa final'!$AI$69="Menor"),CONCATENATE("R10C",'Mapa final'!$W$69),"")</f>
        <v/>
      </c>
      <c r="S25" s="57" t="str">
        <f>IF(AND('Mapa final'!$AG$70="Alta",'Mapa final'!$AI$70="Menor"),CONCATENATE("R10C",'Mapa final'!$W$70),"")</f>
        <v/>
      </c>
      <c r="T25" s="57" t="str">
        <f>IF(AND('Mapa final'!$AG$71="Alta",'Mapa final'!$AI$71="Menor"),CONCATENATE("R10C",'Mapa final'!$W$71),"")</f>
        <v/>
      </c>
      <c r="U25" s="58" t="str">
        <f>IF(AND('Mapa final'!$AG$72="Alta",'Mapa final'!$AI$72="Menor"),CONCATENATE("R10C",'Mapa final'!$W$72),"")</f>
        <v/>
      </c>
      <c r="V25" s="44" t="str">
        <f ca="1">IF(AND('Mapa final'!$AG$67="Alta",'Mapa final'!$AI$67="Moderado"),CONCATENATE("R10C",'Mapa final'!$W$67),"")</f>
        <v/>
      </c>
      <c r="W25" s="45" t="str">
        <f ca="1">IF(AND('Mapa final'!$AG$68="Alta",'Mapa final'!$AI$68="Moderado"),CONCATENATE("R10C",'Mapa final'!$W$68),"")</f>
        <v/>
      </c>
      <c r="X25" s="45" t="str">
        <f>IF(AND('Mapa final'!$AG$69="Alta",'Mapa final'!$AI$69="Moderado"),CONCATENATE("R10C",'Mapa final'!$W$69),"")</f>
        <v/>
      </c>
      <c r="Y25" s="45" t="str">
        <f>IF(AND('Mapa final'!$AG$70="Alta",'Mapa final'!$AI$70="Moderado"),CONCATENATE("R10C",'Mapa final'!$W$70),"")</f>
        <v/>
      </c>
      <c r="Z25" s="45" t="str">
        <f>IF(AND('Mapa final'!$AG$71="Alta",'Mapa final'!$AI$71="Moderado"),CONCATENATE("R10C",'Mapa final'!$W$71),"")</f>
        <v/>
      </c>
      <c r="AA25" s="46" t="str">
        <f>IF(AND('Mapa final'!$AG$72="Alta",'Mapa final'!$AI$72="Moderado"),CONCATENATE("R10C",'Mapa final'!$W$72),"")</f>
        <v/>
      </c>
      <c r="AB25" s="44" t="str">
        <f ca="1">IF(AND('Mapa final'!$AG$67="Alta",'Mapa final'!$AI$67="Mayor"),CONCATENATE("R10C",'Mapa final'!$W$67),"")</f>
        <v/>
      </c>
      <c r="AC25" s="45" t="str">
        <f ca="1">IF(AND('Mapa final'!$AG$68="Alta",'Mapa final'!$AI$68="Mayor"),CONCATENATE("R10C",'Mapa final'!$W$68),"")</f>
        <v/>
      </c>
      <c r="AD25" s="45" t="str">
        <f>IF(AND('Mapa final'!$AG$69="Alta",'Mapa final'!$AI$69="Mayor"),CONCATENATE("R10C",'Mapa final'!$W$69),"")</f>
        <v/>
      </c>
      <c r="AE25" s="45" t="str">
        <f>IF(AND('Mapa final'!$AG$70="Alta",'Mapa final'!$AI$70="Mayor"),CONCATENATE("R10C",'Mapa final'!$W$70),"")</f>
        <v/>
      </c>
      <c r="AF25" s="45" t="str">
        <f>IF(AND('Mapa final'!$AG$71="Alta",'Mapa final'!$AI$71="Mayor"),CONCATENATE("R10C",'Mapa final'!$W$71),"")</f>
        <v/>
      </c>
      <c r="AG25" s="46" t="str">
        <f>IF(AND('Mapa final'!$AG$72="Alta",'Mapa final'!$AI$72="Mayor"),CONCATENATE("R10C",'Mapa final'!$W$72),"")</f>
        <v/>
      </c>
      <c r="AH25" s="47" t="str">
        <f ca="1">IF(AND('Mapa final'!$AG$67="Alta",'Mapa final'!$AI$67="Catastrófico"),CONCATENATE("R10C",'Mapa final'!$W$67),"")</f>
        <v/>
      </c>
      <c r="AI25" s="48" t="str">
        <f ca="1">IF(AND('Mapa final'!$AG$68="Alta",'Mapa final'!$AI$68="Catastrófico"),CONCATENATE("R10C",'Mapa final'!$W$68),"")</f>
        <v/>
      </c>
      <c r="AJ25" s="48" t="str">
        <f>IF(AND('Mapa final'!$AG$69="Alta",'Mapa final'!$AI$69="Catastrófico"),CONCATENATE("R10C",'Mapa final'!$W$69),"")</f>
        <v/>
      </c>
      <c r="AK25" s="48" t="str">
        <f>IF(AND('Mapa final'!$AG$70="Alta",'Mapa final'!$AI$70="Catastrófico"),CONCATENATE("R10C",'Mapa final'!$W$70),"")</f>
        <v/>
      </c>
      <c r="AL25" s="48" t="str">
        <f>IF(AND('Mapa final'!$AG$71="Alta",'Mapa final'!$AI$71="Catastrófico"),CONCATENATE("R10C",'Mapa final'!$W$71),"")</f>
        <v/>
      </c>
      <c r="AM25" s="49" t="str">
        <f>IF(AND('Mapa final'!$AG$72="Alta",'Mapa final'!$AI$72="Catastrófico"),CONCATENATE("R10C",'Mapa final'!$W$72),"")</f>
        <v/>
      </c>
      <c r="AN25" s="69"/>
      <c r="AO25" s="470"/>
      <c r="AP25" s="471"/>
      <c r="AQ25" s="471"/>
      <c r="AR25" s="471"/>
      <c r="AS25" s="471"/>
      <c r="AT25" s="472"/>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row>
    <row r="26" spans="1:76" ht="15" customHeight="1" x14ac:dyDescent="0.25">
      <c r="A26" s="69"/>
      <c r="B26" s="431"/>
      <c r="C26" s="431"/>
      <c r="D26" s="432"/>
      <c r="E26" s="433" t="s">
        <v>136</v>
      </c>
      <c r="F26" s="434"/>
      <c r="G26" s="434"/>
      <c r="H26" s="434"/>
      <c r="I26" s="435"/>
      <c r="J26" s="50" t="str">
        <f ca="1">IF(AND('Mapa final'!$AG$13="Media",'Mapa final'!$AI$13="Leve"),CONCATENATE("R1C",'Mapa final'!$W$13),"")</f>
        <v/>
      </c>
      <c r="K26" s="51" t="str">
        <f ca="1">IF(AND('Mapa final'!$AG$14="Media",'Mapa final'!$AI$14="Leve"),CONCATENATE("R1C",'Mapa final'!$W$14),"")</f>
        <v/>
      </c>
      <c r="L26" s="51" t="str">
        <f>IF(AND('Mapa final'!$AG$15="Media",'Mapa final'!$AI$15="Leve"),CONCATENATE("R1C",'Mapa final'!$W$15),"")</f>
        <v/>
      </c>
      <c r="M26" s="51" t="str">
        <f>IF(AND('Mapa final'!$AG$16="Media",'Mapa final'!$AI$16="Leve"),CONCATENATE("R1C",'Mapa final'!$W$16),"")</f>
        <v/>
      </c>
      <c r="N26" s="51" t="str">
        <f>IF(AND('Mapa final'!$AG$17="Media",'Mapa final'!$AI$17="Leve"),CONCATENATE("R1C",'Mapa final'!$W$17),"")</f>
        <v/>
      </c>
      <c r="O26" s="52" t="str">
        <f>IF(AND('Mapa final'!$AG$18="Media",'Mapa final'!$AI$18="Leve"),CONCATENATE("R1C",'Mapa final'!$W$18),"")</f>
        <v/>
      </c>
      <c r="P26" s="50" t="str">
        <f ca="1">IF(AND('Mapa final'!$AG$13="Media",'Mapa final'!$AI$13="Menor"),CONCATENATE("R1C",'Mapa final'!$W$13),"")</f>
        <v>R1C1</v>
      </c>
      <c r="Q26" s="51" t="str">
        <f ca="1">IF(AND('Mapa final'!$AG$14="Media",'Mapa final'!$AI$14="Menor"),CONCATENATE("R1C",'Mapa final'!$W$14),"")</f>
        <v/>
      </c>
      <c r="R26" s="51" t="str">
        <f>IF(AND('Mapa final'!$AG$15="Media",'Mapa final'!$AI$15="Menor"),CONCATENATE("R1C",'Mapa final'!$W$15),"")</f>
        <v/>
      </c>
      <c r="S26" s="51" t="str">
        <f>IF(AND('Mapa final'!$AG$16="Media",'Mapa final'!$AI$16="Menor"),CONCATENATE("R1C",'Mapa final'!$W$16),"")</f>
        <v/>
      </c>
      <c r="T26" s="51" t="str">
        <f>IF(AND('Mapa final'!$AG$17="Media",'Mapa final'!$AI$17="Menor"),CONCATENATE("R1C",'Mapa final'!$W$17),"")</f>
        <v/>
      </c>
      <c r="U26" s="52" t="str">
        <f>IF(AND('Mapa final'!$AG$18="Media",'Mapa final'!$AI$18="Menor"),CONCATENATE("R1C",'Mapa final'!$W$18),"")</f>
        <v/>
      </c>
      <c r="V26" s="50" t="str">
        <f ca="1">IF(AND('Mapa final'!$AG$13="Media",'Mapa final'!$AI$13="Moderado"),CONCATENATE("R1C",'Mapa final'!$W$13),"")</f>
        <v/>
      </c>
      <c r="W26" s="51" t="str">
        <f ca="1">IF(AND('Mapa final'!$AG$14="Media",'Mapa final'!$AI$14="Moderado"),CONCATENATE("R1C",'Mapa final'!$W$14),"")</f>
        <v/>
      </c>
      <c r="X26" s="51" t="str">
        <f>IF(AND('Mapa final'!$AG$15="Media",'Mapa final'!$AI$15="Moderado"),CONCATENATE("R1C",'Mapa final'!$W$15),"")</f>
        <v/>
      </c>
      <c r="Y26" s="51" t="str">
        <f>IF(AND('Mapa final'!$AG$16="Media",'Mapa final'!$AI$16="Moderado"),CONCATENATE("R1C",'Mapa final'!$W$16),"")</f>
        <v/>
      </c>
      <c r="Z26" s="51" t="str">
        <f>IF(AND('Mapa final'!$AG$17="Media",'Mapa final'!$AI$17="Moderado"),CONCATENATE("R1C",'Mapa final'!$W$17),"")</f>
        <v/>
      </c>
      <c r="AA26" s="52" t="str">
        <f>IF(AND('Mapa final'!$AG$18="Media",'Mapa final'!$AI$18="Moderado"),CONCATENATE("R1C",'Mapa final'!$W$18),"")</f>
        <v/>
      </c>
      <c r="AB26" s="32" t="str">
        <f ca="1">IF(AND('Mapa final'!$AG$13="Media",'Mapa final'!$AI$13="Mayor"),CONCATENATE("R1C",'Mapa final'!$W$13),"")</f>
        <v/>
      </c>
      <c r="AC26" s="33" t="str">
        <f ca="1">IF(AND('Mapa final'!$AG$14="Media",'Mapa final'!$AI$14="Mayor"),CONCATENATE("R1C",'Mapa final'!$W$14),"")</f>
        <v/>
      </c>
      <c r="AD26" s="33" t="str">
        <f>IF(AND('Mapa final'!$AG$15="Media",'Mapa final'!$AI$15="Mayor"),CONCATENATE("R1C",'Mapa final'!$W$15),"")</f>
        <v/>
      </c>
      <c r="AE26" s="33" t="str">
        <f>IF(AND('Mapa final'!$AG$16="Media",'Mapa final'!$AI$16="Mayor"),CONCATENATE("R1C",'Mapa final'!$W$16),"")</f>
        <v/>
      </c>
      <c r="AF26" s="33" t="str">
        <f>IF(AND('Mapa final'!$AG$17="Media",'Mapa final'!$AI$17="Mayor"),CONCATENATE("R1C",'Mapa final'!$W$17),"")</f>
        <v/>
      </c>
      <c r="AG26" s="34" t="str">
        <f>IF(AND('Mapa final'!$AG$18="Media",'Mapa final'!$AI$18="Mayor"),CONCATENATE("R1C",'Mapa final'!$W$18),"")</f>
        <v/>
      </c>
      <c r="AH26" s="35" t="str">
        <f ca="1">IF(AND('Mapa final'!$AG$13="Media",'Mapa final'!$AI$13="Catastrófico"),CONCATENATE("R1C",'Mapa final'!$W$13),"")</f>
        <v/>
      </c>
      <c r="AI26" s="36" t="str">
        <f ca="1">IF(AND('Mapa final'!$AG$14="Media",'Mapa final'!$AI$14="Catastrófico"),CONCATENATE("R1C",'Mapa final'!$W$14),"")</f>
        <v/>
      </c>
      <c r="AJ26" s="36" t="str">
        <f>IF(AND('Mapa final'!$AG$15="Media",'Mapa final'!$AI$15="Catastrófico"),CONCATENATE("R1C",'Mapa final'!$W$15),"")</f>
        <v/>
      </c>
      <c r="AK26" s="36" t="str">
        <f>IF(AND('Mapa final'!$AG$16="Media",'Mapa final'!$AI$16="Catastrófico"),CONCATENATE("R1C",'Mapa final'!$W$16),"")</f>
        <v/>
      </c>
      <c r="AL26" s="36" t="str">
        <f>IF(AND('Mapa final'!$AG$17="Media",'Mapa final'!$AI$17="Catastrófico"),CONCATENATE("R1C",'Mapa final'!$W$17),"")</f>
        <v/>
      </c>
      <c r="AM26" s="37" t="str">
        <f>IF(AND('Mapa final'!$AG$18="Media",'Mapa final'!$AI$18="Catastrófico"),CONCATENATE("R1C",'Mapa final'!$W$18),"")</f>
        <v/>
      </c>
      <c r="AN26" s="69"/>
      <c r="AO26" s="473" t="s">
        <v>137</v>
      </c>
      <c r="AP26" s="474"/>
      <c r="AQ26" s="474"/>
      <c r="AR26" s="474"/>
      <c r="AS26" s="474"/>
      <c r="AT26" s="475"/>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row>
    <row r="27" spans="1:76" ht="15" customHeight="1" x14ac:dyDescent="0.25">
      <c r="A27" s="69"/>
      <c r="B27" s="431"/>
      <c r="C27" s="431"/>
      <c r="D27" s="432"/>
      <c r="E27" s="443"/>
      <c r="F27" s="437"/>
      <c r="G27" s="437"/>
      <c r="H27" s="437"/>
      <c r="I27" s="438"/>
      <c r="J27" s="53" t="str">
        <f ca="1">IF(AND('Mapa final'!$AG$19="Media",'Mapa final'!$AI$19="Leve"),CONCATENATE("R2C",'Mapa final'!$W$19),"")</f>
        <v/>
      </c>
      <c r="K27" s="54" t="str">
        <f ca="1">IF(AND('Mapa final'!$AG$20="Media",'Mapa final'!$AI$20="Leve"),CONCATENATE("R2C",'Mapa final'!$W$20),"")</f>
        <v/>
      </c>
      <c r="L27" s="54" t="str">
        <f>IF(AND('Mapa final'!$AG$21="Media",'Mapa final'!$AI$21="Leve"),CONCATENATE("R2C",'Mapa final'!$W$21),"")</f>
        <v/>
      </c>
      <c r="M27" s="54" t="str">
        <f>IF(AND('Mapa final'!$AG$22="Media",'Mapa final'!$AI$22="Leve"),CONCATENATE("R2C",'Mapa final'!$W$22),"")</f>
        <v/>
      </c>
      <c r="N27" s="54" t="str">
        <f>IF(AND('Mapa final'!$AG$23="Media",'Mapa final'!$AI$23="Leve"),CONCATENATE("R2C",'Mapa final'!$W$23),"")</f>
        <v/>
      </c>
      <c r="O27" s="55" t="str">
        <f>IF(AND('Mapa final'!$AG$24="Media",'Mapa final'!$AI$24="Leve"),CONCATENATE("R2C",'Mapa final'!$W$24),"")</f>
        <v/>
      </c>
      <c r="P27" s="53" t="str">
        <f ca="1">IF(AND('Mapa final'!$AG$19="Media",'Mapa final'!$AI$19="Menor"),CONCATENATE("R2C",'Mapa final'!$W$19),"")</f>
        <v/>
      </c>
      <c r="Q27" s="54" t="str">
        <f ca="1">IF(AND('Mapa final'!$AG$20="Media",'Mapa final'!$AI$20="Menor"),CONCATENATE("R2C",'Mapa final'!$W$20),"")</f>
        <v/>
      </c>
      <c r="R27" s="54" t="str">
        <f>IF(AND('Mapa final'!$AG$21="Media",'Mapa final'!$AI$21="Menor"),CONCATENATE("R2C",'Mapa final'!$W$21),"")</f>
        <v/>
      </c>
      <c r="S27" s="54" t="str">
        <f>IF(AND('Mapa final'!$AG$22="Media",'Mapa final'!$AI$22="Menor"),CONCATENATE("R2C",'Mapa final'!$W$22),"")</f>
        <v/>
      </c>
      <c r="T27" s="54" t="str">
        <f>IF(AND('Mapa final'!$AG$23="Media",'Mapa final'!$AI$23="Menor"),CONCATENATE("R2C",'Mapa final'!$W$23),"")</f>
        <v/>
      </c>
      <c r="U27" s="55" t="str">
        <f>IF(AND('Mapa final'!$AG$24="Media",'Mapa final'!$AI$24="Menor"),CONCATENATE("R2C",'Mapa final'!$W$24),"")</f>
        <v/>
      </c>
      <c r="V27" s="53" t="str">
        <f ca="1">IF(AND('Mapa final'!$AG$19="Media",'Mapa final'!$AI$19="Moderado"),CONCATENATE("R2C",'Mapa final'!$W$19),"")</f>
        <v/>
      </c>
      <c r="W27" s="54" t="str">
        <f ca="1">IF(AND('Mapa final'!$AG$20="Media",'Mapa final'!$AI$20="Moderado"),CONCATENATE("R2C",'Mapa final'!$W$20),"")</f>
        <v/>
      </c>
      <c r="X27" s="54" t="str">
        <f>IF(AND('Mapa final'!$AG$21="Media",'Mapa final'!$AI$21="Moderado"),CONCATENATE("R2C",'Mapa final'!$W$21),"")</f>
        <v/>
      </c>
      <c r="Y27" s="54" t="str">
        <f>IF(AND('Mapa final'!$AG$22="Media",'Mapa final'!$AI$22="Moderado"),CONCATENATE("R2C",'Mapa final'!$W$22),"")</f>
        <v/>
      </c>
      <c r="Z27" s="54" t="str">
        <f>IF(AND('Mapa final'!$AG$23="Media",'Mapa final'!$AI$23="Moderado"),CONCATENATE("R2C",'Mapa final'!$W$23),"")</f>
        <v/>
      </c>
      <c r="AA27" s="55" t="str">
        <f>IF(AND('Mapa final'!$AG$24="Media",'Mapa final'!$AI$24="Moderado"),CONCATENATE("R2C",'Mapa final'!$W$24),"")</f>
        <v/>
      </c>
      <c r="AB27" s="38" t="str">
        <f ca="1">IF(AND('Mapa final'!$AG$19="Media",'Mapa final'!$AI$19="Mayor"),CONCATENATE("R2C",'Mapa final'!$W$19),"")</f>
        <v/>
      </c>
      <c r="AC27" s="39" t="str">
        <f ca="1">IF(AND('Mapa final'!$AG$20="Media",'Mapa final'!$AI$20="Mayor"),CONCATENATE("R2C",'Mapa final'!$W$20),"")</f>
        <v/>
      </c>
      <c r="AD27" s="39" t="str">
        <f>IF(AND('Mapa final'!$AG$21="Media",'Mapa final'!$AI$21="Mayor"),CONCATENATE("R2C",'Mapa final'!$W$21),"")</f>
        <v/>
      </c>
      <c r="AE27" s="39" t="str">
        <f>IF(AND('Mapa final'!$AG$22="Media",'Mapa final'!$AI$22="Mayor"),CONCATENATE("R2C",'Mapa final'!$W$22),"")</f>
        <v/>
      </c>
      <c r="AF27" s="39" t="str">
        <f>IF(AND('Mapa final'!$AG$23="Media",'Mapa final'!$AI$23="Mayor"),CONCATENATE("R2C",'Mapa final'!$W$23),"")</f>
        <v/>
      </c>
      <c r="AG27" s="40" t="str">
        <f>IF(AND('Mapa final'!$AG$24="Media",'Mapa final'!$AI$24="Mayor"),CONCATENATE("R2C",'Mapa final'!$W$24),"")</f>
        <v/>
      </c>
      <c r="AH27" s="41" t="str">
        <f ca="1">IF(AND('Mapa final'!$AG$19="Media",'Mapa final'!$AI$19="Catastrófico"),CONCATENATE("R2C",'Mapa final'!$W$19),"")</f>
        <v/>
      </c>
      <c r="AI27" s="42" t="str">
        <f ca="1">IF(AND('Mapa final'!$AG$20="Media",'Mapa final'!$AI$20="Catastrófico"),CONCATENATE("R2C",'Mapa final'!$W$20),"")</f>
        <v/>
      </c>
      <c r="AJ27" s="42" t="str">
        <f>IF(AND('Mapa final'!$AG$21="Media",'Mapa final'!$AI$21="Catastrófico"),CONCATENATE("R2C",'Mapa final'!$W$21),"")</f>
        <v/>
      </c>
      <c r="AK27" s="42" t="str">
        <f>IF(AND('Mapa final'!$AG$22="Media",'Mapa final'!$AI$22="Catastrófico"),CONCATENATE("R2C",'Mapa final'!$W$22),"")</f>
        <v/>
      </c>
      <c r="AL27" s="42" t="str">
        <f>IF(AND('Mapa final'!$AG$23="Media",'Mapa final'!$AI$23="Catastrófico"),CONCATENATE("R2C",'Mapa final'!$W$23),"")</f>
        <v/>
      </c>
      <c r="AM27" s="43" t="str">
        <f>IF(AND('Mapa final'!$AG$24="Media",'Mapa final'!$AI$24="Catastrófico"),CONCATENATE("R2C",'Mapa final'!$W$24),"")</f>
        <v/>
      </c>
      <c r="AN27" s="69"/>
      <c r="AO27" s="476"/>
      <c r="AP27" s="477"/>
      <c r="AQ27" s="477"/>
      <c r="AR27" s="477"/>
      <c r="AS27" s="477"/>
      <c r="AT27" s="478"/>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row>
    <row r="28" spans="1:76" ht="15" customHeight="1" x14ac:dyDescent="0.25">
      <c r="A28" s="69"/>
      <c r="B28" s="431"/>
      <c r="C28" s="431"/>
      <c r="D28" s="432"/>
      <c r="E28" s="436"/>
      <c r="F28" s="437"/>
      <c r="G28" s="437"/>
      <c r="H28" s="437"/>
      <c r="I28" s="438"/>
      <c r="J28" s="53" t="str">
        <f ca="1">IF(AND('Mapa final'!$AG$25="Media",'Mapa final'!$AI$25="Leve"),CONCATENATE("R3C",'Mapa final'!$W$25),"")</f>
        <v/>
      </c>
      <c r="K28" s="54" t="str">
        <f ca="1">IF(AND('Mapa final'!$AG$26="Media",'Mapa final'!$AI$26="Leve"),CONCATENATE("R3C",'Mapa final'!$W$26),"")</f>
        <v/>
      </c>
      <c r="L28" s="54" t="str">
        <f ca="1">IF(AND('Mapa final'!$AG$27="Media",'Mapa final'!$AI$27="Leve"),CONCATENATE("R3C",'Mapa final'!$W$27),"")</f>
        <v/>
      </c>
      <c r="M28" s="54" t="str">
        <f>IF(AND('Mapa final'!$AG$28="Media",'Mapa final'!$AI$28="Leve"),CONCATENATE("R3C",'Mapa final'!$W$28),"")</f>
        <v/>
      </c>
      <c r="N28" s="54" t="str">
        <f>IF(AND('Mapa final'!$AG$29="Media",'Mapa final'!$AI$29="Leve"),CONCATENATE("R3C",'Mapa final'!$W$29),"")</f>
        <v/>
      </c>
      <c r="O28" s="55" t="str">
        <f>IF(AND('Mapa final'!$AG$30="Media",'Mapa final'!$AI$30="Leve"),CONCATENATE("R3C",'Mapa final'!$W$30),"")</f>
        <v/>
      </c>
      <c r="P28" s="53" t="str">
        <f ca="1">IF(AND('Mapa final'!$AG$25="Media",'Mapa final'!$AI$25="Menor"),CONCATENATE("R3C",'Mapa final'!$W$25),"")</f>
        <v/>
      </c>
      <c r="Q28" s="54" t="str">
        <f ca="1">IF(AND('Mapa final'!$AG$26="Media",'Mapa final'!$AI$26="Menor"),CONCATENATE("R3C",'Mapa final'!$W$26),"")</f>
        <v/>
      </c>
      <c r="R28" s="54" t="str">
        <f ca="1">IF(AND('Mapa final'!$AG$27="Media",'Mapa final'!$AI$27="Menor"),CONCATENATE("R3C",'Mapa final'!$W$27),"")</f>
        <v/>
      </c>
      <c r="S28" s="54" t="str">
        <f>IF(AND('Mapa final'!$AG$28="Media",'Mapa final'!$AI$28="Menor"),CONCATENATE("R3C",'Mapa final'!$W$28),"")</f>
        <v/>
      </c>
      <c r="T28" s="54" t="str">
        <f>IF(AND('Mapa final'!$AG$29="Media",'Mapa final'!$AI$29="Menor"),CONCATENATE("R3C",'Mapa final'!$W$29),"")</f>
        <v/>
      </c>
      <c r="U28" s="55" t="str">
        <f>IF(AND('Mapa final'!$AG$30="Media",'Mapa final'!$AI$30="Menor"),CONCATENATE("R3C",'Mapa final'!$W$30),"")</f>
        <v/>
      </c>
      <c r="V28" s="53" t="str">
        <f ca="1">IF(AND('Mapa final'!$AG$25="Media",'Mapa final'!$AI$25="Moderado"),CONCATENATE("R3C",'Mapa final'!$W$25),"")</f>
        <v/>
      </c>
      <c r="W28" s="54" t="str">
        <f ca="1">IF(AND('Mapa final'!$AG$26="Media",'Mapa final'!$AI$26="Moderado"),CONCATENATE("R3C",'Mapa final'!$W$26),"")</f>
        <v/>
      </c>
      <c r="X28" s="54" t="str">
        <f ca="1">IF(AND('Mapa final'!$AG$27="Media",'Mapa final'!$AI$27="Moderado"),CONCATENATE("R3C",'Mapa final'!$W$27),"")</f>
        <v/>
      </c>
      <c r="Y28" s="54" t="str">
        <f>IF(AND('Mapa final'!$AG$28="Media",'Mapa final'!$AI$28="Moderado"),CONCATENATE("R3C",'Mapa final'!$W$28),"")</f>
        <v/>
      </c>
      <c r="Z28" s="54" t="str">
        <f>IF(AND('Mapa final'!$AG$29="Media",'Mapa final'!$AI$29="Moderado"),CONCATENATE("R3C",'Mapa final'!$W$29),"")</f>
        <v/>
      </c>
      <c r="AA28" s="55" t="str">
        <f>IF(AND('Mapa final'!$AG$30="Media",'Mapa final'!$AI$30="Moderado"),CONCATENATE("R3C",'Mapa final'!$W$30),"")</f>
        <v/>
      </c>
      <c r="AB28" s="38" t="str">
        <f ca="1">IF(AND('Mapa final'!$AG$25="Media",'Mapa final'!$AI$25="Mayor"),CONCATENATE("R3C",'Mapa final'!$W$25),"")</f>
        <v/>
      </c>
      <c r="AC28" s="39" t="str">
        <f ca="1">IF(AND('Mapa final'!$AG$26="Media",'Mapa final'!$AI$26="Mayor"),CONCATENATE("R3C",'Mapa final'!$W$26),"")</f>
        <v/>
      </c>
      <c r="AD28" s="39" t="str">
        <f ca="1">IF(AND('Mapa final'!$AG$27="Media",'Mapa final'!$AI$27="Mayor"),CONCATENATE("R3C",'Mapa final'!$W$27),"")</f>
        <v/>
      </c>
      <c r="AE28" s="39" t="str">
        <f>IF(AND('Mapa final'!$AG$28="Media",'Mapa final'!$AI$28="Mayor"),CONCATENATE("R3C",'Mapa final'!$W$28),"")</f>
        <v/>
      </c>
      <c r="AF28" s="39" t="str">
        <f>IF(AND('Mapa final'!$AG$29="Media",'Mapa final'!$AI$29="Mayor"),CONCATENATE("R3C",'Mapa final'!$W$29),"")</f>
        <v/>
      </c>
      <c r="AG28" s="40" t="str">
        <f>IF(AND('Mapa final'!$AG$30="Media",'Mapa final'!$AI$30="Mayor"),CONCATENATE("R3C",'Mapa final'!$W$30),"")</f>
        <v/>
      </c>
      <c r="AH28" s="41" t="str">
        <f ca="1">IF(AND('Mapa final'!$AG$25="Media",'Mapa final'!$AI$25="Catastrófico"),CONCATENATE("R3C",'Mapa final'!$W$25),"")</f>
        <v/>
      </c>
      <c r="AI28" s="42" t="str">
        <f ca="1">IF(AND('Mapa final'!$AG$26="Media",'Mapa final'!$AI$26="Catastrófico"),CONCATENATE("R3C",'Mapa final'!$W$26),"")</f>
        <v/>
      </c>
      <c r="AJ28" s="42" t="str">
        <f ca="1">IF(AND('Mapa final'!$AG$27="Media",'Mapa final'!$AI$27="Catastrófico"),CONCATENATE("R3C",'Mapa final'!$W$27),"")</f>
        <v/>
      </c>
      <c r="AK28" s="42" t="str">
        <f>IF(AND('Mapa final'!$AG$28="Media",'Mapa final'!$AI$28="Catastrófico"),CONCATENATE("R3C",'Mapa final'!$W$28),"")</f>
        <v/>
      </c>
      <c r="AL28" s="42" t="str">
        <f>IF(AND('Mapa final'!$AG$29="Media",'Mapa final'!$AI$29="Catastrófico"),CONCATENATE("R3C",'Mapa final'!$W$29),"")</f>
        <v/>
      </c>
      <c r="AM28" s="43" t="str">
        <f>IF(AND('Mapa final'!$AG$30="Media",'Mapa final'!$AI$30="Catastrófico"),CONCATENATE("R3C",'Mapa final'!$W$30),"")</f>
        <v/>
      </c>
      <c r="AN28" s="69"/>
      <c r="AO28" s="476"/>
      <c r="AP28" s="477"/>
      <c r="AQ28" s="477"/>
      <c r="AR28" s="477"/>
      <c r="AS28" s="477"/>
      <c r="AT28" s="478"/>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row>
    <row r="29" spans="1:76" ht="15" customHeight="1" x14ac:dyDescent="0.25">
      <c r="A29" s="69"/>
      <c r="B29" s="431"/>
      <c r="C29" s="431"/>
      <c r="D29" s="432"/>
      <c r="E29" s="436"/>
      <c r="F29" s="437"/>
      <c r="G29" s="437"/>
      <c r="H29" s="437"/>
      <c r="I29" s="438"/>
      <c r="J29" s="53" t="str">
        <f ca="1">IF(AND('Mapa final'!$AG$31="Media",'Mapa final'!$AI$31="Leve"),CONCATENATE("R4C",'Mapa final'!$W$31),"")</f>
        <v/>
      </c>
      <c r="K29" s="54" t="str">
        <f ca="1">IF(AND('Mapa final'!$AG$32="Media",'Mapa final'!$AI$32="Leve"),CONCATENATE("R4C",'Mapa final'!$W$32),"")</f>
        <v/>
      </c>
      <c r="L29" s="54" t="str">
        <f>IF(AND('Mapa final'!$AG$33="Media",'Mapa final'!$AI$33="Leve"),CONCATENATE("R4C",'Mapa final'!$W$33),"")</f>
        <v/>
      </c>
      <c r="M29" s="54" t="str">
        <f>IF(AND('Mapa final'!$AG$34="Media",'Mapa final'!$AI$34="Leve"),CONCATENATE("R4C",'Mapa final'!$W$34),"")</f>
        <v/>
      </c>
      <c r="N29" s="54" t="str">
        <f>IF(AND('Mapa final'!$AG$35="Media",'Mapa final'!$AI$35="Leve"),CONCATENATE("R4C",'Mapa final'!$W$35),"")</f>
        <v/>
      </c>
      <c r="O29" s="55" t="str">
        <f>IF(AND('Mapa final'!$AG$36="Media",'Mapa final'!$AI$36="Leve"),CONCATENATE("R4C",'Mapa final'!$W$36),"")</f>
        <v/>
      </c>
      <c r="P29" s="53" t="str">
        <f ca="1">IF(AND('Mapa final'!$AG$31="Media",'Mapa final'!$AI$31="Menor"),CONCATENATE("R4C",'Mapa final'!$W$31),"")</f>
        <v/>
      </c>
      <c r="Q29" s="54" t="str">
        <f ca="1">IF(AND('Mapa final'!$AG$32="Media",'Mapa final'!$AI$32="Menor"),CONCATENATE("R4C",'Mapa final'!$W$32),"")</f>
        <v/>
      </c>
      <c r="R29" s="54" t="str">
        <f>IF(AND('Mapa final'!$AG$33="Media",'Mapa final'!$AI$33="Menor"),CONCATENATE("R4C",'Mapa final'!$W$33),"")</f>
        <v/>
      </c>
      <c r="S29" s="54" t="str">
        <f>IF(AND('Mapa final'!$AG$34="Media",'Mapa final'!$AI$34="Menor"),CONCATENATE("R4C",'Mapa final'!$W$34),"")</f>
        <v/>
      </c>
      <c r="T29" s="54" t="str">
        <f>IF(AND('Mapa final'!$AG$35="Media",'Mapa final'!$AI$35="Menor"),CONCATENATE("R4C",'Mapa final'!$W$35),"")</f>
        <v/>
      </c>
      <c r="U29" s="55" t="str">
        <f>IF(AND('Mapa final'!$AG$36="Media",'Mapa final'!$AI$36="Menor"),CONCATENATE("R4C",'Mapa final'!$W$36),"")</f>
        <v/>
      </c>
      <c r="V29" s="53" t="str">
        <f ca="1">IF(AND('Mapa final'!$AG$31="Media",'Mapa final'!$AI$31="Moderado"),CONCATENATE("R4C",'Mapa final'!$W$31),"")</f>
        <v/>
      </c>
      <c r="W29" s="54" t="str">
        <f ca="1">IF(AND('Mapa final'!$AG$32="Media",'Mapa final'!$AI$32="Moderado"),CONCATENATE("R4C",'Mapa final'!$W$32),"")</f>
        <v/>
      </c>
      <c r="X29" s="54" t="str">
        <f>IF(AND('Mapa final'!$AG$33="Media",'Mapa final'!$AI$33="Moderado"),CONCATENATE("R4C",'Mapa final'!$W$33),"")</f>
        <v/>
      </c>
      <c r="Y29" s="54" t="str">
        <f>IF(AND('Mapa final'!$AG$34="Media",'Mapa final'!$AI$34="Moderado"),CONCATENATE("R4C",'Mapa final'!$W$34),"")</f>
        <v/>
      </c>
      <c r="Z29" s="54" t="str">
        <f>IF(AND('Mapa final'!$AG$35="Media",'Mapa final'!$AI$35="Moderado"),CONCATENATE("R4C",'Mapa final'!$W$35),"")</f>
        <v/>
      </c>
      <c r="AA29" s="55" t="str">
        <f>IF(AND('Mapa final'!$AG$36="Media",'Mapa final'!$AI$36="Moderado"),CONCATENATE("R4C",'Mapa final'!$W$36),"")</f>
        <v/>
      </c>
      <c r="AB29" s="38" t="str">
        <f ca="1">IF(AND('Mapa final'!$AG$31="Media",'Mapa final'!$AI$31="Mayor"),CONCATENATE("R4C",'Mapa final'!$W$31),"")</f>
        <v/>
      </c>
      <c r="AC29" s="39" t="str">
        <f ca="1">IF(AND('Mapa final'!$AG$32="Media",'Mapa final'!$AI$32="Mayor"),CONCATENATE("R4C",'Mapa final'!$W$32),"")</f>
        <v/>
      </c>
      <c r="AD29" s="39" t="str">
        <f>IF(AND('Mapa final'!$AG$33="Media",'Mapa final'!$AI$33="Mayor"),CONCATENATE("R4C",'Mapa final'!$W$33),"")</f>
        <v/>
      </c>
      <c r="AE29" s="39" t="str">
        <f>IF(AND('Mapa final'!$AG$34="Media",'Mapa final'!$AI$34="Mayor"),CONCATENATE("R4C",'Mapa final'!$W$34),"")</f>
        <v/>
      </c>
      <c r="AF29" s="39" t="str">
        <f>IF(AND('Mapa final'!$AG$35="Media",'Mapa final'!$AI$35="Mayor"),CONCATENATE("R4C",'Mapa final'!$W$35),"")</f>
        <v/>
      </c>
      <c r="AG29" s="40" t="str">
        <f>IF(AND('Mapa final'!$AG$36="Media",'Mapa final'!$AI$36="Mayor"),CONCATENATE("R4C",'Mapa final'!$W$36),"")</f>
        <v/>
      </c>
      <c r="AH29" s="41" t="str">
        <f ca="1">IF(AND('Mapa final'!$AG$31="Media",'Mapa final'!$AI$31="Catastrófico"),CONCATENATE("R4C",'Mapa final'!$W$31),"")</f>
        <v/>
      </c>
      <c r="AI29" s="42" t="str">
        <f ca="1">IF(AND('Mapa final'!$AG$32="Media",'Mapa final'!$AI$32="Catastrófico"),CONCATENATE("R4C",'Mapa final'!$W$32),"")</f>
        <v/>
      </c>
      <c r="AJ29" s="42" t="str">
        <f>IF(AND('Mapa final'!$AG$33="Media",'Mapa final'!$AI$33="Catastrófico"),CONCATENATE("R4C",'Mapa final'!$W$33),"")</f>
        <v/>
      </c>
      <c r="AK29" s="42" t="str">
        <f>IF(AND('Mapa final'!$AG$34="Media",'Mapa final'!$AI$34="Catastrófico"),CONCATENATE("R4C",'Mapa final'!$W$34),"")</f>
        <v/>
      </c>
      <c r="AL29" s="42" t="str">
        <f>IF(AND('Mapa final'!$AG$35="Media",'Mapa final'!$AI$35="Catastrófico"),CONCATENATE("R4C",'Mapa final'!$W$35),"")</f>
        <v/>
      </c>
      <c r="AM29" s="43" t="str">
        <f>IF(AND('Mapa final'!$AG$36="Media",'Mapa final'!$AI$36="Catastrófico"),CONCATENATE("R4C",'Mapa final'!$W$36),"")</f>
        <v/>
      </c>
      <c r="AN29" s="69"/>
      <c r="AO29" s="476"/>
      <c r="AP29" s="477"/>
      <c r="AQ29" s="477"/>
      <c r="AR29" s="477"/>
      <c r="AS29" s="477"/>
      <c r="AT29" s="478"/>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row>
    <row r="30" spans="1:76" ht="15" customHeight="1" x14ac:dyDescent="0.25">
      <c r="A30" s="69"/>
      <c r="B30" s="431"/>
      <c r="C30" s="431"/>
      <c r="D30" s="432"/>
      <c r="E30" s="436"/>
      <c r="F30" s="437"/>
      <c r="G30" s="437"/>
      <c r="H30" s="437"/>
      <c r="I30" s="438"/>
      <c r="J30" s="53" t="str">
        <f ca="1">IF(AND('Mapa final'!$AG$37="Media",'Mapa final'!$AI$37="Leve"),CONCATENATE("R5C",'Mapa final'!$W$37),"")</f>
        <v/>
      </c>
      <c r="K30" s="54" t="str">
        <f ca="1">IF(AND('Mapa final'!$AG$38="Media",'Mapa final'!$AI$38="Leve"),CONCATENATE("R5C",'Mapa final'!$W$38),"")</f>
        <v/>
      </c>
      <c r="L30" s="54" t="str">
        <f ca="1">IF(AND('Mapa final'!$AG$39="Media",'Mapa final'!$AI$39="Leve"),CONCATENATE("R5C",'Mapa final'!$W$39),"")</f>
        <v/>
      </c>
      <c r="M30" s="54" t="str">
        <f>IF(AND('Mapa final'!$AG$40="Media",'Mapa final'!$AI$40="Leve"),CONCATENATE("R5C",'Mapa final'!$W$40),"")</f>
        <v/>
      </c>
      <c r="N30" s="54" t="str">
        <f>IF(AND('Mapa final'!$AG$41="Media",'Mapa final'!$AI$41="Leve"),CONCATENATE("R5C",'Mapa final'!$W$41),"")</f>
        <v/>
      </c>
      <c r="O30" s="55" t="str">
        <f>IF(AND('Mapa final'!$AG$42="Media",'Mapa final'!$AI$42="Leve"),CONCATENATE("R5C",'Mapa final'!$W$42),"")</f>
        <v/>
      </c>
      <c r="P30" s="53" t="str">
        <f ca="1">IF(AND('Mapa final'!$AG$37="Media",'Mapa final'!$AI$37="Menor"),CONCATENATE("R5C",'Mapa final'!$W$37),"")</f>
        <v/>
      </c>
      <c r="Q30" s="54" t="str">
        <f ca="1">IF(AND('Mapa final'!$AG$38="Media",'Mapa final'!$AI$38="Menor"),CONCATENATE("R5C",'Mapa final'!$W$38),"")</f>
        <v/>
      </c>
      <c r="R30" s="54" t="str">
        <f ca="1">IF(AND('Mapa final'!$AG$39="Media",'Mapa final'!$AI$39="Menor"),CONCATENATE("R5C",'Mapa final'!$W$39),"")</f>
        <v/>
      </c>
      <c r="S30" s="54" t="str">
        <f>IF(AND('Mapa final'!$AG$40="Media",'Mapa final'!$AI$40="Menor"),CONCATENATE("R5C",'Mapa final'!$W$40),"")</f>
        <v/>
      </c>
      <c r="T30" s="54" t="str">
        <f>IF(AND('Mapa final'!$AG$41="Media",'Mapa final'!$AI$41="Menor"),CONCATENATE("R5C",'Mapa final'!$W$41),"")</f>
        <v/>
      </c>
      <c r="U30" s="55" t="str">
        <f>IF(AND('Mapa final'!$AG$42="Media",'Mapa final'!$AI$42="Menor"),CONCATENATE("R5C",'Mapa final'!$W$42),"")</f>
        <v/>
      </c>
      <c r="V30" s="53" t="str">
        <f ca="1">IF(AND('Mapa final'!$AG$37="Media",'Mapa final'!$AI$37="Moderado"),CONCATENATE("R5C",'Mapa final'!$W$37),"")</f>
        <v/>
      </c>
      <c r="W30" s="54" t="str">
        <f ca="1">IF(AND('Mapa final'!$AG$38="Media",'Mapa final'!$AI$38="Moderado"),CONCATENATE("R5C",'Mapa final'!$W$38),"")</f>
        <v/>
      </c>
      <c r="X30" s="54" t="str">
        <f ca="1">IF(AND('Mapa final'!$AG$39="Media",'Mapa final'!$AI$39="Moderado"),CONCATENATE("R5C",'Mapa final'!$W$39),"")</f>
        <v/>
      </c>
      <c r="Y30" s="54" t="str">
        <f>IF(AND('Mapa final'!$AG$40="Media",'Mapa final'!$AI$40="Moderado"),CONCATENATE("R5C",'Mapa final'!$W$40),"")</f>
        <v/>
      </c>
      <c r="Z30" s="54" t="str">
        <f>IF(AND('Mapa final'!$AG$41="Media",'Mapa final'!$AI$41="Moderado"),CONCATENATE("R5C",'Mapa final'!$W$41),"")</f>
        <v/>
      </c>
      <c r="AA30" s="55" t="str">
        <f>IF(AND('Mapa final'!$AG$42="Media",'Mapa final'!$AI$42="Moderado"),CONCATENATE("R5C",'Mapa final'!$W$42),"")</f>
        <v/>
      </c>
      <c r="AB30" s="38" t="str">
        <f ca="1">IF(AND('Mapa final'!$AG$37="Media",'Mapa final'!$AI$37="Mayor"),CONCATENATE("R5C",'Mapa final'!$W$37),"")</f>
        <v/>
      </c>
      <c r="AC30" s="39" t="str">
        <f ca="1">IF(AND('Mapa final'!$AG$38="Media",'Mapa final'!$AI$38="Mayor"),CONCATENATE("R5C",'Mapa final'!$W$38),"")</f>
        <v/>
      </c>
      <c r="AD30" s="39" t="str">
        <f ca="1">IF(AND('Mapa final'!$AG$39="Media",'Mapa final'!$AI$39="Mayor"),CONCATENATE("R5C",'Mapa final'!$W$39),"")</f>
        <v/>
      </c>
      <c r="AE30" s="39" t="str">
        <f>IF(AND('Mapa final'!$AG$40="Media",'Mapa final'!$AI$40="Mayor"),CONCATENATE("R5C",'Mapa final'!$W$40),"")</f>
        <v/>
      </c>
      <c r="AF30" s="39" t="str">
        <f>IF(AND('Mapa final'!$AG$41="Media",'Mapa final'!$AI$41="Mayor"),CONCATENATE("R5C",'Mapa final'!$W$41),"")</f>
        <v/>
      </c>
      <c r="AG30" s="40" t="str">
        <f>IF(AND('Mapa final'!$AG$42="Media",'Mapa final'!$AI$42="Mayor"),CONCATENATE("R5C",'Mapa final'!$W$42),"")</f>
        <v/>
      </c>
      <c r="AH30" s="41" t="str">
        <f ca="1">IF(AND('Mapa final'!$AG$37="Media",'Mapa final'!$AI$37="Catastrófico"),CONCATENATE("R5C",'Mapa final'!$W$37),"")</f>
        <v/>
      </c>
      <c r="AI30" s="42" t="str">
        <f ca="1">IF(AND('Mapa final'!$AG$38="Media",'Mapa final'!$AI$38="Catastrófico"),CONCATENATE("R5C",'Mapa final'!$W$38),"")</f>
        <v/>
      </c>
      <c r="AJ30" s="42" t="str">
        <f ca="1">IF(AND('Mapa final'!$AG$39="Media",'Mapa final'!$AI$39="Catastrófico"),CONCATENATE("R5C",'Mapa final'!$W$39),"")</f>
        <v/>
      </c>
      <c r="AK30" s="42" t="str">
        <f>IF(AND('Mapa final'!$AG$40="Media",'Mapa final'!$AI$40="Catastrófico"),CONCATENATE("R5C",'Mapa final'!$W$40),"")</f>
        <v/>
      </c>
      <c r="AL30" s="42" t="str">
        <f>IF(AND('Mapa final'!$AG$41="Media",'Mapa final'!$AI$41="Catastrófico"),CONCATENATE("R5C",'Mapa final'!$W$41),"")</f>
        <v/>
      </c>
      <c r="AM30" s="43" t="str">
        <f>IF(AND('Mapa final'!$AG$42="Media",'Mapa final'!$AI$42="Catastrófico"),CONCATENATE("R5C",'Mapa final'!$W$42),"")</f>
        <v/>
      </c>
      <c r="AN30" s="69"/>
      <c r="AO30" s="476"/>
      <c r="AP30" s="477"/>
      <c r="AQ30" s="477"/>
      <c r="AR30" s="477"/>
      <c r="AS30" s="477"/>
      <c r="AT30" s="478"/>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row>
    <row r="31" spans="1:76" ht="15" customHeight="1" x14ac:dyDescent="0.25">
      <c r="A31" s="69"/>
      <c r="B31" s="431"/>
      <c r="C31" s="431"/>
      <c r="D31" s="432"/>
      <c r="E31" s="436"/>
      <c r="F31" s="437"/>
      <c r="G31" s="437"/>
      <c r="H31" s="437"/>
      <c r="I31" s="438"/>
      <c r="J31" s="53" t="str">
        <f ca="1">IF(AND('Mapa final'!$AG$43="Media",'Mapa final'!$AI$43="Leve"),CONCATENATE("R6C",'Mapa final'!$W$43),"")</f>
        <v/>
      </c>
      <c r="K31" s="54" t="str">
        <f ca="1">IF(AND('Mapa final'!$AG$44="Media",'Mapa final'!$AI$44="Leve"),CONCATENATE("R6C",'Mapa final'!$W$44),"")</f>
        <v/>
      </c>
      <c r="L31" s="54" t="str">
        <f>IF(AND('Mapa final'!$AG$45="Media",'Mapa final'!$AI$45="Leve"),CONCATENATE("R6C",'Mapa final'!$W$45),"")</f>
        <v/>
      </c>
      <c r="M31" s="54" t="str">
        <f>IF(AND('Mapa final'!$AG$46="Media",'Mapa final'!$AI$46="Leve"),CONCATENATE("R6C",'Mapa final'!$W$46),"")</f>
        <v/>
      </c>
      <c r="N31" s="54" t="str">
        <f>IF(AND('Mapa final'!$AG$47="Media",'Mapa final'!$AI$47="Leve"),CONCATENATE("R6C",'Mapa final'!$W$47),"")</f>
        <v/>
      </c>
      <c r="O31" s="55" t="str">
        <f>IF(AND('Mapa final'!$AG$48="Media",'Mapa final'!$AI$48="Leve"),CONCATENATE("R6C",'Mapa final'!$W$48),"")</f>
        <v/>
      </c>
      <c r="P31" s="53" t="str">
        <f ca="1">IF(AND('Mapa final'!$AG$43="Media",'Mapa final'!$AI$43="Menor"),CONCATENATE("R6C",'Mapa final'!$W$43),"")</f>
        <v/>
      </c>
      <c r="Q31" s="54" t="str">
        <f ca="1">IF(AND('Mapa final'!$AG$44="Media",'Mapa final'!$AI$44="Menor"),CONCATENATE("R6C",'Mapa final'!$W$44),"")</f>
        <v/>
      </c>
      <c r="R31" s="54" t="str">
        <f>IF(AND('Mapa final'!$AG$45="Media",'Mapa final'!$AI$45="Menor"),CONCATENATE("R6C",'Mapa final'!$W$45),"")</f>
        <v/>
      </c>
      <c r="S31" s="54" t="str">
        <f>IF(AND('Mapa final'!$AG$46="Media",'Mapa final'!$AI$46="Menor"),CONCATENATE("R6C",'Mapa final'!$W$46),"")</f>
        <v/>
      </c>
      <c r="T31" s="54" t="str">
        <f>IF(AND('Mapa final'!$AG$47="Media",'Mapa final'!$AI$47="Menor"),CONCATENATE("R6C",'Mapa final'!$W$47),"")</f>
        <v/>
      </c>
      <c r="U31" s="55" t="str">
        <f>IF(AND('Mapa final'!$AG$48="Media",'Mapa final'!$AI$48="Menor"),CONCATENATE("R6C",'Mapa final'!$W$48),"")</f>
        <v/>
      </c>
      <c r="V31" s="53" t="str">
        <f ca="1">IF(AND('Mapa final'!$AG$43="Media",'Mapa final'!$AI$43="Moderado"),CONCATENATE("R6C",'Mapa final'!$W$43),"")</f>
        <v/>
      </c>
      <c r="W31" s="54" t="str">
        <f ca="1">IF(AND('Mapa final'!$AG$44="Media",'Mapa final'!$AI$44="Moderado"),CONCATENATE("R6C",'Mapa final'!$W$44),"")</f>
        <v/>
      </c>
      <c r="X31" s="54" t="str">
        <f>IF(AND('Mapa final'!$AG$45="Media",'Mapa final'!$AI$45="Moderado"),CONCATENATE("R6C",'Mapa final'!$W$45),"")</f>
        <v/>
      </c>
      <c r="Y31" s="54" t="str">
        <f>IF(AND('Mapa final'!$AG$46="Media",'Mapa final'!$AI$46="Moderado"),CONCATENATE("R6C",'Mapa final'!$W$46),"")</f>
        <v/>
      </c>
      <c r="Z31" s="54" t="str">
        <f>IF(AND('Mapa final'!$AG$47="Media",'Mapa final'!$AI$47="Moderado"),CONCATENATE("R6C",'Mapa final'!$W$47),"")</f>
        <v/>
      </c>
      <c r="AA31" s="55" t="str">
        <f>IF(AND('Mapa final'!$AG$48="Media",'Mapa final'!$AI$48="Moderado"),CONCATENATE("R6C",'Mapa final'!$W$48),"")</f>
        <v/>
      </c>
      <c r="AB31" s="38" t="str">
        <f ca="1">IF(AND('Mapa final'!$AG$43="Media",'Mapa final'!$AI$43="Mayor"),CONCATENATE("R6C",'Mapa final'!$W$43),"")</f>
        <v/>
      </c>
      <c r="AC31" s="39" t="str">
        <f ca="1">IF(AND('Mapa final'!$AG$44="Media",'Mapa final'!$AI$44="Mayor"),CONCATENATE("R6C",'Mapa final'!$W$44),"")</f>
        <v/>
      </c>
      <c r="AD31" s="39" t="str">
        <f>IF(AND('Mapa final'!$AG$45="Media",'Mapa final'!$AI$45="Mayor"),CONCATENATE("R6C",'Mapa final'!$W$45),"")</f>
        <v/>
      </c>
      <c r="AE31" s="39" t="str">
        <f>IF(AND('Mapa final'!$AG$46="Media",'Mapa final'!$AI$46="Mayor"),CONCATENATE("R6C",'Mapa final'!$W$46),"")</f>
        <v/>
      </c>
      <c r="AF31" s="39" t="str">
        <f>IF(AND('Mapa final'!$AG$47="Media",'Mapa final'!$AI$47="Mayor"),CONCATENATE("R6C",'Mapa final'!$W$47),"")</f>
        <v/>
      </c>
      <c r="AG31" s="40" t="str">
        <f>IF(AND('Mapa final'!$AG$48="Media",'Mapa final'!$AI$48="Mayor"),CONCATENATE("R6C",'Mapa final'!$W$48),"")</f>
        <v/>
      </c>
      <c r="AH31" s="41" t="str">
        <f ca="1">IF(AND('Mapa final'!$AG$43="Media",'Mapa final'!$AI$43="Catastrófico"),CONCATENATE("R6C",'Mapa final'!$W$43),"")</f>
        <v/>
      </c>
      <c r="AI31" s="42" t="str">
        <f ca="1">IF(AND('Mapa final'!$AG$44="Media",'Mapa final'!$AI$44="Catastrófico"),CONCATENATE("R6C",'Mapa final'!$W$44),"")</f>
        <v/>
      </c>
      <c r="AJ31" s="42" t="str">
        <f>IF(AND('Mapa final'!$AG$45="Media",'Mapa final'!$AI$45="Catastrófico"),CONCATENATE("R6C",'Mapa final'!$W$45),"")</f>
        <v/>
      </c>
      <c r="AK31" s="42" t="str">
        <f>IF(AND('Mapa final'!$AG$46="Media",'Mapa final'!$AI$46="Catastrófico"),CONCATENATE("R6C",'Mapa final'!$W$46),"")</f>
        <v/>
      </c>
      <c r="AL31" s="42" t="str">
        <f>IF(AND('Mapa final'!$AG$47="Media",'Mapa final'!$AI$47="Catastrófico"),CONCATENATE("R6C",'Mapa final'!$W$47),"")</f>
        <v/>
      </c>
      <c r="AM31" s="43" t="str">
        <f>IF(AND('Mapa final'!$AG$48="Media",'Mapa final'!$AI$48="Catastrófico"),CONCATENATE("R6C",'Mapa final'!$W$48),"")</f>
        <v/>
      </c>
      <c r="AN31" s="69"/>
      <c r="AO31" s="476"/>
      <c r="AP31" s="477"/>
      <c r="AQ31" s="477"/>
      <c r="AR31" s="477"/>
      <c r="AS31" s="477"/>
      <c r="AT31" s="478"/>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row>
    <row r="32" spans="1:76" ht="15" customHeight="1" x14ac:dyDescent="0.25">
      <c r="A32" s="69"/>
      <c r="B32" s="431"/>
      <c r="C32" s="431"/>
      <c r="D32" s="432"/>
      <c r="E32" s="436"/>
      <c r="F32" s="437"/>
      <c r="G32" s="437"/>
      <c r="H32" s="437"/>
      <c r="I32" s="438"/>
      <c r="J32" s="53" t="str">
        <f ca="1">IF(AND('Mapa final'!$AG$49="Media",'Mapa final'!$AI$49="Leve"),CONCATENATE("R7C",'Mapa final'!$W$49),"")</f>
        <v/>
      </c>
      <c r="K32" s="54" t="str">
        <f ca="1">IF(AND('Mapa final'!$AG$50="Media",'Mapa final'!$AI$50="Leve"),CONCATENATE("R7C",'Mapa final'!$W$50),"")</f>
        <v/>
      </c>
      <c r="L32" s="54" t="str">
        <f>IF(AND('Mapa final'!$AG$51="Media",'Mapa final'!$AI$51="Leve"),CONCATENATE("R7C",'Mapa final'!$W$51),"")</f>
        <v/>
      </c>
      <c r="M32" s="54" t="str">
        <f>IF(AND('Mapa final'!$AG$52="Media",'Mapa final'!$AI$52="Leve"),CONCATENATE("R7C",'Mapa final'!$W$52),"")</f>
        <v/>
      </c>
      <c r="N32" s="54" t="str">
        <f>IF(AND('Mapa final'!$AG$53="Media",'Mapa final'!$AI$53="Leve"),CONCATENATE("R7C",'Mapa final'!$W$53),"")</f>
        <v/>
      </c>
      <c r="O32" s="55" t="str">
        <f>IF(AND('Mapa final'!$AG$54="Media",'Mapa final'!$AI$54="Leve"),CONCATENATE("R7C",'Mapa final'!$W$54),"")</f>
        <v/>
      </c>
      <c r="P32" s="53" t="str">
        <f ca="1">IF(AND('Mapa final'!$AG$49="Media",'Mapa final'!$AI$49="Menor"),CONCATENATE("R7C",'Mapa final'!$W$49),"")</f>
        <v/>
      </c>
      <c r="Q32" s="54" t="str">
        <f ca="1">IF(AND('Mapa final'!$AG$50="Media",'Mapa final'!$AI$50="Menor"),CONCATENATE("R7C",'Mapa final'!$W$50),"")</f>
        <v/>
      </c>
      <c r="R32" s="54" t="str">
        <f>IF(AND('Mapa final'!$AG$51="Media",'Mapa final'!$AI$51="Menor"),CONCATENATE("R7C",'Mapa final'!$W$51),"")</f>
        <v/>
      </c>
      <c r="S32" s="54" t="str">
        <f>IF(AND('Mapa final'!$AG$52="Media",'Mapa final'!$AI$52="Menor"),CONCATENATE("R7C",'Mapa final'!$W$52),"")</f>
        <v/>
      </c>
      <c r="T32" s="54" t="str">
        <f>IF(AND('Mapa final'!$AG$53="Media",'Mapa final'!$AI$53="Menor"),CONCATENATE("R7C",'Mapa final'!$W$53),"")</f>
        <v/>
      </c>
      <c r="U32" s="55" t="str">
        <f>IF(AND('Mapa final'!$AG$54="Media",'Mapa final'!$AI$54="Menor"),CONCATENATE("R7C",'Mapa final'!$W$54),"")</f>
        <v/>
      </c>
      <c r="V32" s="53" t="str">
        <f ca="1">IF(AND('Mapa final'!$AG$49="Media",'Mapa final'!$AI$49="Moderado"),CONCATENATE("R7C",'Mapa final'!$W$49),"")</f>
        <v/>
      </c>
      <c r="W32" s="54" t="str">
        <f ca="1">IF(AND('Mapa final'!$AG$50="Media",'Mapa final'!$AI$50="Moderado"),CONCATENATE("R7C",'Mapa final'!$W$50),"")</f>
        <v/>
      </c>
      <c r="X32" s="54" t="str">
        <f>IF(AND('Mapa final'!$AG$51="Media",'Mapa final'!$AI$51="Moderado"),CONCATENATE("R7C",'Mapa final'!$W$51),"")</f>
        <v/>
      </c>
      <c r="Y32" s="54" t="str">
        <f>IF(AND('Mapa final'!$AG$52="Media",'Mapa final'!$AI$52="Moderado"),CONCATENATE("R7C",'Mapa final'!$W$52),"")</f>
        <v/>
      </c>
      <c r="Z32" s="54" t="str">
        <f>IF(AND('Mapa final'!$AG$53="Media",'Mapa final'!$AI$53="Moderado"),CONCATENATE("R7C",'Mapa final'!$W$53),"")</f>
        <v/>
      </c>
      <c r="AA32" s="55" t="str">
        <f>IF(AND('Mapa final'!$AG$54="Media",'Mapa final'!$AI$54="Moderado"),CONCATENATE("R7C",'Mapa final'!$W$54),"")</f>
        <v/>
      </c>
      <c r="AB32" s="38" t="str">
        <f ca="1">IF(AND('Mapa final'!$AG$49="Media",'Mapa final'!$AI$49="Mayor"),CONCATENATE("R7C",'Mapa final'!$W$49),"")</f>
        <v/>
      </c>
      <c r="AC32" s="39" t="str">
        <f ca="1">IF(AND('Mapa final'!$AG$50="Media",'Mapa final'!$AI$50="Mayor"),CONCATENATE("R7C",'Mapa final'!$W$50),"")</f>
        <v/>
      </c>
      <c r="AD32" s="39" t="str">
        <f>IF(AND('Mapa final'!$AG$51="Media",'Mapa final'!$AI$51="Mayor"),CONCATENATE("R7C",'Mapa final'!$W$51),"")</f>
        <v/>
      </c>
      <c r="AE32" s="39" t="str">
        <f>IF(AND('Mapa final'!$AG$52="Media",'Mapa final'!$AI$52="Mayor"),CONCATENATE("R7C",'Mapa final'!$W$52),"")</f>
        <v/>
      </c>
      <c r="AF32" s="39" t="str">
        <f>IF(AND('Mapa final'!$AG$53="Media",'Mapa final'!$AI$53="Mayor"),CONCATENATE("R7C",'Mapa final'!$W$53),"")</f>
        <v/>
      </c>
      <c r="AG32" s="40" t="str">
        <f>IF(AND('Mapa final'!$AG$54="Media",'Mapa final'!$AI$54="Mayor"),CONCATENATE("R7C",'Mapa final'!$W$54),"")</f>
        <v/>
      </c>
      <c r="AH32" s="41" t="str">
        <f ca="1">IF(AND('Mapa final'!$AG$49="Media",'Mapa final'!$AI$49="Catastrófico"),CONCATENATE("R7C",'Mapa final'!$W$49),"")</f>
        <v/>
      </c>
      <c r="AI32" s="42" t="str">
        <f ca="1">IF(AND('Mapa final'!$AG$50="Media",'Mapa final'!$AI$50="Catastrófico"),CONCATENATE("R7C",'Mapa final'!$W$50),"")</f>
        <v/>
      </c>
      <c r="AJ32" s="42" t="str">
        <f>IF(AND('Mapa final'!$AG$51="Media",'Mapa final'!$AI$51="Catastrófico"),CONCATENATE("R7C",'Mapa final'!$W$51),"")</f>
        <v/>
      </c>
      <c r="AK32" s="42" t="str">
        <f>IF(AND('Mapa final'!$AG$52="Media",'Mapa final'!$AI$52="Catastrófico"),CONCATENATE("R7C",'Mapa final'!$W$52),"")</f>
        <v/>
      </c>
      <c r="AL32" s="42" t="str">
        <f>IF(AND('Mapa final'!$AG$53="Media",'Mapa final'!$AI$53="Catastrófico"),CONCATENATE("R7C",'Mapa final'!$W$53),"")</f>
        <v/>
      </c>
      <c r="AM32" s="43" t="str">
        <f>IF(AND('Mapa final'!$AG$54="Media",'Mapa final'!$AI$54="Catastrófico"),CONCATENATE("R7C",'Mapa final'!$W$54),"")</f>
        <v/>
      </c>
      <c r="AN32" s="69"/>
      <c r="AO32" s="476"/>
      <c r="AP32" s="477"/>
      <c r="AQ32" s="477"/>
      <c r="AR32" s="477"/>
      <c r="AS32" s="477"/>
      <c r="AT32" s="478"/>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row>
    <row r="33" spans="1:80" ht="15" customHeight="1" x14ac:dyDescent="0.25">
      <c r="A33" s="69"/>
      <c r="B33" s="431"/>
      <c r="C33" s="431"/>
      <c r="D33" s="432"/>
      <c r="E33" s="436"/>
      <c r="F33" s="437"/>
      <c r="G33" s="437"/>
      <c r="H33" s="437"/>
      <c r="I33" s="438"/>
      <c r="J33" s="53" t="str">
        <f ca="1">IF(AND('Mapa final'!$AG$55="Media",'Mapa final'!$AI$55="Leve"),CONCATENATE("R8C",'Mapa final'!$W$55),"")</f>
        <v/>
      </c>
      <c r="K33" s="54" t="str">
        <f ca="1">IF(AND('Mapa final'!$AG$56="Media",'Mapa final'!$AI$56="Leve"),CONCATENATE("R8C",'Mapa final'!$W$56),"")</f>
        <v/>
      </c>
      <c r="L33" s="54" t="str">
        <f ca="1">IF(AND('Mapa final'!$AG$57="Media",'Mapa final'!$AI$57="Leve"),CONCATENATE("R8C",'Mapa final'!$W$57),"")</f>
        <v/>
      </c>
      <c r="M33" s="54" t="str">
        <f ca="1">IF(AND('Mapa final'!$AG$58="Media",'Mapa final'!$AI$58="Leve"),CONCATENATE("R8C",'Mapa final'!$W$58),"")</f>
        <v/>
      </c>
      <c r="N33" s="54" t="str">
        <f>IF(AND('Mapa final'!$AG$59="Media",'Mapa final'!$AI$59="Leve"),CONCATENATE("R8C",'Mapa final'!$W$59),"")</f>
        <v/>
      </c>
      <c r="O33" s="55" t="str">
        <f>IF(AND('Mapa final'!$AG$60="Media",'Mapa final'!$AI$60="Leve"),CONCATENATE("R8C",'Mapa final'!$W$60),"")</f>
        <v/>
      </c>
      <c r="P33" s="53" t="str">
        <f ca="1">IF(AND('Mapa final'!$AG$55="Media",'Mapa final'!$AI$55="Menor"),CONCATENATE("R8C",'Mapa final'!$W$55),"")</f>
        <v/>
      </c>
      <c r="Q33" s="54" t="str">
        <f ca="1">IF(AND('Mapa final'!$AG$56="Media",'Mapa final'!$AI$56="Menor"),CONCATENATE("R8C",'Mapa final'!$W$56),"")</f>
        <v/>
      </c>
      <c r="R33" s="54" t="str">
        <f ca="1">IF(AND('Mapa final'!$AG$57="Media",'Mapa final'!$AI$57="Menor"),CONCATENATE("R8C",'Mapa final'!$W$57),"")</f>
        <v/>
      </c>
      <c r="S33" s="54" t="str">
        <f ca="1">IF(AND('Mapa final'!$AG$58="Media",'Mapa final'!$AI$58="Menor"),CONCATENATE("R8C",'Mapa final'!$W$58),"")</f>
        <v/>
      </c>
      <c r="T33" s="54" t="str">
        <f>IF(AND('Mapa final'!$AG$59="Media",'Mapa final'!$AI$59="Menor"),CONCATENATE("R8C",'Mapa final'!$W$59),"")</f>
        <v/>
      </c>
      <c r="U33" s="55" t="str">
        <f>IF(AND('Mapa final'!$AG$60="Media",'Mapa final'!$AI$60="Menor"),CONCATENATE("R8C",'Mapa final'!$W$60),"")</f>
        <v/>
      </c>
      <c r="V33" s="53" t="str">
        <f ca="1">IF(AND('Mapa final'!$AG$55="Media",'Mapa final'!$AI$55="Moderado"),CONCATENATE("R8C",'Mapa final'!$W$55),"")</f>
        <v>R8C1</v>
      </c>
      <c r="W33" s="54" t="str">
        <f ca="1">IF(AND('Mapa final'!$AG$56="Media",'Mapa final'!$AI$56="Moderado"),CONCATENATE("R8C",'Mapa final'!$W$56),"")</f>
        <v/>
      </c>
      <c r="X33" s="54" t="str">
        <f ca="1">IF(AND('Mapa final'!$AG$57="Media",'Mapa final'!$AI$57="Moderado"),CONCATENATE("R8C",'Mapa final'!$W$57),"")</f>
        <v/>
      </c>
      <c r="Y33" s="54" t="str">
        <f ca="1">IF(AND('Mapa final'!$AG$58="Media",'Mapa final'!$AI$58="Moderado"),CONCATENATE("R8C",'Mapa final'!$W$58),"")</f>
        <v/>
      </c>
      <c r="Z33" s="54" t="str">
        <f>IF(AND('Mapa final'!$AG$59="Media",'Mapa final'!$AI$59="Moderado"),CONCATENATE("R8C",'Mapa final'!$W$59),"")</f>
        <v/>
      </c>
      <c r="AA33" s="55" t="str">
        <f>IF(AND('Mapa final'!$AG$60="Media",'Mapa final'!$AI$60="Moderado"),CONCATENATE("R8C",'Mapa final'!$W$60),"")</f>
        <v/>
      </c>
      <c r="AB33" s="38" t="str">
        <f ca="1">IF(AND('Mapa final'!$AG$55="Media",'Mapa final'!$AI$55="Mayor"),CONCATENATE("R8C",'Mapa final'!$W$55),"")</f>
        <v/>
      </c>
      <c r="AC33" s="39" t="str">
        <f ca="1">IF(AND('Mapa final'!$AG$56="Media",'Mapa final'!$AI$56="Mayor"),CONCATENATE("R8C",'Mapa final'!$W$56),"")</f>
        <v/>
      </c>
      <c r="AD33" s="39" t="str">
        <f ca="1">IF(AND('Mapa final'!$AG$57="Media",'Mapa final'!$AI$57="Mayor"),CONCATENATE("R8C",'Mapa final'!$W$57),"")</f>
        <v/>
      </c>
      <c r="AE33" s="39" t="str">
        <f ca="1">IF(AND('Mapa final'!$AG$58="Media",'Mapa final'!$AI$58="Mayor"),CONCATENATE("R8C",'Mapa final'!$W$58),"")</f>
        <v/>
      </c>
      <c r="AF33" s="39" t="str">
        <f>IF(AND('Mapa final'!$AG$59="Media",'Mapa final'!$AI$59="Mayor"),CONCATENATE("R8C",'Mapa final'!$W$59),"")</f>
        <v/>
      </c>
      <c r="AG33" s="40" t="str">
        <f>IF(AND('Mapa final'!$AG$60="Media",'Mapa final'!$AI$60="Mayor"),CONCATENATE("R8C",'Mapa final'!$W$60),"")</f>
        <v/>
      </c>
      <c r="AH33" s="41" t="str">
        <f ca="1">IF(AND('Mapa final'!$AG$55="Media",'Mapa final'!$AI$55="Catastrófico"),CONCATENATE("R8C",'Mapa final'!$W$55),"")</f>
        <v/>
      </c>
      <c r="AI33" s="42" t="str">
        <f ca="1">IF(AND('Mapa final'!$AG$56="Media",'Mapa final'!$AI$56="Catastrófico"),CONCATENATE("R8C",'Mapa final'!$W$56),"")</f>
        <v/>
      </c>
      <c r="AJ33" s="42" t="str">
        <f ca="1">IF(AND('Mapa final'!$AG$57="Media",'Mapa final'!$AI$57="Catastrófico"),CONCATENATE("R8C",'Mapa final'!$W$57),"")</f>
        <v/>
      </c>
      <c r="AK33" s="42" t="str">
        <f ca="1">IF(AND('Mapa final'!$AG$58="Media",'Mapa final'!$AI$58="Catastrófico"),CONCATENATE("R8C",'Mapa final'!$W$58),"")</f>
        <v/>
      </c>
      <c r="AL33" s="42" t="str">
        <f>IF(AND('Mapa final'!$AG$59="Media",'Mapa final'!$AI$59="Catastrófico"),CONCATENATE("R8C",'Mapa final'!$W$59),"")</f>
        <v/>
      </c>
      <c r="AM33" s="43" t="str">
        <f>IF(AND('Mapa final'!$AG$60="Media",'Mapa final'!$AI$60="Catastrófico"),CONCATENATE("R8C",'Mapa final'!$W$60),"")</f>
        <v/>
      </c>
      <c r="AN33" s="69"/>
      <c r="AO33" s="476"/>
      <c r="AP33" s="477"/>
      <c r="AQ33" s="477"/>
      <c r="AR33" s="477"/>
      <c r="AS33" s="477"/>
      <c r="AT33" s="478"/>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row>
    <row r="34" spans="1:80" ht="15" customHeight="1" x14ac:dyDescent="0.25">
      <c r="A34" s="69"/>
      <c r="B34" s="431"/>
      <c r="C34" s="431"/>
      <c r="D34" s="432"/>
      <c r="E34" s="436"/>
      <c r="F34" s="437"/>
      <c r="G34" s="437"/>
      <c r="H34" s="437"/>
      <c r="I34" s="438"/>
      <c r="J34" s="53" t="str">
        <f ca="1">IF(AND('Mapa final'!$AG$61="Media",'Mapa final'!$AI$61="Leve"),CONCATENATE("R9C",'Mapa final'!$W$61),"")</f>
        <v/>
      </c>
      <c r="K34" s="54" t="str">
        <f ca="1">IF(AND('Mapa final'!$AG$62="Media",'Mapa final'!$AI$62="Leve"),CONCATENATE("R9C",'Mapa final'!$W$62),"")</f>
        <v/>
      </c>
      <c r="L34" s="54" t="str">
        <f ca="1">IF(AND('Mapa final'!$AG$63="Media",'Mapa final'!$AI$63="Leve"),CONCATENATE("R9C",'Mapa final'!$W$63),"")</f>
        <v/>
      </c>
      <c r="M34" s="54" t="str">
        <f ca="1">IF(AND('Mapa final'!$AG$64="Media",'Mapa final'!$AI$64="Leve"),CONCATENATE("R9C",'Mapa final'!$W$64),"")</f>
        <v/>
      </c>
      <c r="N34" s="54" t="str">
        <f ca="1">IF(AND('Mapa final'!$AG$65="Media",'Mapa final'!$AI$65="Leve"),CONCATENATE("R9C",'Mapa final'!$W$65),"")</f>
        <v/>
      </c>
      <c r="O34" s="55" t="str">
        <f ca="1">IF(AND('Mapa final'!$AG$66="Media",'Mapa final'!$AI$66="Leve"),CONCATENATE("R9C",'Mapa final'!$W$66),"")</f>
        <v/>
      </c>
      <c r="P34" s="53" t="str">
        <f ca="1">IF(AND('Mapa final'!$AG$61="Media",'Mapa final'!$AI$61="Menor"),CONCATENATE("R9C",'Mapa final'!$W$61),"")</f>
        <v/>
      </c>
      <c r="Q34" s="54" t="str">
        <f ca="1">IF(AND('Mapa final'!$AG$62="Media",'Mapa final'!$AI$62="Menor"),CONCATENATE("R9C",'Mapa final'!$W$62),"")</f>
        <v/>
      </c>
      <c r="R34" s="54" t="str">
        <f ca="1">IF(AND('Mapa final'!$AG$63="Media",'Mapa final'!$AI$63="Menor"),CONCATENATE("R9C",'Mapa final'!$W$63),"")</f>
        <v/>
      </c>
      <c r="S34" s="54" t="str">
        <f ca="1">IF(AND('Mapa final'!$AG$64="Media",'Mapa final'!$AI$64="Menor"),CONCATENATE("R9C",'Mapa final'!$W$64),"")</f>
        <v/>
      </c>
      <c r="T34" s="54" t="str">
        <f ca="1">IF(AND('Mapa final'!$AG$65="Media",'Mapa final'!$AI$65="Menor"),CONCATENATE("R9C",'Mapa final'!$W$65),"")</f>
        <v/>
      </c>
      <c r="U34" s="55" t="str">
        <f ca="1">IF(AND('Mapa final'!$AG$66="Media",'Mapa final'!$AI$66="Menor"),CONCATENATE("R9C",'Mapa final'!$W$66),"")</f>
        <v/>
      </c>
      <c r="V34" s="53" t="str">
        <f ca="1">IF(AND('Mapa final'!$AG$61="Media",'Mapa final'!$AI$61="Moderado"),CONCATENATE("R9C",'Mapa final'!$W$61),"")</f>
        <v/>
      </c>
      <c r="W34" s="54" t="str">
        <f ca="1">IF(AND('Mapa final'!$AG$62="Media",'Mapa final'!$AI$62="Moderado"),CONCATENATE("R9C",'Mapa final'!$W$62),"")</f>
        <v/>
      </c>
      <c r="X34" s="54" t="str">
        <f ca="1">IF(AND('Mapa final'!$AG$63="Media",'Mapa final'!$AI$63="Moderado"),CONCATENATE("R9C",'Mapa final'!$W$63),"")</f>
        <v/>
      </c>
      <c r="Y34" s="54" t="str">
        <f ca="1">IF(AND('Mapa final'!$AG$64="Media",'Mapa final'!$AI$64="Moderado"),CONCATENATE("R9C",'Mapa final'!$W$64),"")</f>
        <v/>
      </c>
      <c r="Z34" s="54" t="str">
        <f ca="1">IF(AND('Mapa final'!$AG$65="Media",'Mapa final'!$AI$65="Moderado"),CONCATENATE("R9C",'Mapa final'!$W$65),"")</f>
        <v/>
      </c>
      <c r="AA34" s="55" t="str">
        <f ca="1">IF(AND('Mapa final'!$AG$66="Media",'Mapa final'!$AI$66="Moderado"),CONCATENATE("R9C",'Mapa final'!$W$66),"")</f>
        <v/>
      </c>
      <c r="AB34" s="38" t="str">
        <f ca="1">IF(AND('Mapa final'!$AG$61="Media",'Mapa final'!$AI$61="Mayor"),CONCATENATE("R9C",'Mapa final'!$W$61),"")</f>
        <v/>
      </c>
      <c r="AC34" s="39" t="str">
        <f ca="1">IF(AND('Mapa final'!$AG$62="Media",'Mapa final'!$AI$62="Mayor"),CONCATENATE("R9C",'Mapa final'!$W$62),"")</f>
        <v/>
      </c>
      <c r="AD34" s="39" t="str">
        <f ca="1">IF(AND('Mapa final'!$AG$63="Media",'Mapa final'!$AI$63="Mayor"),CONCATENATE("R9C",'Mapa final'!$W$63),"")</f>
        <v/>
      </c>
      <c r="AE34" s="39" t="str">
        <f ca="1">IF(AND('Mapa final'!$AG$64="Media",'Mapa final'!$AI$64="Mayor"),CONCATENATE("R9C",'Mapa final'!$W$64),"")</f>
        <v/>
      </c>
      <c r="AF34" s="39" t="str">
        <f ca="1">IF(AND('Mapa final'!$AG$65="Media",'Mapa final'!$AI$65="Mayor"),CONCATENATE("R9C",'Mapa final'!$W$65),"")</f>
        <v/>
      </c>
      <c r="AG34" s="40" t="str">
        <f ca="1">IF(AND('Mapa final'!$AG$66="Media",'Mapa final'!$AI$66="Mayor"),CONCATENATE("R9C",'Mapa final'!$W$66),"")</f>
        <v/>
      </c>
      <c r="AH34" s="41" t="str">
        <f ca="1">IF(AND('Mapa final'!$AG$61="Media",'Mapa final'!$AI$61="Catastrófico"),CONCATENATE("R9C",'Mapa final'!$W$61),"")</f>
        <v/>
      </c>
      <c r="AI34" s="42" t="str">
        <f ca="1">IF(AND('Mapa final'!$AG$62="Media",'Mapa final'!$AI$62="Catastrófico"),CONCATENATE("R9C",'Mapa final'!$W$62),"")</f>
        <v/>
      </c>
      <c r="AJ34" s="42" t="str">
        <f ca="1">IF(AND('Mapa final'!$AG$63="Media",'Mapa final'!$AI$63="Catastrófico"),CONCATENATE("R9C",'Mapa final'!$W$63),"")</f>
        <v/>
      </c>
      <c r="AK34" s="42" t="str">
        <f ca="1">IF(AND('Mapa final'!$AG$64="Media",'Mapa final'!$AI$64="Catastrófico"),CONCATENATE("R9C",'Mapa final'!$W$64),"")</f>
        <v/>
      </c>
      <c r="AL34" s="42" t="str">
        <f ca="1">IF(AND('Mapa final'!$AG$65="Media",'Mapa final'!$AI$65="Catastrófico"),CONCATENATE("R9C",'Mapa final'!$W$65),"")</f>
        <v/>
      </c>
      <c r="AM34" s="43" t="str">
        <f ca="1">IF(AND('Mapa final'!$AG$66="Media",'Mapa final'!$AI$66="Catastrófico"),CONCATENATE("R9C",'Mapa final'!$W$66),"")</f>
        <v/>
      </c>
      <c r="AN34" s="69"/>
      <c r="AO34" s="476"/>
      <c r="AP34" s="477"/>
      <c r="AQ34" s="477"/>
      <c r="AR34" s="477"/>
      <c r="AS34" s="477"/>
      <c r="AT34" s="478"/>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row>
    <row r="35" spans="1:80" ht="15.75" customHeight="1" thickBot="1" x14ac:dyDescent="0.3">
      <c r="A35" s="69"/>
      <c r="B35" s="431"/>
      <c r="C35" s="431"/>
      <c r="D35" s="432"/>
      <c r="E35" s="439"/>
      <c r="F35" s="440"/>
      <c r="G35" s="440"/>
      <c r="H35" s="440"/>
      <c r="I35" s="441"/>
      <c r="J35" s="53" t="str">
        <f ca="1">IF(AND('Mapa final'!$AG$67="Media",'Mapa final'!$AI$67="Leve"),CONCATENATE("R10C",'Mapa final'!$W$67),"")</f>
        <v/>
      </c>
      <c r="K35" s="54" t="str">
        <f ca="1">IF(AND('Mapa final'!$AG$68="Media",'Mapa final'!$AI$68="Leve"),CONCATENATE("R10C",'Mapa final'!$W$68),"")</f>
        <v/>
      </c>
      <c r="L35" s="54" t="str">
        <f>IF(AND('Mapa final'!$AG$69="Media",'Mapa final'!$AI$69="Leve"),CONCATENATE("R10C",'Mapa final'!$W$69),"")</f>
        <v/>
      </c>
      <c r="M35" s="54" t="str">
        <f>IF(AND('Mapa final'!$AG$70="Media",'Mapa final'!$AI$70="Leve"),CONCATENATE("R10C",'Mapa final'!$W$70),"")</f>
        <v/>
      </c>
      <c r="N35" s="54" t="str">
        <f>IF(AND('Mapa final'!$AG$71="Media",'Mapa final'!$AI$71="Leve"),CONCATENATE("R10C",'Mapa final'!$W$71),"")</f>
        <v/>
      </c>
      <c r="O35" s="55" t="str">
        <f>IF(AND('Mapa final'!$AG$72="Media",'Mapa final'!$AI$72="Leve"),CONCATENATE("R10C",'Mapa final'!$W$72),"")</f>
        <v/>
      </c>
      <c r="P35" s="53" t="str">
        <f ca="1">IF(AND('Mapa final'!$AG$67="Media",'Mapa final'!$AI$67="Menor"),CONCATENATE("R10C",'Mapa final'!$W$67),"")</f>
        <v/>
      </c>
      <c r="Q35" s="54" t="str">
        <f ca="1">IF(AND('Mapa final'!$AG$68="Media",'Mapa final'!$AI$68="Menor"),CONCATENATE("R10C",'Mapa final'!$W$68),"")</f>
        <v/>
      </c>
      <c r="R35" s="54" t="str">
        <f>IF(AND('Mapa final'!$AG$69="Media",'Mapa final'!$AI$69="Menor"),CONCATENATE("R10C",'Mapa final'!$W$69),"")</f>
        <v/>
      </c>
      <c r="S35" s="54" t="str">
        <f>IF(AND('Mapa final'!$AG$70="Media",'Mapa final'!$AI$70="Menor"),CONCATENATE("R10C",'Mapa final'!$W$70),"")</f>
        <v/>
      </c>
      <c r="T35" s="54" t="str">
        <f>IF(AND('Mapa final'!$AG$71="Media",'Mapa final'!$AI$71="Menor"),CONCATENATE("R10C",'Mapa final'!$W$71),"")</f>
        <v/>
      </c>
      <c r="U35" s="55" t="str">
        <f>IF(AND('Mapa final'!$AG$72="Media",'Mapa final'!$AI$72="Menor"),CONCATENATE("R10C",'Mapa final'!$W$72),"")</f>
        <v/>
      </c>
      <c r="V35" s="53" t="str">
        <f ca="1">IF(AND('Mapa final'!$AG$67="Media",'Mapa final'!$AI$67="Moderado"),CONCATENATE("R10C",'Mapa final'!$W$67),"")</f>
        <v/>
      </c>
      <c r="W35" s="54" t="str">
        <f ca="1">IF(AND('Mapa final'!$AG$68="Media",'Mapa final'!$AI$68="Moderado"),CONCATENATE("R10C",'Mapa final'!$W$68),"")</f>
        <v/>
      </c>
      <c r="X35" s="54" t="str">
        <f>IF(AND('Mapa final'!$AG$69="Media",'Mapa final'!$AI$69="Moderado"),CONCATENATE("R10C",'Mapa final'!$W$69),"")</f>
        <v/>
      </c>
      <c r="Y35" s="54" t="str">
        <f>IF(AND('Mapa final'!$AG$70="Media",'Mapa final'!$AI$70="Moderado"),CONCATENATE("R10C",'Mapa final'!$W$70),"")</f>
        <v/>
      </c>
      <c r="Z35" s="54" t="str">
        <f>IF(AND('Mapa final'!$AG$71="Media",'Mapa final'!$AI$71="Moderado"),CONCATENATE("R10C",'Mapa final'!$W$71),"")</f>
        <v/>
      </c>
      <c r="AA35" s="55" t="str">
        <f>IF(AND('Mapa final'!$AG$72="Media",'Mapa final'!$AI$72="Moderado"),CONCATENATE("R10C",'Mapa final'!$W$72),"")</f>
        <v/>
      </c>
      <c r="AB35" s="44" t="str">
        <f ca="1">IF(AND('Mapa final'!$AG$67="Media",'Mapa final'!$AI$67="Mayor"),CONCATENATE("R10C",'Mapa final'!$W$67),"")</f>
        <v>R10C1</v>
      </c>
      <c r="AC35" s="45" t="str">
        <f ca="1">IF(AND('Mapa final'!$AG$68="Media",'Mapa final'!$AI$68="Mayor"),CONCATENATE("R10C",'Mapa final'!$W$68),"")</f>
        <v/>
      </c>
      <c r="AD35" s="45" t="str">
        <f>IF(AND('Mapa final'!$AG$69="Media",'Mapa final'!$AI$69="Mayor"),CONCATENATE("R10C",'Mapa final'!$W$69),"")</f>
        <v/>
      </c>
      <c r="AE35" s="45" t="str">
        <f>IF(AND('Mapa final'!$AG$70="Media",'Mapa final'!$AI$70="Mayor"),CONCATENATE("R10C",'Mapa final'!$W$70),"")</f>
        <v/>
      </c>
      <c r="AF35" s="45" t="str">
        <f>IF(AND('Mapa final'!$AG$71="Media",'Mapa final'!$AI$71="Mayor"),CONCATENATE("R10C",'Mapa final'!$W$71),"")</f>
        <v/>
      </c>
      <c r="AG35" s="46" t="str">
        <f>IF(AND('Mapa final'!$AG$72="Media",'Mapa final'!$AI$72="Mayor"),CONCATENATE("R10C",'Mapa final'!$W$72),"")</f>
        <v/>
      </c>
      <c r="AH35" s="47" t="str">
        <f ca="1">IF(AND('Mapa final'!$AG$67="Media",'Mapa final'!$AI$67="Catastrófico"),CONCATENATE("R10C",'Mapa final'!$W$67),"")</f>
        <v/>
      </c>
      <c r="AI35" s="48" t="str">
        <f ca="1">IF(AND('Mapa final'!$AG$68="Media",'Mapa final'!$AI$68="Catastrófico"),CONCATENATE("R10C",'Mapa final'!$W$68),"")</f>
        <v/>
      </c>
      <c r="AJ35" s="48" t="str">
        <f>IF(AND('Mapa final'!$AG$69="Media",'Mapa final'!$AI$69="Catastrófico"),CONCATENATE("R10C",'Mapa final'!$W$69),"")</f>
        <v/>
      </c>
      <c r="AK35" s="48" t="str">
        <f>IF(AND('Mapa final'!$AG$70="Media",'Mapa final'!$AI$70="Catastrófico"),CONCATENATE("R10C",'Mapa final'!$W$70),"")</f>
        <v/>
      </c>
      <c r="AL35" s="48" t="str">
        <f>IF(AND('Mapa final'!$AG$71="Media",'Mapa final'!$AI$71="Catastrófico"),CONCATENATE("R10C",'Mapa final'!$W$71),"")</f>
        <v/>
      </c>
      <c r="AM35" s="49" t="str">
        <f>IF(AND('Mapa final'!$AG$72="Media",'Mapa final'!$AI$72="Catastrófico"),CONCATENATE("R10C",'Mapa final'!$W$72),"")</f>
        <v/>
      </c>
      <c r="AN35" s="69"/>
      <c r="AO35" s="479"/>
      <c r="AP35" s="480"/>
      <c r="AQ35" s="480"/>
      <c r="AR35" s="480"/>
      <c r="AS35" s="480"/>
      <c r="AT35" s="481"/>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row>
    <row r="36" spans="1:80" ht="15" customHeight="1" x14ac:dyDescent="0.25">
      <c r="A36" s="69"/>
      <c r="B36" s="431"/>
      <c r="C36" s="431"/>
      <c r="D36" s="432"/>
      <c r="E36" s="433" t="s">
        <v>138</v>
      </c>
      <c r="F36" s="434"/>
      <c r="G36" s="434"/>
      <c r="H36" s="434"/>
      <c r="I36" s="434"/>
      <c r="J36" s="59" t="str">
        <f ca="1">IF(AND('Mapa final'!$AG$13="Baja",'Mapa final'!$AI$13="Leve"),CONCATENATE("R1C",'Mapa final'!$W$13),"")</f>
        <v/>
      </c>
      <c r="K36" s="60" t="str">
        <f ca="1">IF(AND('Mapa final'!$AG$14="Baja",'Mapa final'!$AI$14="Leve"),CONCATENATE("R1C",'Mapa final'!$W$14),"")</f>
        <v/>
      </c>
      <c r="L36" s="60" t="str">
        <f>IF(AND('Mapa final'!$AG$15="Baja",'Mapa final'!$AI$15="Leve"),CONCATENATE("R1C",'Mapa final'!$W$15),"")</f>
        <v/>
      </c>
      <c r="M36" s="60" t="str">
        <f>IF(AND('Mapa final'!$AG$16="Baja",'Mapa final'!$AI$16="Leve"),CONCATENATE("R1C",'Mapa final'!$W$16),"")</f>
        <v/>
      </c>
      <c r="N36" s="60" t="str">
        <f>IF(AND('Mapa final'!$AG$17="Baja",'Mapa final'!$AI$17="Leve"),CONCATENATE("R1C",'Mapa final'!$W$17),"")</f>
        <v/>
      </c>
      <c r="O36" s="61" t="str">
        <f>IF(AND('Mapa final'!$AG$18="Baja",'Mapa final'!$AI$18="Leve"),CONCATENATE("R1C",'Mapa final'!$W$18),"")</f>
        <v/>
      </c>
      <c r="P36" s="50" t="str">
        <f ca="1">IF(AND('Mapa final'!$AG$13="Baja",'Mapa final'!$AI$13="Menor"),CONCATENATE("R1C",'Mapa final'!$W$13),"")</f>
        <v/>
      </c>
      <c r="Q36" s="51" t="str">
        <f ca="1">IF(AND('Mapa final'!$AG$14="Baja",'Mapa final'!$AI$14="Menor"),CONCATENATE("R1C",'Mapa final'!$W$14),"")</f>
        <v>R1C2</v>
      </c>
      <c r="R36" s="51" t="str">
        <f>IF(AND('Mapa final'!$AG$15="Baja",'Mapa final'!$AI$15="Menor"),CONCATENATE("R1C",'Mapa final'!$W$15),"")</f>
        <v/>
      </c>
      <c r="S36" s="51" t="str">
        <f>IF(AND('Mapa final'!$AG$16="Baja",'Mapa final'!$AI$16="Menor"),CONCATENATE("R1C",'Mapa final'!$W$16),"")</f>
        <v/>
      </c>
      <c r="T36" s="51" t="str">
        <f>IF(AND('Mapa final'!$AG$17="Baja",'Mapa final'!$AI$17="Menor"),CONCATENATE("R1C",'Mapa final'!$W$17),"")</f>
        <v/>
      </c>
      <c r="U36" s="52" t="str">
        <f>IF(AND('Mapa final'!$AG$18="Baja",'Mapa final'!$AI$18="Menor"),CONCATENATE("R1C",'Mapa final'!$W$18),"")</f>
        <v/>
      </c>
      <c r="V36" s="50" t="str">
        <f ca="1">IF(AND('Mapa final'!$AG$13="Baja",'Mapa final'!$AI$13="Moderado"),CONCATENATE("R1C",'Mapa final'!$W$13),"")</f>
        <v/>
      </c>
      <c r="W36" s="51" t="str">
        <f ca="1">IF(AND('Mapa final'!$AG$14="Baja",'Mapa final'!$AI$14="Moderado"),CONCATENATE("R1C",'Mapa final'!$W$14),"")</f>
        <v/>
      </c>
      <c r="X36" s="51" t="str">
        <f>IF(AND('Mapa final'!$AG$15="Baja",'Mapa final'!$AI$15="Moderado"),CONCATENATE("R1C",'Mapa final'!$W$15),"")</f>
        <v/>
      </c>
      <c r="Y36" s="51" t="str">
        <f>IF(AND('Mapa final'!$AG$16="Baja",'Mapa final'!$AI$16="Moderado"),CONCATENATE("R1C",'Mapa final'!$W$16),"")</f>
        <v/>
      </c>
      <c r="Z36" s="51" t="str">
        <f>IF(AND('Mapa final'!$AG$17="Baja",'Mapa final'!$AI$17="Moderado"),CONCATENATE("R1C",'Mapa final'!$W$17),"")</f>
        <v/>
      </c>
      <c r="AA36" s="52" t="str">
        <f>IF(AND('Mapa final'!$AG$18="Baja",'Mapa final'!$AI$18="Moderado"),CONCATENATE("R1C",'Mapa final'!$W$18),"")</f>
        <v/>
      </c>
      <c r="AB36" s="32" t="str">
        <f ca="1">IF(AND('Mapa final'!$AG$13="Baja",'Mapa final'!$AI$13="Mayor"),CONCATENATE("R1C",'Mapa final'!$W$13),"")</f>
        <v/>
      </c>
      <c r="AC36" s="33" t="str">
        <f ca="1">IF(AND('Mapa final'!$AG$14="Baja",'Mapa final'!$AI$14="Mayor"),CONCATENATE("R1C",'Mapa final'!$W$14),"")</f>
        <v/>
      </c>
      <c r="AD36" s="33" t="str">
        <f>IF(AND('Mapa final'!$AG$15="Baja",'Mapa final'!$AI$15="Mayor"),CONCATENATE("R1C",'Mapa final'!$W$15),"")</f>
        <v/>
      </c>
      <c r="AE36" s="33" t="str">
        <f>IF(AND('Mapa final'!$AG$16="Baja",'Mapa final'!$AI$16="Mayor"),CONCATENATE("R1C",'Mapa final'!$W$16),"")</f>
        <v/>
      </c>
      <c r="AF36" s="33" t="str">
        <f>IF(AND('Mapa final'!$AG$17="Baja",'Mapa final'!$AI$17="Mayor"),CONCATENATE("R1C",'Mapa final'!$W$17),"")</f>
        <v/>
      </c>
      <c r="AG36" s="34" t="str">
        <f>IF(AND('Mapa final'!$AG$18="Baja",'Mapa final'!$AI$18="Mayor"),CONCATENATE("R1C",'Mapa final'!$W$18),"")</f>
        <v/>
      </c>
      <c r="AH36" s="35" t="str">
        <f ca="1">IF(AND('Mapa final'!$AG$13="Baja",'Mapa final'!$AI$13="Catastrófico"),CONCATENATE("R1C",'Mapa final'!$W$13),"")</f>
        <v/>
      </c>
      <c r="AI36" s="36" t="str">
        <f ca="1">IF(AND('Mapa final'!$AG$14="Baja",'Mapa final'!$AI$14="Catastrófico"),CONCATENATE("R1C",'Mapa final'!$W$14),"")</f>
        <v/>
      </c>
      <c r="AJ36" s="36" t="str">
        <f>IF(AND('Mapa final'!$AG$15="Baja",'Mapa final'!$AI$15="Catastrófico"),CONCATENATE("R1C",'Mapa final'!$W$15),"")</f>
        <v/>
      </c>
      <c r="AK36" s="36" t="str">
        <f>IF(AND('Mapa final'!$AG$16="Baja",'Mapa final'!$AI$16="Catastrófico"),CONCATENATE("R1C",'Mapa final'!$W$16),"")</f>
        <v/>
      </c>
      <c r="AL36" s="36" t="str">
        <f>IF(AND('Mapa final'!$AG$17="Baja",'Mapa final'!$AI$17="Catastrófico"),CONCATENATE("R1C",'Mapa final'!$W$17),"")</f>
        <v/>
      </c>
      <c r="AM36" s="37" t="str">
        <f>IF(AND('Mapa final'!$AG$18="Baja",'Mapa final'!$AI$18="Catastrófico"),CONCATENATE("R1C",'Mapa final'!$W$18),"")</f>
        <v/>
      </c>
      <c r="AN36" s="69"/>
      <c r="AO36" s="455" t="s">
        <v>139</v>
      </c>
      <c r="AP36" s="456"/>
      <c r="AQ36" s="456"/>
      <c r="AR36" s="456"/>
      <c r="AS36" s="456"/>
      <c r="AT36" s="457"/>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row>
    <row r="37" spans="1:80" ht="15" customHeight="1" x14ac:dyDescent="0.25">
      <c r="A37" s="69"/>
      <c r="B37" s="431"/>
      <c r="C37" s="431"/>
      <c r="D37" s="432"/>
      <c r="E37" s="443"/>
      <c r="F37" s="437"/>
      <c r="G37" s="437"/>
      <c r="H37" s="437"/>
      <c r="I37" s="437"/>
      <c r="J37" s="62" t="str">
        <f ca="1">IF(AND('Mapa final'!$AG$19="Baja",'Mapa final'!$AI$19="Leve"),CONCATENATE("R2C",'Mapa final'!$W$19),"")</f>
        <v/>
      </c>
      <c r="K37" s="63" t="str">
        <f ca="1">IF(AND('Mapa final'!$AG$20="Baja",'Mapa final'!$AI$20="Leve"),CONCATENATE("R2C",'Mapa final'!$W$20),"")</f>
        <v/>
      </c>
      <c r="L37" s="63" t="str">
        <f>IF(AND('Mapa final'!$AG$21="Baja",'Mapa final'!$AI$21="Leve"),CONCATENATE("R2C",'Mapa final'!$W$21),"")</f>
        <v/>
      </c>
      <c r="M37" s="63" t="str">
        <f>IF(AND('Mapa final'!$AG$22="Baja",'Mapa final'!$AI$22="Leve"),CONCATENATE("R2C",'Mapa final'!$W$22),"")</f>
        <v/>
      </c>
      <c r="N37" s="63" t="str">
        <f>IF(AND('Mapa final'!$AG$23="Baja",'Mapa final'!$AI$23="Leve"),CONCATENATE("R2C",'Mapa final'!$W$23),"")</f>
        <v/>
      </c>
      <c r="O37" s="64" t="str">
        <f>IF(AND('Mapa final'!$AG$24="Baja",'Mapa final'!$AI$24="Leve"),CONCATENATE("R2C",'Mapa final'!$W$24),"")</f>
        <v/>
      </c>
      <c r="P37" s="53" t="str">
        <f ca="1">IF(AND('Mapa final'!$AG$19="Baja",'Mapa final'!$AI$19="Menor"),CONCATENATE("R2C",'Mapa final'!$W$19),"")</f>
        <v/>
      </c>
      <c r="Q37" s="54" t="str">
        <f ca="1">IF(AND('Mapa final'!$AG$20="Baja",'Mapa final'!$AI$20="Menor"),CONCATENATE("R2C",'Mapa final'!$W$20),"")</f>
        <v/>
      </c>
      <c r="R37" s="54" t="str">
        <f>IF(AND('Mapa final'!$AG$21="Baja",'Mapa final'!$AI$21="Menor"),CONCATENATE("R2C",'Mapa final'!$W$21),"")</f>
        <v/>
      </c>
      <c r="S37" s="54" t="str">
        <f>IF(AND('Mapa final'!$AG$22="Baja",'Mapa final'!$AI$22="Menor"),CONCATENATE("R2C",'Mapa final'!$W$22),"")</f>
        <v/>
      </c>
      <c r="T37" s="54" t="str">
        <f>IF(AND('Mapa final'!$AG$23="Baja",'Mapa final'!$AI$23="Menor"),CONCATENATE("R2C",'Mapa final'!$W$23),"")</f>
        <v/>
      </c>
      <c r="U37" s="55" t="str">
        <f>IF(AND('Mapa final'!$AG$24="Baja",'Mapa final'!$AI$24="Menor"),CONCATENATE("R2C",'Mapa final'!$W$24),"")</f>
        <v/>
      </c>
      <c r="V37" s="53" t="str">
        <f ca="1">IF(AND('Mapa final'!$AG$19="Baja",'Mapa final'!$AI$19="Moderado"),CONCATENATE("R2C",'Mapa final'!$W$19),"")</f>
        <v>R2C1</v>
      </c>
      <c r="W37" s="54" t="str">
        <f ca="1">IF(AND('Mapa final'!$AG$20="Baja",'Mapa final'!$AI$20="Moderado"),CONCATENATE("R2C",'Mapa final'!$W$20),"")</f>
        <v>R2C2</v>
      </c>
      <c r="X37" s="54" t="str">
        <f>IF(AND('Mapa final'!$AG$21="Baja",'Mapa final'!$AI$21="Moderado"),CONCATENATE("R2C",'Mapa final'!$W$21),"")</f>
        <v/>
      </c>
      <c r="Y37" s="54" t="str">
        <f>IF(AND('Mapa final'!$AG$22="Baja",'Mapa final'!$AI$22="Moderado"),CONCATENATE("R2C",'Mapa final'!$W$22),"")</f>
        <v/>
      </c>
      <c r="Z37" s="54" t="str">
        <f>IF(AND('Mapa final'!$AG$23="Baja",'Mapa final'!$AI$23="Moderado"),CONCATENATE("R2C",'Mapa final'!$W$23),"")</f>
        <v/>
      </c>
      <c r="AA37" s="55" t="str">
        <f>IF(AND('Mapa final'!$AG$24="Baja",'Mapa final'!$AI$24="Moderado"),CONCATENATE("R2C",'Mapa final'!$W$24),"")</f>
        <v/>
      </c>
      <c r="AB37" s="38" t="str">
        <f ca="1">IF(AND('Mapa final'!$AG$19="Baja",'Mapa final'!$AI$19="Mayor"),CONCATENATE("R2C",'Mapa final'!$W$19),"")</f>
        <v/>
      </c>
      <c r="AC37" s="39" t="str">
        <f ca="1">IF(AND('Mapa final'!$AG$20="Baja",'Mapa final'!$AI$20="Mayor"),CONCATENATE("R2C",'Mapa final'!$W$20),"")</f>
        <v/>
      </c>
      <c r="AD37" s="39" t="str">
        <f>IF(AND('Mapa final'!$AG$21="Baja",'Mapa final'!$AI$21="Mayor"),CONCATENATE("R2C",'Mapa final'!$W$21),"")</f>
        <v/>
      </c>
      <c r="AE37" s="39" t="str">
        <f>IF(AND('Mapa final'!$AG$22="Baja",'Mapa final'!$AI$22="Mayor"),CONCATENATE("R2C",'Mapa final'!$W$22),"")</f>
        <v/>
      </c>
      <c r="AF37" s="39" t="str">
        <f>IF(AND('Mapa final'!$AG$23="Baja",'Mapa final'!$AI$23="Mayor"),CONCATENATE("R2C",'Mapa final'!$W$23),"")</f>
        <v/>
      </c>
      <c r="AG37" s="40" t="str">
        <f>IF(AND('Mapa final'!$AG$24="Baja",'Mapa final'!$AI$24="Mayor"),CONCATENATE("R2C",'Mapa final'!$W$24),"")</f>
        <v/>
      </c>
      <c r="AH37" s="41" t="str">
        <f ca="1">IF(AND('Mapa final'!$AG$19="Baja",'Mapa final'!$AI$19="Catastrófico"),CONCATENATE("R2C",'Mapa final'!$W$19),"")</f>
        <v/>
      </c>
      <c r="AI37" s="42" t="str">
        <f ca="1">IF(AND('Mapa final'!$AG$20="Baja",'Mapa final'!$AI$20="Catastrófico"),CONCATENATE("R2C",'Mapa final'!$W$20),"")</f>
        <v/>
      </c>
      <c r="AJ37" s="42" t="str">
        <f>IF(AND('Mapa final'!$AG$21="Baja",'Mapa final'!$AI$21="Catastrófico"),CONCATENATE("R2C",'Mapa final'!$W$21),"")</f>
        <v/>
      </c>
      <c r="AK37" s="42" t="str">
        <f>IF(AND('Mapa final'!$AG$22="Baja",'Mapa final'!$AI$22="Catastrófico"),CONCATENATE("R2C",'Mapa final'!$W$22),"")</f>
        <v/>
      </c>
      <c r="AL37" s="42" t="str">
        <f>IF(AND('Mapa final'!$AG$23="Baja",'Mapa final'!$AI$23="Catastrófico"),CONCATENATE("R2C",'Mapa final'!$W$23),"")</f>
        <v/>
      </c>
      <c r="AM37" s="43" t="str">
        <f>IF(AND('Mapa final'!$AG$24="Baja",'Mapa final'!$AI$24="Catastrófico"),CONCATENATE("R2C",'Mapa final'!$W$24),"")</f>
        <v/>
      </c>
      <c r="AN37" s="69"/>
      <c r="AO37" s="458"/>
      <c r="AP37" s="459"/>
      <c r="AQ37" s="459"/>
      <c r="AR37" s="459"/>
      <c r="AS37" s="459"/>
      <c r="AT37" s="460"/>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row>
    <row r="38" spans="1:80" ht="15" customHeight="1" x14ac:dyDescent="0.25">
      <c r="A38" s="69"/>
      <c r="B38" s="431"/>
      <c r="C38" s="431"/>
      <c r="D38" s="432"/>
      <c r="E38" s="436"/>
      <c r="F38" s="437"/>
      <c r="G38" s="437"/>
      <c r="H38" s="437"/>
      <c r="I38" s="437"/>
      <c r="J38" s="62" t="str">
        <f ca="1">IF(AND('Mapa final'!$AG$25="Baja",'Mapa final'!$AI$25="Leve"),CONCATENATE("R3C",'Mapa final'!$W$25),"")</f>
        <v/>
      </c>
      <c r="K38" s="63" t="str">
        <f ca="1">IF(AND('Mapa final'!$AG$26="Baja",'Mapa final'!$AI$26="Leve"),CONCATENATE("R3C",'Mapa final'!$W$26),"")</f>
        <v/>
      </c>
      <c r="L38" s="63" t="str">
        <f ca="1">IF(AND('Mapa final'!$AG$27="Baja",'Mapa final'!$AI$27="Leve"),CONCATENATE("R3C",'Mapa final'!$W$27),"")</f>
        <v/>
      </c>
      <c r="M38" s="63" t="str">
        <f>IF(AND('Mapa final'!$AG$28="Baja",'Mapa final'!$AI$28="Leve"),CONCATENATE("R3C",'Mapa final'!$W$28),"")</f>
        <v/>
      </c>
      <c r="N38" s="63" t="str">
        <f>IF(AND('Mapa final'!$AG$29="Baja",'Mapa final'!$AI$29="Leve"),CONCATENATE("R3C",'Mapa final'!$W$29),"")</f>
        <v/>
      </c>
      <c r="O38" s="64" t="str">
        <f>IF(AND('Mapa final'!$AG$30="Baja",'Mapa final'!$AI$30="Leve"),CONCATENATE("R3C",'Mapa final'!$W$30),"")</f>
        <v/>
      </c>
      <c r="P38" s="53" t="str">
        <f ca="1">IF(AND('Mapa final'!$AG$25="Baja",'Mapa final'!$AI$25="Menor"),CONCATENATE("R3C",'Mapa final'!$W$25),"")</f>
        <v/>
      </c>
      <c r="Q38" s="54" t="str">
        <f ca="1">IF(AND('Mapa final'!$AG$26="Baja",'Mapa final'!$AI$26="Menor"),CONCATENATE("R3C",'Mapa final'!$W$26),"")</f>
        <v/>
      </c>
      <c r="R38" s="54" t="str">
        <f ca="1">IF(AND('Mapa final'!$AG$27="Baja",'Mapa final'!$AI$27="Menor"),CONCATENATE("R3C",'Mapa final'!$W$27),"")</f>
        <v/>
      </c>
      <c r="S38" s="54" t="str">
        <f>IF(AND('Mapa final'!$AG$28="Baja",'Mapa final'!$AI$28="Menor"),CONCATENATE("R3C",'Mapa final'!$W$28),"")</f>
        <v/>
      </c>
      <c r="T38" s="54" t="str">
        <f>IF(AND('Mapa final'!$AG$29="Baja",'Mapa final'!$AI$29="Menor"),CONCATENATE("R3C",'Mapa final'!$W$29),"")</f>
        <v/>
      </c>
      <c r="U38" s="55" t="str">
        <f>IF(AND('Mapa final'!$AG$30="Baja",'Mapa final'!$AI$30="Menor"),CONCATENATE("R3C",'Mapa final'!$W$30),"")</f>
        <v/>
      </c>
      <c r="V38" s="53" t="str">
        <f ca="1">IF(AND('Mapa final'!$AG$25="Baja",'Mapa final'!$AI$25="Moderado"),CONCATENATE("R3C",'Mapa final'!$W$25),"")</f>
        <v/>
      </c>
      <c r="W38" s="54" t="str">
        <f ca="1">IF(AND('Mapa final'!$AG$26="Baja",'Mapa final'!$AI$26="Moderado"),CONCATENATE("R3C",'Mapa final'!$W$26),"")</f>
        <v/>
      </c>
      <c r="X38" s="54" t="str">
        <f ca="1">IF(AND('Mapa final'!$AG$27="Baja",'Mapa final'!$AI$27="Moderado"),CONCATENATE("R3C",'Mapa final'!$W$27),"")</f>
        <v/>
      </c>
      <c r="Y38" s="54" t="str">
        <f>IF(AND('Mapa final'!$AG$28="Baja",'Mapa final'!$AI$28="Moderado"),CONCATENATE("R3C",'Mapa final'!$W$28),"")</f>
        <v/>
      </c>
      <c r="Z38" s="54" t="str">
        <f>IF(AND('Mapa final'!$AG$29="Baja",'Mapa final'!$AI$29="Moderado"),CONCATENATE("R3C",'Mapa final'!$W$29),"")</f>
        <v/>
      </c>
      <c r="AA38" s="55" t="str">
        <f>IF(AND('Mapa final'!$AG$30="Baja",'Mapa final'!$AI$30="Moderado"),CONCATENATE("R3C",'Mapa final'!$W$30),"")</f>
        <v/>
      </c>
      <c r="AB38" s="38" t="str">
        <f ca="1">IF(AND('Mapa final'!$AG$25="Baja",'Mapa final'!$AI$25="Mayor"),CONCATENATE("R3C",'Mapa final'!$W$25),"")</f>
        <v/>
      </c>
      <c r="AC38" s="39" t="str">
        <f ca="1">IF(AND('Mapa final'!$AG$26="Baja",'Mapa final'!$AI$26="Mayor"),CONCATENATE("R3C",'Mapa final'!$W$26),"")</f>
        <v/>
      </c>
      <c r="AD38" s="39" t="str">
        <f ca="1">IF(AND('Mapa final'!$AG$27="Baja",'Mapa final'!$AI$27="Mayor"),CONCATENATE("R3C",'Mapa final'!$W$27),"")</f>
        <v/>
      </c>
      <c r="AE38" s="39" t="str">
        <f>IF(AND('Mapa final'!$AG$28="Baja",'Mapa final'!$AI$28="Mayor"),CONCATENATE("R3C",'Mapa final'!$W$28),"")</f>
        <v/>
      </c>
      <c r="AF38" s="39" t="str">
        <f>IF(AND('Mapa final'!$AG$29="Baja",'Mapa final'!$AI$29="Mayor"),CONCATENATE("R3C",'Mapa final'!$W$29),"")</f>
        <v/>
      </c>
      <c r="AG38" s="40" t="str">
        <f>IF(AND('Mapa final'!$AG$30="Baja",'Mapa final'!$AI$30="Mayor"),CONCATENATE("R3C",'Mapa final'!$W$30),"")</f>
        <v/>
      </c>
      <c r="AH38" s="41" t="str">
        <f ca="1">IF(AND('Mapa final'!$AG$25="Baja",'Mapa final'!$AI$25="Catastrófico"),CONCATENATE("R3C",'Mapa final'!$W$25),"")</f>
        <v/>
      </c>
      <c r="AI38" s="42" t="str">
        <f ca="1">IF(AND('Mapa final'!$AG$26="Baja",'Mapa final'!$AI$26="Catastrófico"),CONCATENATE("R3C",'Mapa final'!$W$26),"")</f>
        <v/>
      </c>
      <c r="AJ38" s="42" t="str">
        <f ca="1">IF(AND('Mapa final'!$AG$27="Baja",'Mapa final'!$AI$27="Catastrófico"),CONCATENATE("R3C",'Mapa final'!$W$27),"")</f>
        <v/>
      </c>
      <c r="AK38" s="42" t="str">
        <f>IF(AND('Mapa final'!$AG$28="Baja",'Mapa final'!$AI$28="Catastrófico"),CONCATENATE("R3C",'Mapa final'!$W$28),"")</f>
        <v/>
      </c>
      <c r="AL38" s="42" t="str">
        <f>IF(AND('Mapa final'!$AG$29="Baja",'Mapa final'!$AI$29="Catastrófico"),CONCATENATE("R3C",'Mapa final'!$W$29),"")</f>
        <v/>
      </c>
      <c r="AM38" s="43" t="str">
        <f>IF(AND('Mapa final'!$AG$30="Baja",'Mapa final'!$AI$30="Catastrófico"),CONCATENATE("R3C",'Mapa final'!$W$30),"")</f>
        <v/>
      </c>
      <c r="AN38" s="69"/>
      <c r="AO38" s="458"/>
      <c r="AP38" s="459"/>
      <c r="AQ38" s="459"/>
      <c r="AR38" s="459"/>
      <c r="AS38" s="459"/>
      <c r="AT38" s="460"/>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row>
    <row r="39" spans="1:80" ht="15" customHeight="1" x14ac:dyDescent="0.25">
      <c r="A39" s="69"/>
      <c r="B39" s="431"/>
      <c r="C39" s="431"/>
      <c r="D39" s="432"/>
      <c r="E39" s="436"/>
      <c r="F39" s="437"/>
      <c r="G39" s="437"/>
      <c r="H39" s="437"/>
      <c r="I39" s="437"/>
      <c r="J39" s="62" t="str">
        <f ca="1">IF(AND('Mapa final'!$AG$31="Baja",'Mapa final'!$AI$31="Leve"),CONCATENATE("R4C",'Mapa final'!$W$31),"")</f>
        <v/>
      </c>
      <c r="K39" s="63" t="str">
        <f ca="1">IF(AND('Mapa final'!$AG$32="Baja",'Mapa final'!$AI$32="Leve"),CONCATENATE("R4C",'Mapa final'!$W$32),"")</f>
        <v/>
      </c>
      <c r="L39" s="63" t="str">
        <f>IF(AND('Mapa final'!$AG$33="Baja",'Mapa final'!$AI$33="Leve"),CONCATENATE("R4C",'Mapa final'!$W$33),"")</f>
        <v/>
      </c>
      <c r="M39" s="63" t="str">
        <f>IF(AND('Mapa final'!$AG$34="Baja",'Mapa final'!$AI$34="Leve"),CONCATENATE("R4C",'Mapa final'!$W$34),"")</f>
        <v/>
      </c>
      <c r="N39" s="63" t="str">
        <f>IF(AND('Mapa final'!$AG$35="Baja",'Mapa final'!$AI$35="Leve"),CONCATENATE("R4C",'Mapa final'!$W$35),"")</f>
        <v/>
      </c>
      <c r="O39" s="64" t="str">
        <f>IF(AND('Mapa final'!$AG$36="Baja",'Mapa final'!$AI$36="Leve"),CONCATENATE("R4C",'Mapa final'!$W$36),"")</f>
        <v/>
      </c>
      <c r="P39" s="53" t="str">
        <f ca="1">IF(AND('Mapa final'!$AG$31="Baja",'Mapa final'!$AI$31="Menor"),CONCATENATE("R4C",'Mapa final'!$W$31),"")</f>
        <v/>
      </c>
      <c r="Q39" s="54" t="str">
        <f ca="1">IF(AND('Mapa final'!$AG$32="Baja",'Mapa final'!$AI$32="Menor"),CONCATENATE("R4C",'Mapa final'!$W$32),"")</f>
        <v/>
      </c>
      <c r="R39" s="54" t="str">
        <f>IF(AND('Mapa final'!$AG$33="Baja",'Mapa final'!$AI$33="Menor"),CONCATENATE("R4C",'Mapa final'!$W$33),"")</f>
        <v/>
      </c>
      <c r="S39" s="54" t="str">
        <f>IF(AND('Mapa final'!$AG$34="Baja",'Mapa final'!$AI$34="Menor"),CONCATENATE("R4C",'Mapa final'!$W$34),"")</f>
        <v/>
      </c>
      <c r="T39" s="54" t="str">
        <f>IF(AND('Mapa final'!$AG$35="Baja",'Mapa final'!$AI$35="Menor"),CONCATENATE("R4C",'Mapa final'!$W$35),"")</f>
        <v/>
      </c>
      <c r="U39" s="55" t="str">
        <f>IF(AND('Mapa final'!$AG$36="Baja",'Mapa final'!$AI$36="Menor"),CONCATENATE("R4C",'Mapa final'!$W$36),"")</f>
        <v/>
      </c>
      <c r="V39" s="53" t="str">
        <f ca="1">IF(AND('Mapa final'!$AG$31="Baja",'Mapa final'!$AI$31="Moderado"),CONCATENATE("R4C",'Mapa final'!$W$31),"")</f>
        <v>R4C1</v>
      </c>
      <c r="W39" s="54" t="str">
        <f ca="1">IF(AND('Mapa final'!$AG$32="Baja",'Mapa final'!$AI$32="Moderado"),CONCATENATE("R4C",'Mapa final'!$W$32),"")</f>
        <v/>
      </c>
      <c r="X39" s="54" t="str">
        <f>IF(AND('Mapa final'!$AG$33="Baja",'Mapa final'!$AI$33="Moderado"),CONCATENATE("R4C",'Mapa final'!$W$33),"")</f>
        <v/>
      </c>
      <c r="Y39" s="54" t="str">
        <f>IF(AND('Mapa final'!$AG$34="Baja",'Mapa final'!$AI$34="Moderado"),CONCATENATE("R4C",'Mapa final'!$W$34),"")</f>
        <v/>
      </c>
      <c r="Z39" s="54" t="str">
        <f>IF(AND('Mapa final'!$AG$35="Baja",'Mapa final'!$AI$35="Moderado"),CONCATENATE("R4C",'Mapa final'!$W$35),"")</f>
        <v/>
      </c>
      <c r="AA39" s="55" t="str">
        <f>IF(AND('Mapa final'!$AG$36="Baja",'Mapa final'!$AI$36="Moderado"),CONCATENATE("R4C",'Mapa final'!$W$36),"")</f>
        <v/>
      </c>
      <c r="AB39" s="38" t="str">
        <f ca="1">IF(AND('Mapa final'!$AG$31="Baja",'Mapa final'!$AI$31="Mayor"),CONCATENATE("R4C",'Mapa final'!$W$31),"")</f>
        <v/>
      </c>
      <c r="AC39" s="39" t="str">
        <f ca="1">IF(AND('Mapa final'!$AG$32="Baja",'Mapa final'!$AI$32="Mayor"),CONCATENATE("R4C",'Mapa final'!$W$32),"")</f>
        <v/>
      </c>
      <c r="AD39" s="39" t="str">
        <f>IF(AND('Mapa final'!$AG$33="Baja",'Mapa final'!$AI$33="Mayor"),CONCATENATE("R4C",'Mapa final'!$W$33),"")</f>
        <v/>
      </c>
      <c r="AE39" s="39" t="str">
        <f>IF(AND('Mapa final'!$AG$34="Baja",'Mapa final'!$AI$34="Mayor"),CONCATENATE("R4C",'Mapa final'!$W$34),"")</f>
        <v/>
      </c>
      <c r="AF39" s="39" t="str">
        <f>IF(AND('Mapa final'!$AG$35="Baja",'Mapa final'!$AI$35="Mayor"),CONCATENATE("R4C",'Mapa final'!$W$35),"")</f>
        <v/>
      </c>
      <c r="AG39" s="40" t="str">
        <f>IF(AND('Mapa final'!$AG$36="Baja",'Mapa final'!$AI$36="Mayor"),CONCATENATE("R4C",'Mapa final'!$W$36),"")</f>
        <v/>
      </c>
      <c r="AH39" s="41" t="str">
        <f ca="1">IF(AND('Mapa final'!$AG$31="Baja",'Mapa final'!$AI$31="Catastrófico"),CONCATENATE("R4C",'Mapa final'!$W$31),"")</f>
        <v/>
      </c>
      <c r="AI39" s="42" t="str">
        <f ca="1">IF(AND('Mapa final'!$AG$32="Baja",'Mapa final'!$AI$32="Catastrófico"),CONCATENATE("R4C",'Mapa final'!$W$32),"")</f>
        <v/>
      </c>
      <c r="AJ39" s="42" t="str">
        <f>IF(AND('Mapa final'!$AG$33="Baja",'Mapa final'!$AI$33="Catastrófico"),CONCATENATE("R4C",'Mapa final'!$W$33),"")</f>
        <v/>
      </c>
      <c r="AK39" s="42" t="str">
        <f>IF(AND('Mapa final'!$AG$34="Baja",'Mapa final'!$AI$34="Catastrófico"),CONCATENATE("R4C",'Mapa final'!$W$34),"")</f>
        <v/>
      </c>
      <c r="AL39" s="42" t="str">
        <f>IF(AND('Mapa final'!$AG$35="Baja",'Mapa final'!$AI$35="Catastrófico"),CONCATENATE("R4C",'Mapa final'!$W$35),"")</f>
        <v/>
      </c>
      <c r="AM39" s="43" t="str">
        <f>IF(AND('Mapa final'!$AG$36="Baja",'Mapa final'!$AI$36="Catastrófico"),CONCATENATE("R4C",'Mapa final'!$W$36),"")</f>
        <v/>
      </c>
      <c r="AN39" s="69"/>
      <c r="AO39" s="458"/>
      <c r="AP39" s="459"/>
      <c r="AQ39" s="459"/>
      <c r="AR39" s="459"/>
      <c r="AS39" s="459"/>
      <c r="AT39" s="460"/>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row>
    <row r="40" spans="1:80" ht="15" customHeight="1" x14ac:dyDescent="0.25">
      <c r="A40" s="69"/>
      <c r="B40" s="431"/>
      <c r="C40" s="431"/>
      <c r="D40" s="432"/>
      <c r="E40" s="436"/>
      <c r="F40" s="437"/>
      <c r="G40" s="437"/>
      <c r="H40" s="437"/>
      <c r="I40" s="437"/>
      <c r="J40" s="62" t="str">
        <f ca="1">IF(AND('Mapa final'!$AG$37="Baja",'Mapa final'!$AI$37="Leve"),CONCATENATE("R5C",'Mapa final'!$W$37),"")</f>
        <v/>
      </c>
      <c r="K40" s="63" t="str">
        <f ca="1">IF(AND('Mapa final'!$AG$38="Baja",'Mapa final'!$AI$38="Leve"),CONCATENATE("R5C",'Mapa final'!$W$38),"")</f>
        <v/>
      </c>
      <c r="L40" s="63" t="str">
        <f ca="1">IF(AND('Mapa final'!$AG$39="Baja",'Mapa final'!$AI$39="Leve"),CONCATENATE("R5C",'Mapa final'!$W$39),"")</f>
        <v/>
      </c>
      <c r="M40" s="63" t="str">
        <f>IF(AND('Mapa final'!$AG$40="Baja",'Mapa final'!$AI$40="Leve"),CONCATENATE("R5C",'Mapa final'!$W$40),"")</f>
        <v/>
      </c>
      <c r="N40" s="63" t="str">
        <f>IF(AND('Mapa final'!$AG$41="Baja",'Mapa final'!$AI$41="Leve"),CONCATENATE("R5C",'Mapa final'!$W$41),"")</f>
        <v/>
      </c>
      <c r="O40" s="64" t="str">
        <f>IF(AND('Mapa final'!$AG$42="Baja",'Mapa final'!$AI$42="Leve"),CONCATENATE("R5C",'Mapa final'!$W$42),"")</f>
        <v/>
      </c>
      <c r="P40" s="53" t="str">
        <f ca="1">IF(AND('Mapa final'!$AG$37="Baja",'Mapa final'!$AI$37="Menor"),CONCATENATE("R5C",'Mapa final'!$W$37),"")</f>
        <v/>
      </c>
      <c r="Q40" s="54" t="str">
        <f ca="1">IF(AND('Mapa final'!$AG$38="Baja",'Mapa final'!$AI$38="Menor"),CONCATENATE("R5C",'Mapa final'!$W$38),"")</f>
        <v/>
      </c>
      <c r="R40" s="54" t="str">
        <f ca="1">IF(AND('Mapa final'!$AG$39="Baja",'Mapa final'!$AI$39="Menor"),CONCATENATE("R5C",'Mapa final'!$W$39),"")</f>
        <v/>
      </c>
      <c r="S40" s="54" t="str">
        <f>IF(AND('Mapa final'!$AG$40="Baja",'Mapa final'!$AI$40="Menor"),CONCATENATE("R5C",'Mapa final'!$W$40),"")</f>
        <v/>
      </c>
      <c r="T40" s="54" t="str">
        <f>IF(AND('Mapa final'!$AG$41="Baja",'Mapa final'!$AI$41="Menor"),CONCATENATE("R5C",'Mapa final'!$W$41),"")</f>
        <v/>
      </c>
      <c r="U40" s="55" t="str">
        <f>IF(AND('Mapa final'!$AG$42="Baja",'Mapa final'!$AI$42="Menor"),CONCATENATE("R5C",'Mapa final'!$W$42),"")</f>
        <v/>
      </c>
      <c r="V40" s="53" t="str">
        <f ca="1">IF(AND('Mapa final'!$AG$37="Baja",'Mapa final'!$AI$37="Moderado"),CONCATENATE("R5C",'Mapa final'!$W$37),"")</f>
        <v/>
      </c>
      <c r="W40" s="54" t="str">
        <f ca="1">IF(AND('Mapa final'!$AG$38="Baja",'Mapa final'!$AI$38="Moderado"),CONCATENATE("R5C",'Mapa final'!$W$38),"")</f>
        <v/>
      </c>
      <c r="X40" s="54" t="str">
        <f ca="1">IF(AND('Mapa final'!$AG$39="Baja",'Mapa final'!$AI$39="Moderado"),CONCATENATE("R5C",'Mapa final'!$W$39),"")</f>
        <v/>
      </c>
      <c r="Y40" s="54" t="str">
        <f>IF(AND('Mapa final'!$AG$40="Baja",'Mapa final'!$AI$40="Moderado"),CONCATENATE("R5C",'Mapa final'!$W$40),"")</f>
        <v/>
      </c>
      <c r="Z40" s="54" t="str">
        <f>IF(AND('Mapa final'!$AG$41="Baja",'Mapa final'!$AI$41="Moderado"),CONCATENATE("R5C",'Mapa final'!$W$41),"")</f>
        <v/>
      </c>
      <c r="AA40" s="55" t="str">
        <f>IF(AND('Mapa final'!$AG$42="Baja",'Mapa final'!$AI$42="Moderado"),CONCATENATE("R5C",'Mapa final'!$W$42),"")</f>
        <v/>
      </c>
      <c r="AB40" s="38" t="str">
        <f ca="1">IF(AND('Mapa final'!$AG$37="Baja",'Mapa final'!$AI$37="Mayor"),CONCATENATE("R5C",'Mapa final'!$W$37),"")</f>
        <v/>
      </c>
      <c r="AC40" s="39" t="str">
        <f ca="1">IF(AND('Mapa final'!$AG$38="Baja",'Mapa final'!$AI$38="Mayor"),CONCATENATE("R5C",'Mapa final'!$W$38),"")</f>
        <v/>
      </c>
      <c r="AD40" s="39" t="str">
        <f ca="1">IF(AND('Mapa final'!$AG$39="Baja",'Mapa final'!$AI$39="Mayor"),CONCATENATE("R5C",'Mapa final'!$W$39),"")</f>
        <v/>
      </c>
      <c r="AE40" s="39" t="str">
        <f>IF(AND('Mapa final'!$AG$40="Baja",'Mapa final'!$AI$40="Mayor"),CONCATENATE("R5C",'Mapa final'!$W$40),"")</f>
        <v/>
      </c>
      <c r="AF40" s="39" t="str">
        <f>IF(AND('Mapa final'!$AG$41="Baja",'Mapa final'!$AI$41="Mayor"),CONCATENATE("R5C",'Mapa final'!$W$41),"")</f>
        <v/>
      </c>
      <c r="AG40" s="40" t="str">
        <f>IF(AND('Mapa final'!$AG$42="Baja",'Mapa final'!$AI$42="Mayor"),CONCATENATE("R5C",'Mapa final'!$W$42),"")</f>
        <v/>
      </c>
      <c r="AH40" s="41" t="str">
        <f ca="1">IF(AND('Mapa final'!$AG$37="Baja",'Mapa final'!$AI$37="Catastrófico"),CONCATENATE("R5C",'Mapa final'!$W$37),"")</f>
        <v/>
      </c>
      <c r="AI40" s="42" t="str">
        <f ca="1">IF(AND('Mapa final'!$AG$38="Baja",'Mapa final'!$AI$38="Catastrófico"),CONCATENATE("R5C",'Mapa final'!$W$38),"")</f>
        <v/>
      </c>
      <c r="AJ40" s="42" t="str">
        <f ca="1">IF(AND('Mapa final'!$AG$39="Baja",'Mapa final'!$AI$39="Catastrófico"),CONCATENATE("R5C",'Mapa final'!$W$39),"")</f>
        <v/>
      </c>
      <c r="AK40" s="42" t="str">
        <f>IF(AND('Mapa final'!$AG$40="Baja",'Mapa final'!$AI$40="Catastrófico"),CONCATENATE("R5C",'Mapa final'!$W$40),"")</f>
        <v/>
      </c>
      <c r="AL40" s="42" t="str">
        <f>IF(AND('Mapa final'!$AG$41="Baja",'Mapa final'!$AI$41="Catastrófico"),CONCATENATE("R5C",'Mapa final'!$W$41),"")</f>
        <v/>
      </c>
      <c r="AM40" s="43" t="str">
        <f>IF(AND('Mapa final'!$AG$42="Baja",'Mapa final'!$AI$42="Catastrófico"),CONCATENATE("R5C",'Mapa final'!$W$42),"")</f>
        <v/>
      </c>
      <c r="AN40" s="69"/>
      <c r="AO40" s="458"/>
      <c r="AP40" s="459"/>
      <c r="AQ40" s="459"/>
      <c r="AR40" s="459"/>
      <c r="AS40" s="459"/>
      <c r="AT40" s="460"/>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row>
    <row r="41" spans="1:80" ht="15" customHeight="1" x14ac:dyDescent="0.25">
      <c r="A41" s="69"/>
      <c r="B41" s="431"/>
      <c r="C41" s="431"/>
      <c r="D41" s="432"/>
      <c r="E41" s="436"/>
      <c r="F41" s="437"/>
      <c r="G41" s="437"/>
      <c r="H41" s="437"/>
      <c r="I41" s="437"/>
      <c r="J41" s="62" t="str">
        <f ca="1">IF(AND('Mapa final'!$AG$43="Baja",'Mapa final'!$AI$43="Leve"),CONCATENATE("R6C",'Mapa final'!$W$43),"")</f>
        <v/>
      </c>
      <c r="K41" s="63" t="str">
        <f ca="1">IF(AND('Mapa final'!$AG$44="Baja",'Mapa final'!$AI$44="Leve"),CONCATENATE("R6C",'Mapa final'!$W$44),"")</f>
        <v/>
      </c>
      <c r="L41" s="63" t="str">
        <f>IF(AND('Mapa final'!$AG$45="Baja",'Mapa final'!$AI$45="Leve"),CONCATENATE("R6C",'Mapa final'!$W$45),"")</f>
        <v/>
      </c>
      <c r="M41" s="63" t="str">
        <f>IF(AND('Mapa final'!$AG$46="Baja",'Mapa final'!$AI$46="Leve"),CONCATENATE("R6C",'Mapa final'!$W$46),"")</f>
        <v/>
      </c>
      <c r="N41" s="63" t="str">
        <f>IF(AND('Mapa final'!$AG$47="Baja",'Mapa final'!$AI$47="Leve"),CONCATENATE("R6C",'Mapa final'!$W$47),"")</f>
        <v/>
      </c>
      <c r="O41" s="64" t="str">
        <f>IF(AND('Mapa final'!$AG$48="Baja",'Mapa final'!$AI$48="Leve"),CONCATENATE("R6C",'Mapa final'!$W$48),"")</f>
        <v/>
      </c>
      <c r="P41" s="53" t="str">
        <f ca="1">IF(AND('Mapa final'!$AG$43="Baja",'Mapa final'!$AI$43="Menor"),CONCATENATE("R6C",'Mapa final'!$W$43),"")</f>
        <v/>
      </c>
      <c r="Q41" s="54" t="str">
        <f ca="1">IF(AND('Mapa final'!$AG$44="Baja",'Mapa final'!$AI$44="Menor"),CONCATENATE("R6C",'Mapa final'!$W$44),"")</f>
        <v/>
      </c>
      <c r="R41" s="54" t="str">
        <f>IF(AND('Mapa final'!$AG$45="Baja",'Mapa final'!$AI$45="Menor"),CONCATENATE("R6C",'Mapa final'!$W$45),"")</f>
        <v/>
      </c>
      <c r="S41" s="54" t="str">
        <f>IF(AND('Mapa final'!$AG$46="Baja",'Mapa final'!$AI$46="Menor"),CONCATENATE("R6C",'Mapa final'!$W$46),"")</f>
        <v/>
      </c>
      <c r="T41" s="54" t="str">
        <f>IF(AND('Mapa final'!$AG$47="Baja",'Mapa final'!$AI$47="Menor"),CONCATENATE("R6C",'Mapa final'!$W$47),"")</f>
        <v/>
      </c>
      <c r="U41" s="55" t="str">
        <f>IF(AND('Mapa final'!$AG$48="Baja",'Mapa final'!$AI$48="Menor"),CONCATENATE("R6C",'Mapa final'!$W$48),"")</f>
        <v/>
      </c>
      <c r="V41" s="53" t="str">
        <f ca="1">IF(AND('Mapa final'!$AG$43="Baja",'Mapa final'!$AI$43="Moderado"),CONCATENATE("R6C",'Mapa final'!$W$43),"")</f>
        <v>R6C1</v>
      </c>
      <c r="W41" s="54" t="str">
        <f ca="1">IF(AND('Mapa final'!$AG$44="Baja",'Mapa final'!$AI$44="Moderado"),CONCATENATE("R6C",'Mapa final'!$W$44),"")</f>
        <v>R6C2</v>
      </c>
      <c r="X41" s="54" t="str">
        <f>IF(AND('Mapa final'!$AG$45="Baja",'Mapa final'!$AI$45="Moderado"),CONCATENATE("R6C",'Mapa final'!$W$45),"")</f>
        <v/>
      </c>
      <c r="Y41" s="54" t="str">
        <f>IF(AND('Mapa final'!$AG$46="Baja",'Mapa final'!$AI$46="Moderado"),CONCATENATE("R6C",'Mapa final'!$W$46),"")</f>
        <v/>
      </c>
      <c r="Z41" s="54" t="str">
        <f>IF(AND('Mapa final'!$AG$47="Baja",'Mapa final'!$AI$47="Moderado"),CONCATENATE("R6C",'Mapa final'!$W$47),"")</f>
        <v/>
      </c>
      <c r="AA41" s="55" t="str">
        <f>IF(AND('Mapa final'!$AG$48="Baja",'Mapa final'!$AI$48="Moderado"),CONCATENATE("R6C",'Mapa final'!$W$48),"")</f>
        <v/>
      </c>
      <c r="AB41" s="38" t="str">
        <f ca="1">IF(AND('Mapa final'!$AG$43="Baja",'Mapa final'!$AI$43="Mayor"),CONCATENATE("R6C",'Mapa final'!$W$43),"")</f>
        <v/>
      </c>
      <c r="AC41" s="39" t="str">
        <f ca="1">IF(AND('Mapa final'!$AG$44="Baja",'Mapa final'!$AI$44="Mayor"),CONCATENATE("R6C",'Mapa final'!$W$44),"")</f>
        <v/>
      </c>
      <c r="AD41" s="39" t="str">
        <f>IF(AND('Mapa final'!$AG$45="Baja",'Mapa final'!$AI$45="Mayor"),CONCATENATE("R6C",'Mapa final'!$W$45),"")</f>
        <v/>
      </c>
      <c r="AE41" s="39" t="str">
        <f>IF(AND('Mapa final'!$AG$46="Baja",'Mapa final'!$AI$46="Mayor"),CONCATENATE("R6C",'Mapa final'!$W$46),"")</f>
        <v/>
      </c>
      <c r="AF41" s="39" t="str">
        <f>IF(AND('Mapa final'!$AG$47="Baja",'Mapa final'!$AI$47="Mayor"),CONCATENATE("R6C",'Mapa final'!$W$47),"")</f>
        <v/>
      </c>
      <c r="AG41" s="40" t="str">
        <f>IF(AND('Mapa final'!$AG$48="Baja",'Mapa final'!$AI$48="Mayor"),CONCATENATE("R6C",'Mapa final'!$W$48),"")</f>
        <v/>
      </c>
      <c r="AH41" s="41" t="str">
        <f ca="1">IF(AND('Mapa final'!$AG$43="Baja",'Mapa final'!$AI$43="Catastrófico"),CONCATENATE("R6C",'Mapa final'!$W$43),"")</f>
        <v/>
      </c>
      <c r="AI41" s="42" t="str">
        <f ca="1">IF(AND('Mapa final'!$AG$44="Baja",'Mapa final'!$AI$44="Catastrófico"),CONCATENATE("R6C",'Mapa final'!$W$44),"")</f>
        <v/>
      </c>
      <c r="AJ41" s="42" t="str">
        <f>IF(AND('Mapa final'!$AG$45="Baja",'Mapa final'!$AI$45="Catastrófico"),CONCATENATE("R6C",'Mapa final'!$W$45),"")</f>
        <v/>
      </c>
      <c r="AK41" s="42" t="str">
        <f>IF(AND('Mapa final'!$AG$46="Baja",'Mapa final'!$AI$46="Catastrófico"),CONCATENATE("R6C",'Mapa final'!$W$46),"")</f>
        <v/>
      </c>
      <c r="AL41" s="42" t="str">
        <f>IF(AND('Mapa final'!$AG$47="Baja",'Mapa final'!$AI$47="Catastrófico"),CONCATENATE("R6C",'Mapa final'!$W$47),"")</f>
        <v/>
      </c>
      <c r="AM41" s="43" t="str">
        <f>IF(AND('Mapa final'!$AG$48="Baja",'Mapa final'!$AI$48="Catastrófico"),CONCATENATE("R6C",'Mapa final'!$W$48),"")</f>
        <v/>
      </c>
      <c r="AN41" s="69"/>
      <c r="AO41" s="458"/>
      <c r="AP41" s="459"/>
      <c r="AQ41" s="459"/>
      <c r="AR41" s="459"/>
      <c r="AS41" s="459"/>
      <c r="AT41" s="460"/>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row>
    <row r="42" spans="1:80" ht="15" customHeight="1" x14ac:dyDescent="0.25">
      <c r="A42" s="69"/>
      <c r="B42" s="431"/>
      <c r="C42" s="431"/>
      <c r="D42" s="432"/>
      <c r="E42" s="436"/>
      <c r="F42" s="437"/>
      <c r="G42" s="437"/>
      <c r="H42" s="437"/>
      <c r="I42" s="437"/>
      <c r="J42" s="62" t="str">
        <f ca="1">IF(AND('Mapa final'!$AG$49="Baja",'Mapa final'!$AI$49="Leve"),CONCATENATE("R7C",'Mapa final'!$W$49),"")</f>
        <v/>
      </c>
      <c r="K42" s="63" t="str">
        <f ca="1">IF(AND('Mapa final'!$AG$50="Baja",'Mapa final'!$AI$50="Leve"),CONCATENATE("R7C",'Mapa final'!$W$50),"")</f>
        <v/>
      </c>
      <c r="L42" s="63" t="str">
        <f>IF(AND('Mapa final'!$AG$51="Baja",'Mapa final'!$AI$51="Leve"),CONCATENATE("R7C",'Mapa final'!$W$51),"")</f>
        <v/>
      </c>
      <c r="M42" s="63" t="str">
        <f>IF(AND('Mapa final'!$AG$52="Baja",'Mapa final'!$AI$52="Leve"),CONCATENATE("R7C",'Mapa final'!$W$52),"")</f>
        <v/>
      </c>
      <c r="N42" s="63" t="str">
        <f>IF(AND('Mapa final'!$AG$53="Baja",'Mapa final'!$AI$53="Leve"),CONCATENATE("R7C",'Mapa final'!$W$53),"")</f>
        <v/>
      </c>
      <c r="O42" s="64" t="str">
        <f>IF(AND('Mapa final'!$AG$54="Baja",'Mapa final'!$AI$54="Leve"),CONCATENATE("R7C",'Mapa final'!$W$54),"")</f>
        <v/>
      </c>
      <c r="P42" s="53" t="str">
        <f ca="1">IF(AND('Mapa final'!$AG$49="Baja",'Mapa final'!$AI$49="Menor"),CONCATENATE("R7C",'Mapa final'!$W$49),"")</f>
        <v/>
      </c>
      <c r="Q42" s="54" t="str">
        <f ca="1">IF(AND('Mapa final'!$AG$50="Baja",'Mapa final'!$AI$50="Menor"),CONCATENATE("R7C",'Mapa final'!$W$50),"")</f>
        <v/>
      </c>
      <c r="R42" s="54" t="str">
        <f>IF(AND('Mapa final'!$AG$51="Baja",'Mapa final'!$AI$51="Menor"),CONCATENATE("R7C",'Mapa final'!$W$51),"")</f>
        <v/>
      </c>
      <c r="S42" s="54" t="str">
        <f>IF(AND('Mapa final'!$AG$52="Baja",'Mapa final'!$AI$52="Menor"),CONCATENATE("R7C",'Mapa final'!$W$52),"")</f>
        <v/>
      </c>
      <c r="T42" s="54" t="str">
        <f>IF(AND('Mapa final'!$AG$53="Baja",'Mapa final'!$AI$53="Menor"),CONCATENATE("R7C",'Mapa final'!$W$53),"")</f>
        <v/>
      </c>
      <c r="U42" s="55" t="str">
        <f>IF(AND('Mapa final'!$AG$54="Baja",'Mapa final'!$AI$54="Menor"),CONCATENATE("R7C",'Mapa final'!$W$54),"")</f>
        <v/>
      </c>
      <c r="V42" s="53" t="str">
        <f ca="1">IF(AND('Mapa final'!$AG$49="Baja",'Mapa final'!$AI$49="Moderado"),CONCATENATE("R7C",'Mapa final'!$W$49),"")</f>
        <v>R7C1</v>
      </c>
      <c r="W42" s="54" t="str">
        <f ca="1">IF(AND('Mapa final'!$AG$50="Baja",'Mapa final'!$AI$50="Moderado"),CONCATENATE("R7C",'Mapa final'!$W$50),"")</f>
        <v>R7C2</v>
      </c>
      <c r="X42" s="54" t="str">
        <f>IF(AND('Mapa final'!$AG$51="Baja",'Mapa final'!$AI$51="Moderado"),CONCATENATE("R7C",'Mapa final'!$W$51),"")</f>
        <v/>
      </c>
      <c r="Y42" s="54" t="str">
        <f>IF(AND('Mapa final'!$AG$52="Baja",'Mapa final'!$AI$52="Moderado"),CONCATENATE("R7C",'Mapa final'!$W$52),"")</f>
        <v/>
      </c>
      <c r="Z42" s="54" t="str">
        <f>IF(AND('Mapa final'!$AG$53="Baja",'Mapa final'!$AI$53="Moderado"),CONCATENATE("R7C",'Mapa final'!$W$53),"")</f>
        <v/>
      </c>
      <c r="AA42" s="55" t="str">
        <f>IF(AND('Mapa final'!$AG$54="Baja",'Mapa final'!$AI$54="Moderado"),CONCATENATE("R7C",'Mapa final'!$W$54),"")</f>
        <v/>
      </c>
      <c r="AB42" s="38" t="str">
        <f ca="1">IF(AND('Mapa final'!$AG$49="Baja",'Mapa final'!$AI$49="Mayor"),CONCATENATE("R7C",'Mapa final'!$W$49),"")</f>
        <v/>
      </c>
      <c r="AC42" s="39" t="str">
        <f ca="1">IF(AND('Mapa final'!$AG$50="Baja",'Mapa final'!$AI$50="Mayor"),CONCATENATE("R7C",'Mapa final'!$W$50),"")</f>
        <v/>
      </c>
      <c r="AD42" s="39" t="str">
        <f>IF(AND('Mapa final'!$AG$51="Baja",'Mapa final'!$AI$51="Mayor"),CONCATENATE("R7C",'Mapa final'!$W$51),"")</f>
        <v/>
      </c>
      <c r="AE42" s="39" t="str">
        <f>IF(AND('Mapa final'!$AG$52="Baja",'Mapa final'!$AI$52="Mayor"),CONCATENATE("R7C",'Mapa final'!$W$52),"")</f>
        <v/>
      </c>
      <c r="AF42" s="39" t="str">
        <f>IF(AND('Mapa final'!$AG$53="Baja",'Mapa final'!$AI$53="Mayor"),CONCATENATE("R7C",'Mapa final'!$W$53),"")</f>
        <v/>
      </c>
      <c r="AG42" s="40" t="str">
        <f>IF(AND('Mapa final'!$AG$54="Baja",'Mapa final'!$AI$54="Mayor"),CONCATENATE("R7C",'Mapa final'!$W$54),"")</f>
        <v/>
      </c>
      <c r="AH42" s="41" t="str">
        <f ca="1">IF(AND('Mapa final'!$AG$49="Baja",'Mapa final'!$AI$49="Catastrófico"),CONCATENATE("R7C",'Mapa final'!$W$49),"")</f>
        <v/>
      </c>
      <c r="AI42" s="42" t="str">
        <f ca="1">IF(AND('Mapa final'!$AG$50="Baja",'Mapa final'!$AI$50="Catastrófico"),CONCATENATE("R7C",'Mapa final'!$W$50),"")</f>
        <v/>
      </c>
      <c r="AJ42" s="42" t="str">
        <f>IF(AND('Mapa final'!$AG$51="Baja",'Mapa final'!$AI$51="Catastrófico"),CONCATENATE("R7C",'Mapa final'!$W$51),"")</f>
        <v/>
      </c>
      <c r="AK42" s="42" t="str">
        <f>IF(AND('Mapa final'!$AG$52="Baja",'Mapa final'!$AI$52="Catastrófico"),CONCATENATE("R7C",'Mapa final'!$W$52),"")</f>
        <v/>
      </c>
      <c r="AL42" s="42" t="str">
        <f>IF(AND('Mapa final'!$AG$53="Baja",'Mapa final'!$AI$53="Catastrófico"),CONCATENATE("R7C",'Mapa final'!$W$53),"")</f>
        <v/>
      </c>
      <c r="AM42" s="43" t="str">
        <f>IF(AND('Mapa final'!$AG$54="Baja",'Mapa final'!$AI$54="Catastrófico"),CONCATENATE("R7C",'Mapa final'!$W$54),"")</f>
        <v/>
      </c>
      <c r="AN42" s="69"/>
      <c r="AO42" s="458"/>
      <c r="AP42" s="459"/>
      <c r="AQ42" s="459"/>
      <c r="AR42" s="459"/>
      <c r="AS42" s="459"/>
      <c r="AT42" s="460"/>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row>
    <row r="43" spans="1:80" ht="15" customHeight="1" x14ac:dyDescent="0.25">
      <c r="A43" s="69"/>
      <c r="B43" s="431"/>
      <c r="C43" s="431"/>
      <c r="D43" s="432"/>
      <c r="E43" s="436"/>
      <c r="F43" s="437"/>
      <c r="G43" s="437"/>
      <c r="H43" s="437"/>
      <c r="I43" s="437"/>
      <c r="J43" s="62" t="str">
        <f ca="1">IF(AND('Mapa final'!$AG$55="Baja",'Mapa final'!$AI$55="Leve"),CONCATENATE("R8C",'Mapa final'!$W$55),"")</f>
        <v/>
      </c>
      <c r="K43" s="63" t="str">
        <f ca="1">IF(AND('Mapa final'!$AG$56="Baja",'Mapa final'!$AI$56="Leve"),CONCATENATE("R8C",'Mapa final'!$W$56),"")</f>
        <v/>
      </c>
      <c r="L43" s="63" t="str">
        <f ca="1">IF(AND('Mapa final'!$AG$57="Baja",'Mapa final'!$AI$57="Leve"),CONCATENATE("R8C",'Mapa final'!$W$57),"")</f>
        <v/>
      </c>
      <c r="M43" s="63" t="str">
        <f ca="1">IF(AND('Mapa final'!$AG$58="Baja",'Mapa final'!$AI$58="Leve"),CONCATENATE("R8C",'Mapa final'!$W$58),"")</f>
        <v/>
      </c>
      <c r="N43" s="63" t="str">
        <f>IF(AND('Mapa final'!$AG$59="Baja",'Mapa final'!$AI$59="Leve"),CONCATENATE("R8C",'Mapa final'!$W$59),"")</f>
        <v/>
      </c>
      <c r="O43" s="64" t="str">
        <f>IF(AND('Mapa final'!$AG$60="Baja",'Mapa final'!$AI$60="Leve"),CONCATENATE("R8C",'Mapa final'!$W$60),"")</f>
        <v/>
      </c>
      <c r="P43" s="53" t="str">
        <f ca="1">IF(AND('Mapa final'!$AG$55="Baja",'Mapa final'!$AI$55="Menor"),CONCATENATE("R8C",'Mapa final'!$W$55),"")</f>
        <v/>
      </c>
      <c r="Q43" s="54" t="str">
        <f ca="1">IF(AND('Mapa final'!$AG$56="Baja",'Mapa final'!$AI$56="Menor"),CONCATENATE("R8C",'Mapa final'!$W$56),"")</f>
        <v/>
      </c>
      <c r="R43" s="54" t="str">
        <f ca="1">IF(AND('Mapa final'!$AG$57="Baja",'Mapa final'!$AI$57="Menor"),CONCATENATE("R8C",'Mapa final'!$W$57),"")</f>
        <v/>
      </c>
      <c r="S43" s="54" t="str">
        <f ca="1">IF(AND('Mapa final'!$AG$58="Baja",'Mapa final'!$AI$58="Menor"),CONCATENATE("R8C",'Mapa final'!$W$58),"")</f>
        <v/>
      </c>
      <c r="T43" s="54" t="str">
        <f>IF(AND('Mapa final'!$AG$59="Baja",'Mapa final'!$AI$59="Menor"),CONCATENATE("R8C",'Mapa final'!$W$59),"")</f>
        <v/>
      </c>
      <c r="U43" s="55" t="str">
        <f>IF(AND('Mapa final'!$AG$60="Baja",'Mapa final'!$AI$60="Menor"),CONCATENATE("R8C",'Mapa final'!$W$60),"")</f>
        <v/>
      </c>
      <c r="V43" s="53" t="str">
        <f ca="1">IF(AND('Mapa final'!$AG$55="Baja",'Mapa final'!$AI$55="Moderado"),CONCATENATE("R8C",'Mapa final'!$W$55),"")</f>
        <v/>
      </c>
      <c r="W43" s="54" t="str">
        <f ca="1">IF(AND('Mapa final'!$AG$56="Baja",'Mapa final'!$AI$56="Moderado"),CONCATENATE("R8C",'Mapa final'!$W$56),"")</f>
        <v>R8C2</v>
      </c>
      <c r="X43" s="54" t="str">
        <f ca="1">IF(AND('Mapa final'!$AG$57="Baja",'Mapa final'!$AI$57="Moderado"),CONCATENATE("R8C",'Mapa final'!$W$57),"")</f>
        <v/>
      </c>
      <c r="Y43" s="54" t="str">
        <f ca="1">IF(AND('Mapa final'!$AG$58="Baja",'Mapa final'!$AI$58="Moderado"),CONCATENATE("R8C",'Mapa final'!$W$58),"")</f>
        <v/>
      </c>
      <c r="Z43" s="54" t="str">
        <f>IF(AND('Mapa final'!$AG$59="Baja",'Mapa final'!$AI$59="Moderado"),CONCATENATE("R8C",'Mapa final'!$W$59),"")</f>
        <v/>
      </c>
      <c r="AA43" s="55" t="str">
        <f>IF(AND('Mapa final'!$AG$60="Baja",'Mapa final'!$AI$60="Moderado"),CONCATENATE("R8C",'Mapa final'!$W$60),"")</f>
        <v/>
      </c>
      <c r="AB43" s="38" t="str">
        <f ca="1">IF(AND('Mapa final'!$AG$55="Baja",'Mapa final'!$AI$55="Mayor"),CONCATENATE("R8C",'Mapa final'!$W$55),"")</f>
        <v/>
      </c>
      <c r="AC43" s="39" t="str">
        <f ca="1">IF(AND('Mapa final'!$AG$56="Baja",'Mapa final'!$AI$56="Mayor"),CONCATENATE("R8C",'Mapa final'!$W$56),"")</f>
        <v/>
      </c>
      <c r="AD43" s="39" t="str">
        <f ca="1">IF(AND('Mapa final'!$AG$57="Baja",'Mapa final'!$AI$57="Mayor"),CONCATENATE("R8C",'Mapa final'!$W$57),"")</f>
        <v/>
      </c>
      <c r="AE43" s="39" t="str">
        <f ca="1">IF(AND('Mapa final'!$AG$58="Baja",'Mapa final'!$AI$58="Mayor"),CONCATENATE("R8C",'Mapa final'!$W$58),"")</f>
        <v/>
      </c>
      <c r="AF43" s="39" t="str">
        <f>IF(AND('Mapa final'!$AG$59="Baja",'Mapa final'!$AI$59="Mayor"),CONCATENATE("R8C",'Mapa final'!$W$59),"")</f>
        <v/>
      </c>
      <c r="AG43" s="40" t="str">
        <f>IF(AND('Mapa final'!$AG$60="Baja",'Mapa final'!$AI$60="Mayor"),CONCATENATE("R8C",'Mapa final'!$W$60),"")</f>
        <v/>
      </c>
      <c r="AH43" s="41" t="str">
        <f ca="1">IF(AND('Mapa final'!$AG$55="Baja",'Mapa final'!$AI$55="Catastrófico"),CONCATENATE("R8C",'Mapa final'!$W$55),"")</f>
        <v/>
      </c>
      <c r="AI43" s="42" t="str">
        <f ca="1">IF(AND('Mapa final'!$AG$56="Baja",'Mapa final'!$AI$56="Catastrófico"),CONCATENATE("R8C",'Mapa final'!$W$56),"")</f>
        <v/>
      </c>
      <c r="AJ43" s="42" t="str">
        <f ca="1">IF(AND('Mapa final'!$AG$57="Baja",'Mapa final'!$AI$57="Catastrófico"),CONCATENATE("R8C",'Mapa final'!$W$57),"")</f>
        <v/>
      </c>
      <c r="AK43" s="42" t="str">
        <f ca="1">IF(AND('Mapa final'!$AG$58="Baja",'Mapa final'!$AI$58="Catastrófico"),CONCATENATE("R8C",'Mapa final'!$W$58),"")</f>
        <v/>
      </c>
      <c r="AL43" s="42" t="str">
        <f>IF(AND('Mapa final'!$AG$59="Baja",'Mapa final'!$AI$59="Catastrófico"),CONCATENATE("R8C",'Mapa final'!$W$59),"")</f>
        <v/>
      </c>
      <c r="AM43" s="43" t="str">
        <f>IF(AND('Mapa final'!$AG$60="Baja",'Mapa final'!$AI$60="Catastrófico"),CONCATENATE("R8C",'Mapa final'!$W$60),"")</f>
        <v/>
      </c>
      <c r="AN43" s="69"/>
      <c r="AO43" s="458"/>
      <c r="AP43" s="459"/>
      <c r="AQ43" s="459"/>
      <c r="AR43" s="459"/>
      <c r="AS43" s="459"/>
      <c r="AT43" s="460"/>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row>
    <row r="44" spans="1:80" ht="15" customHeight="1" x14ac:dyDescent="0.25">
      <c r="A44" s="69"/>
      <c r="B44" s="431"/>
      <c r="C44" s="431"/>
      <c r="D44" s="432"/>
      <c r="E44" s="436"/>
      <c r="F44" s="437"/>
      <c r="G44" s="437"/>
      <c r="H44" s="437"/>
      <c r="I44" s="437"/>
      <c r="J44" s="62" t="str">
        <f ca="1">IF(AND('Mapa final'!$AG$61="Baja",'Mapa final'!$AI$61="Leve"),CONCATENATE("R9C",'Mapa final'!$W$61),"")</f>
        <v/>
      </c>
      <c r="K44" s="63" t="str">
        <f ca="1">IF(AND('Mapa final'!$AG$62="Baja",'Mapa final'!$AI$62="Leve"),CONCATENATE("R9C",'Mapa final'!$W$62),"")</f>
        <v/>
      </c>
      <c r="L44" s="63" t="str">
        <f ca="1">IF(AND('Mapa final'!$AG$63="Baja",'Mapa final'!$AI$63="Leve"),CONCATENATE("R9C",'Mapa final'!$W$63),"")</f>
        <v/>
      </c>
      <c r="M44" s="63" t="str">
        <f ca="1">IF(AND('Mapa final'!$AG$64="Baja",'Mapa final'!$AI$64="Leve"),CONCATENATE("R9C",'Mapa final'!$W$64),"")</f>
        <v/>
      </c>
      <c r="N44" s="63" t="str">
        <f ca="1">IF(AND('Mapa final'!$AG$65="Baja",'Mapa final'!$AI$65="Leve"),CONCATENATE("R9C",'Mapa final'!$W$65),"")</f>
        <v/>
      </c>
      <c r="O44" s="64" t="str">
        <f ca="1">IF(AND('Mapa final'!$AG$66="Baja",'Mapa final'!$AI$66="Leve"),CONCATENATE("R9C",'Mapa final'!$W$66),"")</f>
        <v/>
      </c>
      <c r="P44" s="53" t="str">
        <f ca="1">IF(AND('Mapa final'!$AG$61="Baja",'Mapa final'!$AI$61="Menor"),CONCATENATE("R9C",'Mapa final'!$W$61),"")</f>
        <v/>
      </c>
      <c r="Q44" s="54" t="str">
        <f ca="1">IF(AND('Mapa final'!$AG$62="Baja",'Mapa final'!$AI$62="Menor"),CONCATENATE("R9C",'Mapa final'!$W$62),"")</f>
        <v/>
      </c>
      <c r="R44" s="54" t="str">
        <f ca="1">IF(AND('Mapa final'!$AG$63="Baja",'Mapa final'!$AI$63="Menor"),CONCATENATE("R9C",'Mapa final'!$W$63),"")</f>
        <v/>
      </c>
      <c r="S44" s="54" t="str">
        <f ca="1">IF(AND('Mapa final'!$AG$64="Baja",'Mapa final'!$AI$64="Menor"),CONCATENATE("R9C",'Mapa final'!$W$64),"")</f>
        <v/>
      </c>
      <c r="T44" s="54" t="str">
        <f ca="1">IF(AND('Mapa final'!$AG$65="Baja",'Mapa final'!$AI$65="Menor"),CONCATENATE("R9C",'Mapa final'!$W$65),"")</f>
        <v/>
      </c>
      <c r="U44" s="55" t="str">
        <f ca="1">IF(AND('Mapa final'!$AG$66="Baja",'Mapa final'!$AI$66="Menor"),CONCATENATE("R9C",'Mapa final'!$W$66),"")</f>
        <v/>
      </c>
      <c r="V44" s="53" t="str">
        <f ca="1">IF(AND('Mapa final'!$AG$61="Baja",'Mapa final'!$AI$61="Moderado"),CONCATENATE("R9C",'Mapa final'!$W$61),"")</f>
        <v/>
      </c>
      <c r="W44" s="54" t="str">
        <f ca="1">IF(AND('Mapa final'!$AG$62="Baja",'Mapa final'!$AI$62="Moderado"),CONCATENATE("R9C",'Mapa final'!$W$62),"")</f>
        <v/>
      </c>
      <c r="X44" s="54" t="str">
        <f ca="1">IF(AND('Mapa final'!$AG$63="Baja",'Mapa final'!$AI$63="Moderado"),CONCATENATE("R9C",'Mapa final'!$W$63),"")</f>
        <v/>
      </c>
      <c r="Y44" s="54" t="str">
        <f ca="1">IF(AND('Mapa final'!$AG$64="Baja",'Mapa final'!$AI$64="Moderado"),CONCATENATE("R9C",'Mapa final'!$W$64),"")</f>
        <v/>
      </c>
      <c r="Z44" s="54" t="str">
        <f ca="1">IF(AND('Mapa final'!$AG$65="Baja",'Mapa final'!$AI$65="Moderado"),CONCATENATE("R9C",'Mapa final'!$W$65),"")</f>
        <v/>
      </c>
      <c r="AA44" s="55" t="str">
        <f ca="1">IF(AND('Mapa final'!$AG$66="Baja",'Mapa final'!$AI$66="Moderado"),CONCATENATE("R9C",'Mapa final'!$W$66),"")</f>
        <v/>
      </c>
      <c r="AB44" s="38" t="str">
        <f ca="1">IF(AND('Mapa final'!$AG$61="Baja",'Mapa final'!$AI$61="Mayor"),CONCATENATE("R9C",'Mapa final'!$W$61),"")</f>
        <v/>
      </c>
      <c r="AC44" s="39" t="str">
        <f ca="1">IF(AND('Mapa final'!$AG$62="Baja",'Mapa final'!$AI$62="Mayor"),CONCATENATE("R9C",'Mapa final'!$W$62),"")</f>
        <v/>
      </c>
      <c r="AD44" s="39" t="str">
        <f ca="1">IF(AND('Mapa final'!$AG$63="Baja",'Mapa final'!$AI$63="Mayor"),CONCATENATE("R9C",'Mapa final'!$W$63),"")</f>
        <v/>
      </c>
      <c r="AE44" s="39" t="str">
        <f ca="1">IF(AND('Mapa final'!$AG$64="Baja",'Mapa final'!$AI$64="Mayor"),CONCATENATE("R9C",'Mapa final'!$W$64),"")</f>
        <v/>
      </c>
      <c r="AF44" s="39" t="str">
        <f ca="1">IF(AND('Mapa final'!$AG$65="Baja",'Mapa final'!$AI$65="Mayor"),CONCATENATE("R9C",'Mapa final'!$W$65),"")</f>
        <v/>
      </c>
      <c r="AG44" s="40" t="str">
        <f ca="1">IF(AND('Mapa final'!$AG$66="Baja",'Mapa final'!$AI$66="Mayor"),CONCATENATE("R9C",'Mapa final'!$W$66),"")</f>
        <v/>
      </c>
      <c r="AH44" s="41" t="str">
        <f ca="1">IF(AND('Mapa final'!$AG$61="Baja",'Mapa final'!$AI$61="Catastrófico"),CONCATENATE("R9C",'Mapa final'!$W$61),"")</f>
        <v>R9C1</v>
      </c>
      <c r="AI44" s="42" t="str">
        <f ca="1">IF(AND('Mapa final'!$AG$62="Baja",'Mapa final'!$AI$62="Catastrófico"),CONCATENATE("R9C",'Mapa final'!$W$62),"")</f>
        <v>R9C2</v>
      </c>
      <c r="AJ44" s="42" t="str">
        <f ca="1">IF(AND('Mapa final'!$AG$63="Baja",'Mapa final'!$AI$63="Catastrófico"),CONCATENATE("R9C",'Mapa final'!$W$63),"")</f>
        <v/>
      </c>
      <c r="AK44" s="42" t="str">
        <f ca="1">IF(AND('Mapa final'!$AG$64="Baja",'Mapa final'!$AI$64="Catastrófico"),CONCATENATE("R9C",'Mapa final'!$W$64),"")</f>
        <v/>
      </c>
      <c r="AL44" s="42" t="str">
        <f ca="1">IF(AND('Mapa final'!$AG$65="Baja",'Mapa final'!$AI$65="Catastrófico"),CONCATENATE("R9C",'Mapa final'!$W$65),"")</f>
        <v/>
      </c>
      <c r="AM44" s="43" t="str">
        <f ca="1">IF(AND('Mapa final'!$AG$66="Baja",'Mapa final'!$AI$66="Catastrófico"),CONCATENATE("R9C",'Mapa final'!$W$66),"")</f>
        <v/>
      </c>
      <c r="AN44" s="69"/>
      <c r="AO44" s="458"/>
      <c r="AP44" s="459"/>
      <c r="AQ44" s="459"/>
      <c r="AR44" s="459"/>
      <c r="AS44" s="459"/>
      <c r="AT44" s="460"/>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row>
    <row r="45" spans="1:80" ht="15.75" customHeight="1" thickBot="1" x14ac:dyDescent="0.3">
      <c r="A45" s="69"/>
      <c r="B45" s="431"/>
      <c r="C45" s="431"/>
      <c r="D45" s="432"/>
      <c r="E45" s="439"/>
      <c r="F45" s="440"/>
      <c r="G45" s="440"/>
      <c r="H45" s="440"/>
      <c r="I45" s="440"/>
      <c r="J45" s="65" t="str">
        <f ca="1">IF(AND('Mapa final'!$AG$67="Baja",'Mapa final'!$AI$67="Leve"),CONCATENATE("R10C",'Mapa final'!$W$67),"")</f>
        <v/>
      </c>
      <c r="K45" s="66" t="str">
        <f ca="1">IF(AND('Mapa final'!$AG$68="Baja",'Mapa final'!$AI$68="Leve"),CONCATENATE("R10C",'Mapa final'!$W$68),"")</f>
        <v/>
      </c>
      <c r="L45" s="66" t="str">
        <f>IF(AND('Mapa final'!$AG$69="Baja",'Mapa final'!$AI$69="Leve"),CONCATENATE("R10C",'Mapa final'!$W$69),"")</f>
        <v/>
      </c>
      <c r="M45" s="66" t="str">
        <f>IF(AND('Mapa final'!$AG$70="Baja",'Mapa final'!$AI$70="Leve"),CONCATENATE("R10C",'Mapa final'!$W$70),"")</f>
        <v/>
      </c>
      <c r="N45" s="66" t="str">
        <f>IF(AND('Mapa final'!$AG$71="Baja",'Mapa final'!$AI$71="Leve"),CONCATENATE("R10C",'Mapa final'!$W$71),"")</f>
        <v/>
      </c>
      <c r="O45" s="67" t="str">
        <f>IF(AND('Mapa final'!$AG$72="Baja",'Mapa final'!$AI$72="Leve"),CONCATENATE("R10C",'Mapa final'!$W$72),"")</f>
        <v/>
      </c>
      <c r="P45" s="53" t="str">
        <f ca="1">IF(AND('Mapa final'!$AG$67="Baja",'Mapa final'!$AI$67="Menor"),CONCATENATE("R10C",'Mapa final'!$W$67),"")</f>
        <v/>
      </c>
      <c r="Q45" s="54" t="str">
        <f ca="1">IF(AND('Mapa final'!$AG$68="Baja",'Mapa final'!$AI$68="Menor"),CONCATENATE("R10C",'Mapa final'!$W$68),"")</f>
        <v/>
      </c>
      <c r="R45" s="54" t="str">
        <f>IF(AND('Mapa final'!$AG$69="Baja",'Mapa final'!$AI$69="Menor"),CONCATENATE("R10C",'Mapa final'!$W$69),"")</f>
        <v/>
      </c>
      <c r="S45" s="54" t="str">
        <f>IF(AND('Mapa final'!$AG$70="Baja",'Mapa final'!$AI$70="Menor"),CONCATENATE("R10C",'Mapa final'!$W$70),"")</f>
        <v/>
      </c>
      <c r="T45" s="54" t="str">
        <f>IF(AND('Mapa final'!$AG$71="Baja",'Mapa final'!$AI$71="Menor"),CONCATENATE("R10C",'Mapa final'!$W$71),"")</f>
        <v/>
      </c>
      <c r="U45" s="55" t="str">
        <f>IF(AND('Mapa final'!$AG$72="Baja",'Mapa final'!$AI$72="Menor"),CONCATENATE("R10C",'Mapa final'!$W$72),"")</f>
        <v/>
      </c>
      <c r="V45" s="56" t="str">
        <f ca="1">IF(AND('Mapa final'!$AG$67="Baja",'Mapa final'!$AI$67="Moderado"),CONCATENATE("R10C",'Mapa final'!$W$67),"")</f>
        <v/>
      </c>
      <c r="W45" s="57" t="str">
        <f ca="1">IF(AND('Mapa final'!$AG$68="Baja",'Mapa final'!$AI$68="Moderado"),CONCATENATE("R10C",'Mapa final'!$W$68),"")</f>
        <v/>
      </c>
      <c r="X45" s="57" t="str">
        <f>IF(AND('Mapa final'!$AG$69="Baja",'Mapa final'!$AI$69="Moderado"),CONCATENATE("R10C",'Mapa final'!$W$69),"")</f>
        <v/>
      </c>
      <c r="Y45" s="57" t="str">
        <f>IF(AND('Mapa final'!$AG$70="Baja",'Mapa final'!$AI$70="Moderado"),CONCATENATE("R10C",'Mapa final'!$W$70),"")</f>
        <v/>
      </c>
      <c r="Z45" s="57" t="str">
        <f>IF(AND('Mapa final'!$AG$71="Baja",'Mapa final'!$AI$71="Moderado"),CONCATENATE("R10C",'Mapa final'!$W$71),"")</f>
        <v/>
      </c>
      <c r="AA45" s="58" t="str">
        <f>IF(AND('Mapa final'!$AG$72="Baja",'Mapa final'!$AI$72="Moderado"),CONCATENATE("R10C",'Mapa final'!$W$72),"")</f>
        <v/>
      </c>
      <c r="AB45" s="44" t="str">
        <f ca="1">IF(AND('Mapa final'!$AG$67="Baja",'Mapa final'!$AI$67="Mayor"),CONCATENATE("R10C",'Mapa final'!$W$67),"")</f>
        <v/>
      </c>
      <c r="AC45" s="45" t="str">
        <f ca="1">IF(AND('Mapa final'!$AG$68="Baja",'Mapa final'!$AI$68="Mayor"),CONCATENATE("R10C",'Mapa final'!$W$68),"")</f>
        <v>R10C2</v>
      </c>
      <c r="AD45" s="45" t="str">
        <f>IF(AND('Mapa final'!$AG$69="Baja",'Mapa final'!$AI$69="Mayor"),CONCATENATE("R10C",'Mapa final'!$W$69),"")</f>
        <v/>
      </c>
      <c r="AE45" s="45" t="str">
        <f>IF(AND('Mapa final'!$AG$70="Baja",'Mapa final'!$AI$70="Mayor"),CONCATENATE("R10C",'Mapa final'!$W$70),"")</f>
        <v/>
      </c>
      <c r="AF45" s="45" t="str">
        <f>IF(AND('Mapa final'!$AG$71="Baja",'Mapa final'!$AI$71="Mayor"),CONCATENATE("R10C",'Mapa final'!$W$71),"")</f>
        <v/>
      </c>
      <c r="AG45" s="46" t="str">
        <f>IF(AND('Mapa final'!$AG$72="Baja",'Mapa final'!$AI$72="Mayor"),CONCATENATE("R10C",'Mapa final'!$W$72),"")</f>
        <v/>
      </c>
      <c r="AH45" s="47" t="str">
        <f ca="1">IF(AND('Mapa final'!$AG$67="Baja",'Mapa final'!$AI$67="Catastrófico"),CONCATENATE("R10C",'Mapa final'!$W$67),"")</f>
        <v/>
      </c>
      <c r="AI45" s="48" t="str">
        <f ca="1">IF(AND('Mapa final'!$AG$68="Baja",'Mapa final'!$AI$68="Catastrófico"),CONCATENATE("R10C",'Mapa final'!$W$68),"")</f>
        <v/>
      </c>
      <c r="AJ45" s="48" t="str">
        <f>IF(AND('Mapa final'!$AG$69="Baja",'Mapa final'!$AI$69="Catastrófico"),CONCATENATE("R10C",'Mapa final'!$W$69),"")</f>
        <v/>
      </c>
      <c r="AK45" s="48" t="str">
        <f>IF(AND('Mapa final'!$AG$70="Baja",'Mapa final'!$AI$70="Catastrófico"),CONCATENATE("R10C",'Mapa final'!$W$70),"")</f>
        <v/>
      </c>
      <c r="AL45" s="48" t="str">
        <f>IF(AND('Mapa final'!$AG$71="Baja",'Mapa final'!$AI$71="Catastrófico"),CONCATENATE("R10C",'Mapa final'!$W$71),"")</f>
        <v/>
      </c>
      <c r="AM45" s="49" t="str">
        <f>IF(AND('Mapa final'!$AG$72="Baja",'Mapa final'!$AI$72="Catastrófico"),CONCATENATE("R10C",'Mapa final'!$W$72),"")</f>
        <v/>
      </c>
      <c r="AN45" s="69"/>
      <c r="AO45" s="461"/>
      <c r="AP45" s="462"/>
      <c r="AQ45" s="462"/>
      <c r="AR45" s="462"/>
      <c r="AS45" s="462"/>
      <c r="AT45" s="463"/>
    </row>
    <row r="46" spans="1:80" ht="46.5" customHeight="1" x14ac:dyDescent="0.35">
      <c r="A46" s="69"/>
      <c r="B46" s="431"/>
      <c r="C46" s="431"/>
      <c r="D46" s="432"/>
      <c r="E46" s="433" t="s">
        <v>140</v>
      </c>
      <c r="F46" s="434"/>
      <c r="G46" s="434"/>
      <c r="H46" s="434"/>
      <c r="I46" s="435"/>
      <c r="J46" s="59" t="str">
        <f ca="1">IF(AND('Mapa final'!$AG$13="Muy Baja",'Mapa final'!$AI$13="Leve"),CONCATENATE("R1C",'Mapa final'!$W$13),"")</f>
        <v/>
      </c>
      <c r="K46" s="60" t="str">
        <f ca="1">IF(AND('Mapa final'!$AG$14="Muy Baja",'Mapa final'!$AI$14="Leve"),CONCATENATE("R1C",'Mapa final'!$W$14),"")</f>
        <v/>
      </c>
      <c r="L46" s="60" t="str">
        <f>IF(AND('Mapa final'!$AG$15="Muy Baja",'Mapa final'!$AI$15="Leve"),CONCATENATE("R1C",'Mapa final'!$W$15),"")</f>
        <v/>
      </c>
      <c r="M46" s="60" t="str">
        <f>IF(AND('Mapa final'!$AG$16="Muy Baja",'Mapa final'!$AI$16="Leve"),CONCATENATE("R1C",'Mapa final'!$W$16),"")</f>
        <v/>
      </c>
      <c r="N46" s="60" t="str">
        <f>IF(AND('Mapa final'!$AG$17="Muy Baja",'Mapa final'!$AI$17="Leve"),CONCATENATE("R1C",'Mapa final'!$W$17),"")</f>
        <v/>
      </c>
      <c r="O46" s="61" t="str">
        <f>IF(AND('Mapa final'!$AG$18="Muy Baja",'Mapa final'!$AI$18="Leve"),CONCATENATE("R1C",'Mapa final'!$W$18),"")</f>
        <v/>
      </c>
      <c r="P46" s="59" t="str">
        <f ca="1">IF(AND('Mapa final'!$AG$13="Muy Baja",'Mapa final'!$AI$13="Menor"),CONCATENATE("R1C",'Mapa final'!$W$13),"")</f>
        <v/>
      </c>
      <c r="Q46" s="60" t="str">
        <f ca="1">IF(AND('Mapa final'!$AG$14="Muy Baja",'Mapa final'!$AI$14="Menor"),CONCATENATE("R1C",'Mapa final'!$W$14),"")</f>
        <v/>
      </c>
      <c r="R46" s="60" t="str">
        <f>IF(AND('Mapa final'!$AG$15="Muy Baja",'Mapa final'!$AI$15="Menor"),CONCATENATE("R1C",'Mapa final'!$W$15),"")</f>
        <v/>
      </c>
      <c r="S46" s="60" t="str">
        <f>IF(AND('Mapa final'!$AG$16="Muy Baja",'Mapa final'!$AI$16="Menor"),CONCATENATE("R1C",'Mapa final'!$W$16),"")</f>
        <v/>
      </c>
      <c r="T46" s="60" t="str">
        <f>IF(AND('Mapa final'!$AG$17="Muy Baja",'Mapa final'!$AI$17="Menor"),CONCATENATE("R1C",'Mapa final'!$W$17),"")</f>
        <v/>
      </c>
      <c r="U46" s="61" t="str">
        <f>IF(AND('Mapa final'!$AG$18="Muy Baja",'Mapa final'!$AI$18="Menor"),CONCATENATE("R1C",'Mapa final'!$W$18),"")</f>
        <v/>
      </c>
      <c r="V46" s="50" t="str">
        <f ca="1">IF(AND('Mapa final'!$AG$13="Muy Baja",'Mapa final'!$AI$13="Moderado"),CONCATENATE("R1C",'Mapa final'!$W$13),"")</f>
        <v/>
      </c>
      <c r="W46" s="68" t="str">
        <f ca="1">IF(AND('Mapa final'!$AG$14="Muy Baja",'Mapa final'!$AI$14="Moderado"),CONCATENATE("R1C",'Mapa final'!$W$14),"")</f>
        <v/>
      </c>
      <c r="X46" s="51" t="str">
        <f>IF(AND('Mapa final'!$AG$15="Muy Baja",'Mapa final'!$AI$15="Moderado"),CONCATENATE("R1C",'Mapa final'!$W$15),"")</f>
        <v/>
      </c>
      <c r="Y46" s="51" t="str">
        <f>IF(AND('Mapa final'!$AG$16="Muy Baja",'Mapa final'!$AI$16="Moderado"),CONCATENATE("R1C",'Mapa final'!$W$16),"")</f>
        <v/>
      </c>
      <c r="Z46" s="51" t="str">
        <f>IF(AND('Mapa final'!$AG$17="Muy Baja",'Mapa final'!$AI$17="Moderado"),CONCATENATE("R1C",'Mapa final'!$W$17),"")</f>
        <v/>
      </c>
      <c r="AA46" s="52" t="str">
        <f>IF(AND('Mapa final'!$AG$18="Muy Baja",'Mapa final'!$AI$18="Moderado"),CONCATENATE("R1C",'Mapa final'!$W$18),"")</f>
        <v/>
      </c>
      <c r="AB46" s="32" t="str">
        <f ca="1">IF(AND('Mapa final'!$AG$13="Muy Baja",'Mapa final'!$AI$13="Mayor"),CONCATENATE("R1C",'Mapa final'!$W$13),"")</f>
        <v/>
      </c>
      <c r="AC46" s="33" t="str">
        <f ca="1">IF(AND('Mapa final'!$AG$14="Muy Baja",'Mapa final'!$AI$14="Mayor"),CONCATENATE("R1C",'Mapa final'!$W$14),"")</f>
        <v/>
      </c>
      <c r="AD46" s="33" t="str">
        <f>IF(AND('Mapa final'!$AG$15="Muy Baja",'Mapa final'!$AI$15="Mayor"),CONCATENATE("R1C",'Mapa final'!$W$15),"")</f>
        <v/>
      </c>
      <c r="AE46" s="33" t="str">
        <f>IF(AND('Mapa final'!$AG$16="Muy Baja",'Mapa final'!$AI$16="Mayor"),CONCATENATE("R1C",'Mapa final'!$W$16),"")</f>
        <v/>
      </c>
      <c r="AF46" s="33" t="str">
        <f>IF(AND('Mapa final'!$AG$17="Muy Baja",'Mapa final'!$AI$17="Mayor"),CONCATENATE("R1C",'Mapa final'!$W$17),"")</f>
        <v/>
      </c>
      <c r="AG46" s="34" t="str">
        <f>IF(AND('Mapa final'!$AG$18="Muy Baja",'Mapa final'!$AI$18="Mayor"),CONCATENATE("R1C",'Mapa final'!$W$18),"")</f>
        <v/>
      </c>
      <c r="AH46" s="35" t="str">
        <f ca="1">IF(AND('Mapa final'!$AG$13="Muy Baja",'Mapa final'!$AI$13="Catastrófico"),CONCATENATE("R1C",'Mapa final'!$W$13),"")</f>
        <v/>
      </c>
      <c r="AI46" s="36" t="str">
        <f ca="1">IF(AND('Mapa final'!$AG$14="Muy Baja",'Mapa final'!$AI$14="Catastrófico"),CONCATENATE("R1C",'Mapa final'!$W$14),"")</f>
        <v/>
      </c>
      <c r="AJ46" s="36" t="str">
        <f>IF(AND('Mapa final'!$AG$15="Muy Baja",'Mapa final'!$AI$15="Catastrófico"),CONCATENATE("R1C",'Mapa final'!$W$15),"")</f>
        <v/>
      </c>
      <c r="AK46" s="36" t="str">
        <f>IF(AND('Mapa final'!$AG$16="Muy Baja",'Mapa final'!$AI$16="Catastrófico"),CONCATENATE("R1C",'Mapa final'!$W$16),"")</f>
        <v/>
      </c>
      <c r="AL46" s="36" t="str">
        <f>IF(AND('Mapa final'!$AG$17="Muy Baja",'Mapa final'!$AI$17="Catastrófico"),CONCATENATE("R1C",'Mapa final'!$W$17),"")</f>
        <v/>
      </c>
      <c r="AM46" s="37" t="str">
        <f>IF(AND('Mapa final'!$AG$18="Muy Baja",'Mapa final'!$AI$18="Catastrófico"),CONCATENATE("R1C",'Mapa final'!$W$18),"")</f>
        <v/>
      </c>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ht="46.5" customHeight="1" x14ac:dyDescent="0.25">
      <c r="A47" s="69"/>
      <c r="B47" s="431"/>
      <c r="C47" s="431"/>
      <c r="D47" s="432"/>
      <c r="E47" s="443"/>
      <c r="F47" s="437"/>
      <c r="G47" s="437"/>
      <c r="H47" s="437"/>
      <c r="I47" s="438"/>
      <c r="J47" s="62" t="str">
        <f ca="1">IF(AND('Mapa final'!$AG$19="Muy Baja",'Mapa final'!$AI$19="Leve"),CONCATENATE("R2C",'Mapa final'!$W$19),"")</f>
        <v/>
      </c>
      <c r="K47" s="63" t="str">
        <f ca="1">IF(AND('Mapa final'!$AG$20="Muy Baja",'Mapa final'!$AI$20="Leve"),CONCATENATE("R2C",'Mapa final'!$W$20),"")</f>
        <v/>
      </c>
      <c r="L47" s="63" t="str">
        <f>IF(AND('Mapa final'!$AG$21="Muy Baja",'Mapa final'!$AI$21="Leve"),CONCATENATE("R2C",'Mapa final'!$W$21),"")</f>
        <v/>
      </c>
      <c r="M47" s="63" t="str">
        <f>IF(AND('Mapa final'!$AG$22="Muy Baja",'Mapa final'!$AI$22="Leve"),CONCATENATE("R2C",'Mapa final'!$W$22),"")</f>
        <v/>
      </c>
      <c r="N47" s="63" t="str">
        <f>IF(AND('Mapa final'!$AG$23="Muy Baja",'Mapa final'!$AI$23="Leve"),CONCATENATE("R2C",'Mapa final'!$W$23),"")</f>
        <v/>
      </c>
      <c r="O47" s="64" t="str">
        <f>IF(AND('Mapa final'!$AG$24="Muy Baja",'Mapa final'!$AI$24="Leve"),CONCATENATE("R2C",'Mapa final'!$W$24),"")</f>
        <v/>
      </c>
      <c r="P47" s="62" t="str">
        <f ca="1">IF(AND('Mapa final'!$AG$19="Muy Baja",'Mapa final'!$AI$19="Menor"),CONCATENATE("R2C",'Mapa final'!$W$19),"")</f>
        <v/>
      </c>
      <c r="Q47" s="63" t="str">
        <f ca="1">IF(AND('Mapa final'!$AG$20="Muy Baja",'Mapa final'!$AI$20="Menor"),CONCATENATE("R2C",'Mapa final'!$W$20),"")</f>
        <v/>
      </c>
      <c r="R47" s="63" t="str">
        <f>IF(AND('Mapa final'!$AG$21="Muy Baja",'Mapa final'!$AI$21="Menor"),CONCATENATE("R2C",'Mapa final'!$W$21),"")</f>
        <v/>
      </c>
      <c r="S47" s="63" t="str">
        <f>IF(AND('Mapa final'!$AG$22="Muy Baja",'Mapa final'!$AI$22="Menor"),CONCATENATE("R2C",'Mapa final'!$W$22),"")</f>
        <v/>
      </c>
      <c r="T47" s="63" t="str">
        <f>IF(AND('Mapa final'!$AG$23="Muy Baja",'Mapa final'!$AI$23="Menor"),CONCATENATE("R2C",'Mapa final'!$W$23),"")</f>
        <v/>
      </c>
      <c r="U47" s="64" t="str">
        <f>IF(AND('Mapa final'!$AG$24="Muy Baja",'Mapa final'!$AI$24="Menor"),CONCATENATE("R2C",'Mapa final'!$W$24),"")</f>
        <v/>
      </c>
      <c r="V47" s="53" t="str">
        <f ca="1">IF(AND('Mapa final'!$AG$19="Muy Baja",'Mapa final'!$AI$19="Moderado"),CONCATENATE("R2C",'Mapa final'!$W$19),"")</f>
        <v/>
      </c>
      <c r="W47" s="54" t="str">
        <f ca="1">IF(AND('Mapa final'!$AG$20="Muy Baja",'Mapa final'!$AI$20="Moderado"),CONCATENATE("R2C",'Mapa final'!$W$20),"")</f>
        <v/>
      </c>
      <c r="X47" s="54" t="str">
        <f>IF(AND('Mapa final'!$AG$21="Muy Baja",'Mapa final'!$AI$21="Moderado"),CONCATENATE("R2C",'Mapa final'!$W$21),"")</f>
        <v/>
      </c>
      <c r="Y47" s="54" t="str">
        <f>IF(AND('Mapa final'!$AG$22="Muy Baja",'Mapa final'!$AI$22="Moderado"),CONCATENATE("R2C",'Mapa final'!$W$22),"")</f>
        <v/>
      </c>
      <c r="Z47" s="54" t="str">
        <f>IF(AND('Mapa final'!$AG$23="Muy Baja",'Mapa final'!$AI$23="Moderado"),CONCATENATE("R2C",'Mapa final'!$W$23),"")</f>
        <v/>
      </c>
      <c r="AA47" s="55" t="str">
        <f>IF(AND('Mapa final'!$AG$24="Muy Baja",'Mapa final'!$AI$24="Moderado"),CONCATENATE("R2C",'Mapa final'!$W$24),"")</f>
        <v/>
      </c>
      <c r="AB47" s="38" t="str">
        <f ca="1">IF(AND('Mapa final'!$AG$19="Muy Baja",'Mapa final'!$AI$19="Mayor"),CONCATENATE("R2C",'Mapa final'!$W$19),"")</f>
        <v/>
      </c>
      <c r="AC47" s="39" t="str">
        <f ca="1">IF(AND('Mapa final'!$AG$20="Muy Baja",'Mapa final'!$AI$20="Mayor"),CONCATENATE("R2C",'Mapa final'!$W$20),"")</f>
        <v/>
      </c>
      <c r="AD47" s="39" t="str">
        <f>IF(AND('Mapa final'!$AG$21="Muy Baja",'Mapa final'!$AI$21="Mayor"),CONCATENATE("R2C",'Mapa final'!$W$21),"")</f>
        <v/>
      </c>
      <c r="AE47" s="39" t="str">
        <f>IF(AND('Mapa final'!$AG$22="Muy Baja",'Mapa final'!$AI$22="Mayor"),CONCATENATE("R2C",'Mapa final'!$W$22),"")</f>
        <v/>
      </c>
      <c r="AF47" s="39" t="str">
        <f>IF(AND('Mapa final'!$AG$23="Muy Baja",'Mapa final'!$AI$23="Mayor"),CONCATENATE("R2C",'Mapa final'!$W$23),"")</f>
        <v/>
      </c>
      <c r="AG47" s="40" t="str">
        <f>IF(AND('Mapa final'!$AG$24="Muy Baja",'Mapa final'!$AI$24="Mayor"),CONCATENATE("R2C",'Mapa final'!$W$24),"")</f>
        <v/>
      </c>
      <c r="AH47" s="41" t="str">
        <f ca="1">IF(AND('Mapa final'!$AG$19="Muy Baja",'Mapa final'!$AI$19="Catastrófico"),CONCATENATE("R2C",'Mapa final'!$W$19),"")</f>
        <v/>
      </c>
      <c r="AI47" s="42" t="str">
        <f ca="1">IF(AND('Mapa final'!$AG$20="Muy Baja",'Mapa final'!$AI$20="Catastrófico"),CONCATENATE("R2C",'Mapa final'!$W$20),"")</f>
        <v/>
      </c>
      <c r="AJ47" s="42" t="str">
        <f>IF(AND('Mapa final'!$AG$21="Muy Baja",'Mapa final'!$AI$21="Catastrófico"),CONCATENATE("R2C",'Mapa final'!$W$21),"")</f>
        <v/>
      </c>
      <c r="AK47" s="42" t="str">
        <f>IF(AND('Mapa final'!$AG$22="Muy Baja",'Mapa final'!$AI$22="Catastrófico"),CONCATENATE("R2C",'Mapa final'!$W$22),"")</f>
        <v/>
      </c>
      <c r="AL47" s="42" t="str">
        <f>IF(AND('Mapa final'!$AG$23="Muy Baja",'Mapa final'!$AI$23="Catastrófico"),CONCATENATE("R2C",'Mapa final'!$W$23),"")</f>
        <v/>
      </c>
      <c r="AM47" s="43" t="str">
        <f>IF(AND('Mapa final'!$AG$24="Muy Baja",'Mapa final'!$AI$24="Catastrófico"),CONCATENATE("R2C",'Mapa final'!$W$24),"")</f>
        <v/>
      </c>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ht="15" customHeight="1" x14ac:dyDescent="0.25">
      <c r="A48" s="69"/>
      <c r="B48" s="431"/>
      <c r="C48" s="431"/>
      <c r="D48" s="432"/>
      <c r="E48" s="443"/>
      <c r="F48" s="437"/>
      <c r="G48" s="437"/>
      <c r="H48" s="437"/>
      <c r="I48" s="438"/>
      <c r="J48" s="62" t="str">
        <f ca="1">IF(AND('Mapa final'!$AG$25="Muy Baja",'Mapa final'!$AI$25="Leve"),CONCATENATE("R3C",'Mapa final'!$W$25),"")</f>
        <v/>
      </c>
      <c r="K48" s="63" t="str">
        <f ca="1">IF(AND('Mapa final'!$AG$26="Muy Baja",'Mapa final'!$AI$26="Leve"),CONCATENATE("R3C",'Mapa final'!$W$26),"")</f>
        <v/>
      </c>
      <c r="L48" s="63" t="str">
        <f ca="1">IF(AND('Mapa final'!$AG$27="Muy Baja",'Mapa final'!$AI$27="Leve"),CONCATENATE("R3C",'Mapa final'!$W$27),"")</f>
        <v/>
      </c>
      <c r="M48" s="63" t="str">
        <f>IF(AND('Mapa final'!$AG$28="Muy Baja",'Mapa final'!$AI$28="Leve"),CONCATENATE("R3C",'Mapa final'!$W$28),"")</f>
        <v/>
      </c>
      <c r="N48" s="63" t="str">
        <f>IF(AND('Mapa final'!$AG$29="Muy Baja",'Mapa final'!$AI$29="Leve"),CONCATENATE("R3C",'Mapa final'!$W$29),"")</f>
        <v/>
      </c>
      <c r="O48" s="64" t="str">
        <f>IF(AND('Mapa final'!$AG$30="Muy Baja",'Mapa final'!$AI$30="Leve"),CONCATENATE("R3C",'Mapa final'!$W$30),"")</f>
        <v/>
      </c>
      <c r="P48" s="62" t="str">
        <f ca="1">IF(AND('Mapa final'!$AG$25="Muy Baja",'Mapa final'!$AI$25="Menor"),CONCATENATE("R3C",'Mapa final'!$W$25),"")</f>
        <v/>
      </c>
      <c r="Q48" s="63" t="str">
        <f ca="1">IF(AND('Mapa final'!$AG$26="Muy Baja",'Mapa final'!$AI$26="Menor"),CONCATENATE("R3C",'Mapa final'!$W$26),"")</f>
        <v/>
      </c>
      <c r="R48" s="63" t="str">
        <f ca="1">IF(AND('Mapa final'!$AG$27="Muy Baja",'Mapa final'!$AI$27="Menor"),CONCATENATE("R3C",'Mapa final'!$W$27),"")</f>
        <v/>
      </c>
      <c r="S48" s="63" t="str">
        <f>IF(AND('Mapa final'!$AG$28="Muy Baja",'Mapa final'!$AI$28="Menor"),CONCATENATE("R3C",'Mapa final'!$W$28),"")</f>
        <v/>
      </c>
      <c r="T48" s="63" t="str">
        <f>IF(AND('Mapa final'!$AG$29="Muy Baja",'Mapa final'!$AI$29="Menor"),CONCATENATE("R3C",'Mapa final'!$W$29),"")</f>
        <v/>
      </c>
      <c r="U48" s="64" t="str">
        <f>IF(AND('Mapa final'!$AG$30="Muy Baja",'Mapa final'!$AI$30="Menor"),CONCATENATE("R3C",'Mapa final'!$W$30),"")</f>
        <v/>
      </c>
      <c r="V48" s="53" t="str">
        <f ca="1">IF(AND('Mapa final'!$AG$25="Muy Baja",'Mapa final'!$AI$25="Moderado"),CONCATENATE("R3C",'Mapa final'!$W$25),"")</f>
        <v/>
      </c>
      <c r="W48" s="54" t="str">
        <f ca="1">IF(AND('Mapa final'!$AG$26="Muy Baja",'Mapa final'!$AI$26="Moderado"),CONCATENATE("R3C",'Mapa final'!$W$26),"")</f>
        <v/>
      </c>
      <c r="X48" s="54" t="str">
        <f ca="1">IF(AND('Mapa final'!$AG$27="Muy Baja",'Mapa final'!$AI$27="Moderado"),CONCATENATE("R3C",'Mapa final'!$W$27),"")</f>
        <v/>
      </c>
      <c r="Y48" s="54" t="str">
        <f>IF(AND('Mapa final'!$AG$28="Muy Baja",'Mapa final'!$AI$28="Moderado"),CONCATENATE("R3C",'Mapa final'!$W$28),"")</f>
        <v/>
      </c>
      <c r="Z48" s="54" t="str">
        <f>IF(AND('Mapa final'!$AG$29="Muy Baja",'Mapa final'!$AI$29="Moderado"),CONCATENATE("R3C",'Mapa final'!$W$29),"")</f>
        <v/>
      </c>
      <c r="AA48" s="55" t="str">
        <f>IF(AND('Mapa final'!$AG$30="Muy Baja",'Mapa final'!$AI$30="Moderado"),CONCATENATE("R3C",'Mapa final'!$W$30),"")</f>
        <v/>
      </c>
      <c r="AB48" s="38" t="str">
        <f ca="1">IF(AND('Mapa final'!$AG$25="Muy Baja",'Mapa final'!$AI$25="Mayor"),CONCATENATE("R3C",'Mapa final'!$W$25),"")</f>
        <v>R3C1</v>
      </c>
      <c r="AC48" s="39" t="str">
        <f ca="1">IF(AND('Mapa final'!$AG$26="Muy Baja",'Mapa final'!$AI$26="Mayor"),CONCATENATE("R3C",'Mapa final'!$W$26),"")</f>
        <v>R3C2</v>
      </c>
      <c r="AD48" s="39" t="str">
        <f ca="1">IF(AND('Mapa final'!$AG$27="Muy Baja",'Mapa final'!$AI$27="Mayor"),CONCATENATE("R3C",'Mapa final'!$W$27),"")</f>
        <v>R3C3</v>
      </c>
      <c r="AE48" s="39" t="str">
        <f>IF(AND('Mapa final'!$AG$28="Muy Baja",'Mapa final'!$AI$28="Mayor"),CONCATENATE("R3C",'Mapa final'!$W$28),"")</f>
        <v/>
      </c>
      <c r="AF48" s="39" t="str">
        <f>IF(AND('Mapa final'!$AG$29="Muy Baja",'Mapa final'!$AI$29="Mayor"),CONCATENATE("R3C",'Mapa final'!$W$29),"")</f>
        <v/>
      </c>
      <c r="AG48" s="40" t="str">
        <f>IF(AND('Mapa final'!$AG$30="Muy Baja",'Mapa final'!$AI$30="Mayor"),CONCATENATE("R3C",'Mapa final'!$W$30),"")</f>
        <v/>
      </c>
      <c r="AH48" s="41" t="str">
        <f ca="1">IF(AND('Mapa final'!$AG$25="Muy Baja",'Mapa final'!$AI$25="Catastrófico"),CONCATENATE("R3C",'Mapa final'!$W$25),"")</f>
        <v/>
      </c>
      <c r="AI48" s="42" t="str">
        <f ca="1">IF(AND('Mapa final'!$AG$26="Muy Baja",'Mapa final'!$AI$26="Catastrófico"),CONCATENATE("R3C",'Mapa final'!$W$26),"")</f>
        <v/>
      </c>
      <c r="AJ48" s="42" t="str">
        <f ca="1">IF(AND('Mapa final'!$AG$27="Muy Baja",'Mapa final'!$AI$27="Catastrófico"),CONCATENATE("R3C",'Mapa final'!$W$27),"")</f>
        <v/>
      </c>
      <c r="AK48" s="42" t="str">
        <f>IF(AND('Mapa final'!$AG$28="Muy Baja",'Mapa final'!$AI$28="Catastrófico"),CONCATENATE("R3C",'Mapa final'!$W$28),"")</f>
        <v/>
      </c>
      <c r="AL48" s="42" t="str">
        <f>IF(AND('Mapa final'!$AG$29="Muy Baja",'Mapa final'!$AI$29="Catastrófico"),CONCATENATE("R3C",'Mapa final'!$W$29),"")</f>
        <v/>
      </c>
      <c r="AM48" s="43" t="str">
        <f>IF(AND('Mapa final'!$AG$30="Muy Baja",'Mapa final'!$AI$30="Catastrófico"),CONCATENATE("R3C",'Mapa final'!$W$30),"")</f>
        <v/>
      </c>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ht="15" customHeight="1" x14ac:dyDescent="0.25">
      <c r="A49" s="69"/>
      <c r="B49" s="431"/>
      <c r="C49" s="431"/>
      <c r="D49" s="432"/>
      <c r="E49" s="436"/>
      <c r="F49" s="437"/>
      <c r="G49" s="437"/>
      <c r="H49" s="437"/>
      <c r="I49" s="438"/>
      <c r="J49" s="62" t="str">
        <f ca="1">IF(AND('Mapa final'!$AG$31="Muy Baja",'Mapa final'!$AI$31="Leve"),CONCATENATE("R4C",'Mapa final'!$W$31),"")</f>
        <v/>
      </c>
      <c r="K49" s="63" t="str">
        <f ca="1">IF(AND('Mapa final'!$AG$32="Muy Baja",'Mapa final'!$AI$32="Leve"),CONCATENATE("R4C",'Mapa final'!$W$32),"")</f>
        <v/>
      </c>
      <c r="L49" s="63" t="str">
        <f>IF(AND('Mapa final'!$AG$33="Muy Baja",'Mapa final'!$AI$33="Leve"),CONCATENATE("R4C",'Mapa final'!$W$33),"")</f>
        <v/>
      </c>
      <c r="M49" s="63" t="str">
        <f>IF(AND('Mapa final'!$AG$34="Muy Baja",'Mapa final'!$AI$34="Leve"),CONCATENATE("R4C",'Mapa final'!$W$34),"")</f>
        <v/>
      </c>
      <c r="N49" s="63" t="str">
        <f>IF(AND('Mapa final'!$AG$35="Muy Baja",'Mapa final'!$AI$35="Leve"),CONCATENATE("R4C",'Mapa final'!$W$35),"")</f>
        <v/>
      </c>
      <c r="O49" s="64" t="str">
        <f>IF(AND('Mapa final'!$AG$36="Muy Baja",'Mapa final'!$AI$36="Leve"),CONCATENATE("R4C",'Mapa final'!$W$36),"")</f>
        <v/>
      </c>
      <c r="P49" s="62" t="str">
        <f ca="1">IF(AND('Mapa final'!$AG$31="Muy Baja",'Mapa final'!$AI$31="Menor"),CONCATENATE("R4C",'Mapa final'!$W$31),"")</f>
        <v/>
      </c>
      <c r="Q49" s="63" t="str">
        <f ca="1">IF(AND('Mapa final'!$AG$32="Muy Baja",'Mapa final'!$AI$32="Menor"),CONCATENATE("R4C",'Mapa final'!$W$32),"")</f>
        <v/>
      </c>
      <c r="R49" s="63" t="str">
        <f>IF(AND('Mapa final'!$AG$33="Muy Baja",'Mapa final'!$AI$33="Menor"),CONCATENATE("R4C",'Mapa final'!$W$33),"")</f>
        <v/>
      </c>
      <c r="S49" s="63" t="str">
        <f>IF(AND('Mapa final'!$AG$34="Muy Baja",'Mapa final'!$AI$34="Menor"),CONCATENATE("R4C",'Mapa final'!$W$34),"")</f>
        <v/>
      </c>
      <c r="T49" s="63" t="str">
        <f>IF(AND('Mapa final'!$AG$35="Muy Baja",'Mapa final'!$AI$35="Menor"),CONCATENATE("R4C",'Mapa final'!$W$35),"")</f>
        <v/>
      </c>
      <c r="U49" s="64" t="str">
        <f>IF(AND('Mapa final'!$AG$36="Muy Baja",'Mapa final'!$AI$36="Menor"),CONCATENATE("R4C",'Mapa final'!$W$36),"")</f>
        <v/>
      </c>
      <c r="V49" s="53" t="str">
        <f ca="1">IF(AND('Mapa final'!$AG$31="Muy Baja",'Mapa final'!$AI$31="Moderado"),CONCATENATE("R4C",'Mapa final'!$W$31),"")</f>
        <v/>
      </c>
      <c r="W49" s="54" t="str">
        <f ca="1">IF(AND('Mapa final'!$AG$32="Muy Baja",'Mapa final'!$AI$32="Moderado"),CONCATENATE("R4C",'Mapa final'!$W$32),"")</f>
        <v>R4C2</v>
      </c>
      <c r="X49" s="54" t="str">
        <f>IF(AND('Mapa final'!$AG$33="Muy Baja",'Mapa final'!$AI$33="Moderado"),CONCATENATE("R4C",'Mapa final'!$W$33),"")</f>
        <v/>
      </c>
      <c r="Y49" s="54" t="str">
        <f>IF(AND('Mapa final'!$AG$34="Muy Baja",'Mapa final'!$AI$34="Moderado"),CONCATENATE("R4C",'Mapa final'!$W$34),"")</f>
        <v/>
      </c>
      <c r="Z49" s="54" t="str">
        <f>IF(AND('Mapa final'!$AG$35="Muy Baja",'Mapa final'!$AI$35="Moderado"),CONCATENATE("R4C",'Mapa final'!$W$35),"")</f>
        <v/>
      </c>
      <c r="AA49" s="55" t="str">
        <f>IF(AND('Mapa final'!$AG$36="Muy Baja",'Mapa final'!$AI$36="Moderado"),CONCATENATE("R4C",'Mapa final'!$W$36),"")</f>
        <v/>
      </c>
      <c r="AB49" s="38" t="str">
        <f ca="1">IF(AND('Mapa final'!$AG$31="Muy Baja",'Mapa final'!$AI$31="Mayor"),CONCATENATE("R4C",'Mapa final'!$W$31),"")</f>
        <v/>
      </c>
      <c r="AC49" s="39" t="str">
        <f ca="1">IF(AND('Mapa final'!$AG$32="Muy Baja",'Mapa final'!$AI$32="Mayor"),CONCATENATE("R4C",'Mapa final'!$W$32),"")</f>
        <v/>
      </c>
      <c r="AD49" s="39" t="str">
        <f>IF(AND('Mapa final'!$AG$33="Muy Baja",'Mapa final'!$AI$33="Mayor"),CONCATENATE("R4C",'Mapa final'!$W$33),"")</f>
        <v/>
      </c>
      <c r="AE49" s="39" t="str">
        <f>IF(AND('Mapa final'!$AG$34="Muy Baja",'Mapa final'!$AI$34="Mayor"),CONCATENATE("R4C",'Mapa final'!$W$34),"")</f>
        <v/>
      </c>
      <c r="AF49" s="39" t="str">
        <f>IF(AND('Mapa final'!$AG$35="Muy Baja",'Mapa final'!$AI$35="Mayor"),CONCATENATE("R4C",'Mapa final'!$W$35),"")</f>
        <v/>
      </c>
      <c r="AG49" s="40" t="str">
        <f>IF(AND('Mapa final'!$AG$36="Muy Baja",'Mapa final'!$AI$36="Mayor"),CONCATENATE("R4C",'Mapa final'!$W$36),"")</f>
        <v/>
      </c>
      <c r="AH49" s="41" t="str">
        <f ca="1">IF(AND('Mapa final'!$AG$31="Muy Baja",'Mapa final'!$AI$31="Catastrófico"),CONCATENATE("R4C",'Mapa final'!$W$31),"")</f>
        <v/>
      </c>
      <c r="AI49" s="42" t="str">
        <f ca="1">IF(AND('Mapa final'!$AG$32="Muy Baja",'Mapa final'!$AI$32="Catastrófico"),CONCATENATE("R4C",'Mapa final'!$W$32),"")</f>
        <v/>
      </c>
      <c r="AJ49" s="42" t="str">
        <f>IF(AND('Mapa final'!$AG$33="Muy Baja",'Mapa final'!$AI$33="Catastrófico"),CONCATENATE("R4C",'Mapa final'!$W$33),"")</f>
        <v/>
      </c>
      <c r="AK49" s="42" t="str">
        <f>IF(AND('Mapa final'!$AG$34="Muy Baja",'Mapa final'!$AI$34="Catastrófico"),CONCATENATE("R4C",'Mapa final'!$W$34),"")</f>
        <v/>
      </c>
      <c r="AL49" s="42" t="str">
        <f>IF(AND('Mapa final'!$AG$35="Muy Baja",'Mapa final'!$AI$35="Catastrófico"),CONCATENATE("R4C",'Mapa final'!$W$35),"")</f>
        <v/>
      </c>
      <c r="AM49" s="43" t="str">
        <f>IF(AND('Mapa final'!$AG$36="Muy Baja",'Mapa final'!$AI$36="Catastrófico"),CONCATENATE("R4C",'Mapa final'!$W$36),"")</f>
        <v/>
      </c>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ht="15" customHeight="1" x14ac:dyDescent="0.25">
      <c r="A50" s="69"/>
      <c r="B50" s="431"/>
      <c r="C50" s="431"/>
      <c r="D50" s="432"/>
      <c r="E50" s="436"/>
      <c r="F50" s="437"/>
      <c r="G50" s="437"/>
      <c r="H50" s="437"/>
      <c r="I50" s="438"/>
      <c r="J50" s="62" t="str">
        <f ca="1">IF(AND('Mapa final'!$AG$37="Muy Baja",'Mapa final'!$AI$37="Leve"),CONCATENATE("R5C",'Mapa final'!$W$37),"")</f>
        <v/>
      </c>
      <c r="K50" s="63" t="str">
        <f ca="1">IF(AND('Mapa final'!$AG$38="Muy Baja",'Mapa final'!$AI$38="Leve"),CONCATENATE("R5C",'Mapa final'!$W$38),"")</f>
        <v/>
      </c>
      <c r="L50" s="63" t="str">
        <f ca="1">IF(AND('Mapa final'!$AG$39="Muy Baja",'Mapa final'!$AI$39="Leve"),CONCATENATE("R5C",'Mapa final'!$W$39),"")</f>
        <v/>
      </c>
      <c r="M50" s="63" t="str">
        <f>IF(AND('Mapa final'!$AG$40="Muy Baja",'Mapa final'!$AI$40="Leve"),CONCATENATE("R5C",'Mapa final'!$W$40),"")</f>
        <v/>
      </c>
      <c r="N50" s="63" t="str">
        <f>IF(AND('Mapa final'!$AG$41="Muy Baja",'Mapa final'!$AI$41="Leve"),CONCATENATE("R5C",'Mapa final'!$W$41),"")</f>
        <v/>
      </c>
      <c r="O50" s="64" t="str">
        <f>IF(AND('Mapa final'!$AG$42="Muy Baja",'Mapa final'!$AI$42="Leve"),CONCATENATE("R5C",'Mapa final'!$W$42),"")</f>
        <v/>
      </c>
      <c r="P50" s="62" t="str">
        <f ca="1">IF(AND('Mapa final'!$AG$37="Muy Baja",'Mapa final'!$AI$37="Menor"),CONCATENATE("R5C",'Mapa final'!$W$37),"")</f>
        <v/>
      </c>
      <c r="Q50" s="63" t="str">
        <f ca="1">IF(AND('Mapa final'!$AG$38="Muy Baja",'Mapa final'!$AI$38="Menor"),CONCATENATE("R5C",'Mapa final'!$W$38),"")</f>
        <v/>
      </c>
      <c r="R50" s="63" t="str">
        <f ca="1">IF(AND('Mapa final'!$AG$39="Muy Baja",'Mapa final'!$AI$39="Menor"),CONCATENATE("R5C",'Mapa final'!$W$39),"")</f>
        <v/>
      </c>
      <c r="S50" s="63" t="str">
        <f>IF(AND('Mapa final'!$AG$40="Muy Baja",'Mapa final'!$AI$40="Menor"),CONCATENATE("R5C",'Mapa final'!$W$40),"")</f>
        <v/>
      </c>
      <c r="T50" s="63" t="str">
        <f>IF(AND('Mapa final'!$AG$41="Muy Baja",'Mapa final'!$AI$41="Menor"),CONCATENATE("R5C",'Mapa final'!$W$41),"")</f>
        <v/>
      </c>
      <c r="U50" s="64" t="str">
        <f>IF(AND('Mapa final'!$AG$42="Muy Baja",'Mapa final'!$AI$42="Menor"),CONCATENATE("R5C",'Mapa final'!$W$42),"")</f>
        <v/>
      </c>
      <c r="V50" s="53" t="str">
        <f ca="1">IF(AND('Mapa final'!$AG$37="Muy Baja",'Mapa final'!$AI$37="Moderado"),CONCATENATE("R5C",'Mapa final'!$W$37),"")</f>
        <v/>
      </c>
      <c r="W50" s="54" t="str">
        <f ca="1">IF(AND('Mapa final'!$AG$38="Muy Baja",'Mapa final'!$AI$38="Moderado"),CONCATENATE("R5C",'Mapa final'!$W$38),"")</f>
        <v/>
      </c>
      <c r="X50" s="54" t="str">
        <f ca="1">IF(AND('Mapa final'!$AG$39="Muy Baja",'Mapa final'!$AI$39="Moderado"),CONCATENATE("R5C",'Mapa final'!$W$39),"")</f>
        <v/>
      </c>
      <c r="Y50" s="54" t="str">
        <f>IF(AND('Mapa final'!$AG$40="Muy Baja",'Mapa final'!$AI$40="Moderado"),CONCATENATE("R5C",'Mapa final'!$W$40),"")</f>
        <v/>
      </c>
      <c r="Z50" s="54" t="str">
        <f>IF(AND('Mapa final'!$AG$41="Muy Baja",'Mapa final'!$AI$41="Moderado"),CONCATENATE("R5C",'Mapa final'!$W$41),"")</f>
        <v/>
      </c>
      <c r="AA50" s="55" t="str">
        <f>IF(AND('Mapa final'!$AG$42="Muy Baja",'Mapa final'!$AI$42="Moderado"),CONCATENATE("R5C",'Mapa final'!$W$42),"")</f>
        <v/>
      </c>
      <c r="AB50" s="38" t="str">
        <f ca="1">IF(AND('Mapa final'!$AG$37="Muy Baja",'Mapa final'!$AI$37="Mayor"),CONCATENATE("R5C",'Mapa final'!$W$37),"")</f>
        <v>R5C1</v>
      </c>
      <c r="AC50" s="39" t="str">
        <f ca="1">IF(AND('Mapa final'!$AG$38="Muy Baja",'Mapa final'!$AI$38="Mayor"),CONCATENATE("R5C",'Mapa final'!$W$38),"")</f>
        <v>R5C2</v>
      </c>
      <c r="AD50" s="39" t="str">
        <f ca="1">IF(AND('Mapa final'!$AG$39="Muy Baja",'Mapa final'!$AI$39="Mayor"),CONCATENATE("R5C",'Mapa final'!$W$39),"")</f>
        <v>R5C3</v>
      </c>
      <c r="AE50" s="39" t="str">
        <f>IF(AND('Mapa final'!$AG$40="Muy Baja",'Mapa final'!$AI$40="Mayor"),CONCATENATE("R5C",'Mapa final'!$W$40),"")</f>
        <v/>
      </c>
      <c r="AF50" s="39" t="str">
        <f>IF(AND('Mapa final'!$AG$41="Muy Baja",'Mapa final'!$AI$41="Mayor"),CONCATENATE("R5C",'Mapa final'!$W$41),"")</f>
        <v/>
      </c>
      <c r="AG50" s="40" t="str">
        <f>IF(AND('Mapa final'!$AG$42="Muy Baja",'Mapa final'!$AI$42="Mayor"),CONCATENATE("R5C",'Mapa final'!$W$42),"")</f>
        <v/>
      </c>
      <c r="AH50" s="41" t="str">
        <f ca="1">IF(AND('Mapa final'!$AG$37="Muy Baja",'Mapa final'!$AI$37="Catastrófico"),CONCATENATE("R5C",'Mapa final'!$W$37),"")</f>
        <v/>
      </c>
      <c r="AI50" s="42" t="str">
        <f ca="1">IF(AND('Mapa final'!$AG$38="Muy Baja",'Mapa final'!$AI$38="Catastrófico"),CONCATENATE("R5C",'Mapa final'!$W$38),"")</f>
        <v/>
      </c>
      <c r="AJ50" s="42" t="str">
        <f ca="1">IF(AND('Mapa final'!$AG$39="Muy Baja",'Mapa final'!$AI$39="Catastrófico"),CONCATENATE("R5C",'Mapa final'!$W$39),"")</f>
        <v/>
      </c>
      <c r="AK50" s="42" t="str">
        <f>IF(AND('Mapa final'!$AG$40="Muy Baja",'Mapa final'!$AI$40="Catastrófico"),CONCATENATE("R5C",'Mapa final'!$W$40),"")</f>
        <v/>
      </c>
      <c r="AL50" s="42" t="str">
        <f>IF(AND('Mapa final'!$AG$41="Muy Baja",'Mapa final'!$AI$41="Catastrófico"),CONCATENATE("R5C",'Mapa final'!$W$41),"")</f>
        <v/>
      </c>
      <c r="AM50" s="43" t="str">
        <f>IF(AND('Mapa final'!$AG$42="Muy Baja",'Mapa final'!$AI$42="Catastrófico"),CONCATENATE("R5C",'Mapa final'!$W$42),"")</f>
        <v/>
      </c>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 customHeight="1" x14ac:dyDescent="0.25">
      <c r="A51" s="69"/>
      <c r="B51" s="431"/>
      <c r="C51" s="431"/>
      <c r="D51" s="432"/>
      <c r="E51" s="436"/>
      <c r="F51" s="437"/>
      <c r="G51" s="437"/>
      <c r="H51" s="437"/>
      <c r="I51" s="438"/>
      <c r="J51" s="62" t="str">
        <f ca="1">IF(AND('Mapa final'!$AG$43="Muy Baja",'Mapa final'!$AI$43="Leve"),CONCATENATE("R6C",'Mapa final'!$W$43),"")</f>
        <v/>
      </c>
      <c r="K51" s="63" t="str">
        <f ca="1">IF(AND('Mapa final'!$AG$44="Muy Baja",'Mapa final'!$AI$44="Leve"),CONCATENATE("R6C",'Mapa final'!$W$44),"")</f>
        <v/>
      </c>
      <c r="L51" s="63" t="str">
        <f>IF(AND('Mapa final'!$AG$45="Muy Baja",'Mapa final'!$AI$45="Leve"),CONCATENATE("R6C",'Mapa final'!$W$45),"")</f>
        <v/>
      </c>
      <c r="M51" s="63" t="str">
        <f>IF(AND('Mapa final'!$AG$46="Muy Baja",'Mapa final'!$AI$46="Leve"),CONCATENATE("R6C",'Mapa final'!$W$46),"")</f>
        <v/>
      </c>
      <c r="N51" s="63" t="str">
        <f>IF(AND('Mapa final'!$AG$47="Muy Baja",'Mapa final'!$AI$47="Leve"),CONCATENATE("R6C",'Mapa final'!$W$47),"")</f>
        <v/>
      </c>
      <c r="O51" s="64" t="str">
        <f>IF(AND('Mapa final'!$AG$48="Muy Baja",'Mapa final'!$AI$48="Leve"),CONCATENATE("R6C",'Mapa final'!$W$48),"")</f>
        <v/>
      </c>
      <c r="P51" s="62" t="str">
        <f ca="1">IF(AND('Mapa final'!$AG$43="Muy Baja",'Mapa final'!$AI$43="Menor"),CONCATENATE("R6C",'Mapa final'!$W$43),"")</f>
        <v/>
      </c>
      <c r="Q51" s="63" t="str">
        <f ca="1">IF(AND('Mapa final'!$AG$44="Muy Baja",'Mapa final'!$AI$44="Menor"),CONCATENATE("R6C",'Mapa final'!$W$44),"")</f>
        <v/>
      </c>
      <c r="R51" s="63" t="str">
        <f>IF(AND('Mapa final'!$AG$45="Muy Baja",'Mapa final'!$AI$45="Menor"),CONCATENATE("R6C",'Mapa final'!$W$45),"")</f>
        <v/>
      </c>
      <c r="S51" s="63" t="str">
        <f>IF(AND('Mapa final'!$AG$46="Muy Baja",'Mapa final'!$AI$46="Menor"),CONCATENATE("R6C",'Mapa final'!$W$46),"")</f>
        <v/>
      </c>
      <c r="T51" s="63" t="str">
        <f>IF(AND('Mapa final'!$AG$47="Muy Baja",'Mapa final'!$AI$47="Menor"),CONCATENATE("R6C",'Mapa final'!$W$47),"")</f>
        <v/>
      </c>
      <c r="U51" s="64" t="str">
        <f>IF(AND('Mapa final'!$AG$48="Muy Baja",'Mapa final'!$AI$48="Menor"),CONCATENATE("R6C",'Mapa final'!$W$48),"")</f>
        <v/>
      </c>
      <c r="V51" s="53" t="str">
        <f ca="1">IF(AND('Mapa final'!$AG$43="Muy Baja",'Mapa final'!$AI$43="Moderado"),CONCATENATE("R6C",'Mapa final'!$W$43),"")</f>
        <v/>
      </c>
      <c r="W51" s="54" t="str">
        <f ca="1">IF(AND('Mapa final'!$AG$44="Muy Baja",'Mapa final'!$AI$44="Moderado"),CONCATENATE("R6C",'Mapa final'!$W$44),"")</f>
        <v/>
      </c>
      <c r="X51" s="54" t="str">
        <f>IF(AND('Mapa final'!$AG$45="Muy Baja",'Mapa final'!$AI$45="Moderado"),CONCATENATE("R6C",'Mapa final'!$W$45),"")</f>
        <v/>
      </c>
      <c r="Y51" s="54" t="str">
        <f>IF(AND('Mapa final'!$AG$46="Muy Baja",'Mapa final'!$AI$46="Moderado"),CONCATENATE("R6C",'Mapa final'!$W$46),"")</f>
        <v/>
      </c>
      <c r="Z51" s="54" t="str">
        <f>IF(AND('Mapa final'!$AG$47="Muy Baja",'Mapa final'!$AI$47="Moderado"),CONCATENATE("R6C",'Mapa final'!$W$47),"")</f>
        <v/>
      </c>
      <c r="AA51" s="55" t="str">
        <f>IF(AND('Mapa final'!$AG$48="Muy Baja",'Mapa final'!$AI$48="Moderado"),CONCATENATE("R6C",'Mapa final'!$W$48),"")</f>
        <v/>
      </c>
      <c r="AB51" s="38" t="str">
        <f ca="1">IF(AND('Mapa final'!$AG$43="Muy Baja",'Mapa final'!$AI$43="Mayor"),CONCATENATE("R6C",'Mapa final'!$W$43),"")</f>
        <v/>
      </c>
      <c r="AC51" s="39" t="str">
        <f ca="1">IF(AND('Mapa final'!$AG$44="Muy Baja",'Mapa final'!$AI$44="Mayor"),CONCATENATE("R6C",'Mapa final'!$W$44),"")</f>
        <v/>
      </c>
      <c r="AD51" s="39" t="str">
        <f>IF(AND('Mapa final'!$AG$45="Muy Baja",'Mapa final'!$AI$45="Mayor"),CONCATENATE("R6C",'Mapa final'!$W$45),"")</f>
        <v/>
      </c>
      <c r="AE51" s="39" t="str">
        <f>IF(AND('Mapa final'!$AG$46="Muy Baja",'Mapa final'!$AI$46="Mayor"),CONCATENATE("R6C",'Mapa final'!$W$46),"")</f>
        <v/>
      </c>
      <c r="AF51" s="39" t="str">
        <f>IF(AND('Mapa final'!$AG$47="Muy Baja",'Mapa final'!$AI$47="Mayor"),CONCATENATE("R6C",'Mapa final'!$W$47),"")</f>
        <v/>
      </c>
      <c r="AG51" s="40" t="str">
        <f>IF(AND('Mapa final'!$AG$48="Muy Baja",'Mapa final'!$AI$48="Mayor"),CONCATENATE("R6C",'Mapa final'!$W$48),"")</f>
        <v/>
      </c>
      <c r="AH51" s="41" t="str">
        <f ca="1">IF(AND('Mapa final'!$AG$43="Muy Baja",'Mapa final'!$AI$43="Catastrófico"),CONCATENATE("R6C",'Mapa final'!$W$43),"")</f>
        <v/>
      </c>
      <c r="AI51" s="42" t="str">
        <f ca="1">IF(AND('Mapa final'!$AG$44="Muy Baja",'Mapa final'!$AI$44="Catastrófico"),CONCATENATE("R6C",'Mapa final'!$W$44),"")</f>
        <v/>
      </c>
      <c r="AJ51" s="42" t="str">
        <f>IF(AND('Mapa final'!$AG$45="Muy Baja",'Mapa final'!$AI$45="Catastrófico"),CONCATENATE("R6C",'Mapa final'!$W$45),"")</f>
        <v/>
      </c>
      <c r="AK51" s="42" t="str">
        <f>IF(AND('Mapa final'!$AG$46="Muy Baja",'Mapa final'!$AI$46="Catastrófico"),CONCATENATE("R6C",'Mapa final'!$W$46),"")</f>
        <v/>
      </c>
      <c r="AL51" s="42" t="str">
        <f>IF(AND('Mapa final'!$AG$47="Muy Baja",'Mapa final'!$AI$47="Catastrófico"),CONCATENATE("R6C",'Mapa final'!$W$47),"")</f>
        <v/>
      </c>
      <c r="AM51" s="43" t="str">
        <f>IF(AND('Mapa final'!$AG$48="Muy Baja",'Mapa final'!$AI$48="Catastrófico"),CONCATENATE("R6C",'Mapa final'!$W$48),"")</f>
        <v/>
      </c>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ht="15" customHeight="1" x14ac:dyDescent="0.25">
      <c r="A52" s="69"/>
      <c r="B52" s="431"/>
      <c r="C52" s="431"/>
      <c r="D52" s="432"/>
      <c r="E52" s="436"/>
      <c r="F52" s="437"/>
      <c r="G52" s="437"/>
      <c r="H52" s="437"/>
      <c r="I52" s="438"/>
      <c r="J52" s="62" t="str">
        <f ca="1">IF(AND('Mapa final'!$AG$49="Muy Baja",'Mapa final'!$AI$49="Leve"),CONCATENATE("R7C",'Mapa final'!$W$49),"")</f>
        <v/>
      </c>
      <c r="K52" s="63" t="str">
        <f ca="1">IF(AND('Mapa final'!$AG$50="Muy Baja",'Mapa final'!$AI$50="Leve"),CONCATENATE("R7C",'Mapa final'!$W$50),"")</f>
        <v/>
      </c>
      <c r="L52" s="63" t="str">
        <f>IF(AND('Mapa final'!$AG$51="Muy Baja",'Mapa final'!$AI$51="Leve"),CONCATENATE("R7C",'Mapa final'!$W$51),"")</f>
        <v/>
      </c>
      <c r="M52" s="63" t="str">
        <f>IF(AND('Mapa final'!$AG$52="Muy Baja",'Mapa final'!$AI$52="Leve"),CONCATENATE("R7C",'Mapa final'!$W$52),"")</f>
        <v/>
      </c>
      <c r="N52" s="63" t="str">
        <f>IF(AND('Mapa final'!$AG$53="Muy Baja",'Mapa final'!$AI$53="Leve"),CONCATENATE("R7C",'Mapa final'!$W$53),"")</f>
        <v/>
      </c>
      <c r="O52" s="64" t="str">
        <f>IF(AND('Mapa final'!$AG$54="Muy Baja",'Mapa final'!$AI$54="Leve"),CONCATENATE("R7C",'Mapa final'!$W$54),"")</f>
        <v/>
      </c>
      <c r="P52" s="62" t="str">
        <f ca="1">IF(AND('Mapa final'!$AG$49="Muy Baja",'Mapa final'!$AI$49="Menor"),CONCATENATE("R7C",'Mapa final'!$W$49),"")</f>
        <v/>
      </c>
      <c r="Q52" s="63" t="str">
        <f ca="1">IF(AND('Mapa final'!$AG$50="Muy Baja",'Mapa final'!$AI$50="Menor"),CONCATENATE("R7C",'Mapa final'!$W$50),"")</f>
        <v/>
      </c>
      <c r="R52" s="63" t="str">
        <f>IF(AND('Mapa final'!$AG$51="Muy Baja",'Mapa final'!$AI$51="Menor"),CONCATENATE("R7C",'Mapa final'!$W$51),"")</f>
        <v/>
      </c>
      <c r="S52" s="63" t="str">
        <f>IF(AND('Mapa final'!$AG$52="Muy Baja",'Mapa final'!$AI$52="Menor"),CONCATENATE("R7C",'Mapa final'!$W$52),"")</f>
        <v/>
      </c>
      <c r="T52" s="63" t="str">
        <f>IF(AND('Mapa final'!$AG$53="Muy Baja",'Mapa final'!$AI$53="Menor"),CONCATENATE("R7C",'Mapa final'!$W$53),"")</f>
        <v/>
      </c>
      <c r="U52" s="64" t="str">
        <f>IF(AND('Mapa final'!$AG$54="Muy Baja",'Mapa final'!$AI$54="Menor"),CONCATENATE("R7C",'Mapa final'!$W$54),"")</f>
        <v/>
      </c>
      <c r="V52" s="53" t="str">
        <f ca="1">IF(AND('Mapa final'!$AG$49="Muy Baja",'Mapa final'!$AI$49="Moderado"),CONCATENATE("R7C",'Mapa final'!$W$49),"")</f>
        <v/>
      </c>
      <c r="W52" s="54" t="str">
        <f ca="1">IF(AND('Mapa final'!$AG$50="Muy Baja",'Mapa final'!$AI$50="Moderado"),CONCATENATE("R7C",'Mapa final'!$W$50),"")</f>
        <v/>
      </c>
      <c r="X52" s="54" t="str">
        <f>IF(AND('Mapa final'!$AG$51="Muy Baja",'Mapa final'!$AI$51="Moderado"),CONCATENATE("R7C",'Mapa final'!$W$51),"")</f>
        <v/>
      </c>
      <c r="Y52" s="54" t="str">
        <f>IF(AND('Mapa final'!$AG$52="Muy Baja",'Mapa final'!$AI$52="Moderado"),CONCATENATE("R7C",'Mapa final'!$W$52),"")</f>
        <v/>
      </c>
      <c r="Z52" s="54" t="str">
        <f>IF(AND('Mapa final'!$AG$53="Muy Baja",'Mapa final'!$AI$53="Moderado"),CONCATENATE("R7C",'Mapa final'!$W$53),"")</f>
        <v/>
      </c>
      <c r="AA52" s="55" t="str">
        <f>IF(AND('Mapa final'!$AG$54="Muy Baja",'Mapa final'!$AI$54="Moderado"),CONCATENATE("R7C",'Mapa final'!$W$54),"")</f>
        <v/>
      </c>
      <c r="AB52" s="38" t="str">
        <f ca="1">IF(AND('Mapa final'!$AG$49="Muy Baja",'Mapa final'!$AI$49="Mayor"),CONCATENATE("R7C",'Mapa final'!$W$49),"")</f>
        <v/>
      </c>
      <c r="AC52" s="39" t="str">
        <f ca="1">IF(AND('Mapa final'!$AG$50="Muy Baja",'Mapa final'!$AI$50="Mayor"),CONCATENATE("R7C",'Mapa final'!$W$50),"")</f>
        <v/>
      </c>
      <c r="AD52" s="39" t="str">
        <f>IF(AND('Mapa final'!$AG$51="Muy Baja",'Mapa final'!$AI$51="Mayor"),CONCATENATE("R7C",'Mapa final'!$W$51),"")</f>
        <v/>
      </c>
      <c r="AE52" s="39" t="str">
        <f>IF(AND('Mapa final'!$AG$52="Muy Baja",'Mapa final'!$AI$52="Mayor"),CONCATENATE("R7C",'Mapa final'!$W$52),"")</f>
        <v/>
      </c>
      <c r="AF52" s="39" t="str">
        <f>IF(AND('Mapa final'!$AG$53="Muy Baja",'Mapa final'!$AI$53="Mayor"),CONCATENATE("R7C",'Mapa final'!$W$53),"")</f>
        <v/>
      </c>
      <c r="AG52" s="40" t="str">
        <f>IF(AND('Mapa final'!$AG$54="Muy Baja",'Mapa final'!$AI$54="Mayor"),CONCATENATE("R7C",'Mapa final'!$W$54),"")</f>
        <v/>
      </c>
      <c r="AH52" s="41" t="str">
        <f ca="1">IF(AND('Mapa final'!$AG$49="Muy Baja",'Mapa final'!$AI$49="Catastrófico"),CONCATENATE("R7C",'Mapa final'!$W$49),"")</f>
        <v/>
      </c>
      <c r="AI52" s="42" t="str">
        <f ca="1">IF(AND('Mapa final'!$AG$50="Muy Baja",'Mapa final'!$AI$50="Catastrófico"),CONCATENATE("R7C",'Mapa final'!$W$50),"")</f>
        <v/>
      </c>
      <c r="AJ52" s="42" t="str">
        <f>IF(AND('Mapa final'!$AG$51="Muy Baja",'Mapa final'!$AI$51="Catastrófico"),CONCATENATE("R7C",'Mapa final'!$W$51),"")</f>
        <v/>
      </c>
      <c r="AK52" s="42" t="str">
        <f>IF(AND('Mapa final'!$AG$52="Muy Baja",'Mapa final'!$AI$52="Catastrófico"),CONCATENATE("R7C",'Mapa final'!$W$52),"")</f>
        <v/>
      </c>
      <c r="AL52" s="42" t="str">
        <f>IF(AND('Mapa final'!$AG$53="Muy Baja",'Mapa final'!$AI$53="Catastrófico"),CONCATENATE("R7C",'Mapa final'!$W$53),"")</f>
        <v/>
      </c>
      <c r="AM52" s="43" t="str">
        <f>IF(AND('Mapa final'!$AG$54="Muy Baja",'Mapa final'!$AI$54="Catastrófico"),CONCATENATE("R7C",'Mapa final'!$W$54),"")</f>
        <v/>
      </c>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431"/>
      <c r="C53" s="431"/>
      <c r="D53" s="432"/>
      <c r="E53" s="436"/>
      <c r="F53" s="437"/>
      <c r="G53" s="437"/>
      <c r="H53" s="437"/>
      <c r="I53" s="438"/>
      <c r="J53" s="62" t="str">
        <f ca="1">IF(AND('Mapa final'!$AG$55="Muy Baja",'Mapa final'!$AI$55="Leve"),CONCATENATE("R8C",'Mapa final'!$W$55),"")</f>
        <v/>
      </c>
      <c r="K53" s="63" t="str">
        <f ca="1">IF(AND('Mapa final'!$AG$56="Muy Baja",'Mapa final'!$AI$56="Leve"),CONCATENATE("R8C",'Mapa final'!$W$56),"")</f>
        <v/>
      </c>
      <c r="L53" s="63" t="str">
        <f ca="1">IF(AND('Mapa final'!$AG$57="Muy Baja",'Mapa final'!$AI$57="Leve"),CONCATENATE("R8C",'Mapa final'!$W$57),"")</f>
        <v/>
      </c>
      <c r="M53" s="63" t="str">
        <f ca="1">IF(AND('Mapa final'!$AG$58="Muy Baja",'Mapa final'!$AI$58="Leve"),CONCATENATE("R8C",'Mapa final'!$W$58),"")</f>
        <v/>
      </c>
      <c r="N53" s="63" t="str">
        <f>IF(AND('Mapa final'!$AG$59="Muy Baja",'Mapa final'!$AI$59="Leve"),CONCATENATE("R8C",'Mapa final'!$W$59),"")</f>
        <v/>
      </c>
      <c r="O53" s="64" t="str">
        <f>IF(AND('Mapa final'!$AG$60="Muy Baja",'Mapa final'!$AI$60="Leve"),CONCATENATE("R8C",'Mapa final'!$W$60),"")</f>
        <v/>
      </c>
      <c r="P53" s="62" t="str">
        <f ca="1">IF(AND('Mapa final'!$AG$55="Muy Baja",'Mapa final'!$AI$55="Menor"),CONCATENATE("R8C",'Mapa final'!$W$55),"")</f>
        <v/>
      </c>
      <c r="Q53" s="63" t="str">
        <f ca="1">IF(AND('Mapa final'!$AG$56="Muy Baja",'Mapa final'!$AI$56="Menor"),CONCATENATE("R8C",'Mapa final'!$W$56),"")</f>
        <v/>
      </c>
      <c r="R53" s="63" t="str">
        <f ca="1">IF(AND('Mapa final'!$AG$57="Muy Baja",'Mapa final'!$AI$57="Menor"),CONCATENATE("R8C",'Mapa final'!$W$57),"")</f>
        <v/>
      </c>
      <c r="S53" s="63" t="str">
        <f ca="1">IF(AND('Mapa final'!$AG$58="Muy Baja",'Mapa final'!$AI$58="Menor"),CONCATENATE("R8C",'Mapa final'!$W$58),"")</f>
        <v/>
      </c>
      <c r="T53" s="63" t="str">
        <f>IF(AND('Mapa final'!$AG$59="Muy Baja",'Mapa final'!$AI$59="Menor"),CONCATENATE("R8C",'Mapa final'!$W$59),"")</f>
        <v/>
      </c>
      <c r="U53" s="64" t="str">
        <f>IF(AND('Mapa final'!$AG$60="Muy Baja",'Mapa final'!$AI$60="Menor"),CONCATENATE("R8C",'Mapa final'!$W$60),"")</f>
        <v/>
      </c>
      <c r="V53" s="53" t="str">
        <f ca="1">IF(AND('Mapa final'!$AG$55="Muy Baja",'Mapa final'!$AI$55="Moderado"),CONCATENATE("R8C",'Mapa final'!$W$55),"")</f>
        <v/>
      </c>
      <c r="W53" s="54" t="str">
        <f ca="1">IF(AND('Mapa final'!$AG$56="Muy Baja",'Mapa final'!$AI$56="Moderado"),CONCATENATE("R8C",'Mapa final'!$W$56),"")</f>
        <v/>
      </c>
      <c r="X53" s="54" t="str">
        <f ca="1">IF(AND('Mapa final'!$AG$57="Muy Baja",'Mapa final'!$AI$57="Moderado"),CONCATENATE("R8C",'Mapa final'!$W$57),"")</f>
        <v>R8C3</v>
      </c>
      <c r="Y53" s="54" t="str">
        <f ca="1">IF(AND('Mapa final'!$AG$58="Muy Baja",'Mapa final'!$AI$58="Moderado"),CONCATENATE("R8C",'Mapa final'!$W$58),"")</f>
        <v>R8C4</v>
      </c>
      <c r="Z53" s="54" t="str">
        <f>IF(AND('Mapa final'!$AG$59="Muy Baja",'Mapa final'!$AI$59="Moderado"),CONCATENATE("R8C",'Mapa final'!$W$59),"")</f>
        <v/>
      </c>
      <c r="AA53" s="55" t="str">
        <f>IF(AND('Mapa final'!$AG$60="Muy Baja",'Mapa final'!$AI$60="Moderado"),CONCATENATE("R8C",'Mapa final'!$W$60),"")</f>
        <v/>
      </c>
      <c r="AB53" s="38" t="str">
        <f ca="1">IF(AND('Mapa final'!$AG$55="Muy Baja",'Mapa final'!$AI$55="Mayor"),CONCATENATE("R8C",'Mapa final'!$W$55),"")</f>
        <v/>
      </c>
      <c r="AC53" s="39" t="str">
        <f ca="1">IF(AND('Mapa final'!$AG$56="Muy Baja",'Mapa final'!$AI$56="Mayor"),CONCATENATE("R8C",'Mapa final'!$W$56),"")</f>
        <v/>
      </c>
      <c r="AD53" s="39" t="str">
        <f ca="1">IF(AND('Mapa final'!$AG$57="Muy Baja",'Mapa final'!$AI$57="Mayor"),CONCATENATE("R8C",'Mapa final'!$W$57),"")</f>
        <v/>
      </c>
      <c r="AE53" s="39" t="str">
        <f ca="1">IF(AND('Mapa final'!$AG$58="Muy Baja",'Mapa final'!$AI$58="Mayor"),CONCATENATE("R8C",'Mapa final'!$W$58),"")</f>
        <v/>
      </c>
      <c r="AF53" s="39" t="str">
        <f>IF(AND('Mapa final'!$AG$59="Muy Baja",'Mapa final'!$AI$59="Mayor"),CONCATENATE("R8C",'Mapa final'!$W$59),"")</f>
        <v/>
      </c>
      <c r="AG53" s="40" t="str">
        <f>IF(AND('Mapa final'!$AG$60="Muy Baja",'Mapa final'!$AI$60="Mayor"),CONCATENATE("R8C",'Mapa final'!$W$60),"")</f>
        <v/>
      </c>
      <c r="AH53" s="41" t="str">
        <f ca="1">IF(AND('Mapa final'!$AG$55="Muy Baja",'Mapa final'!$AI$55="Catastrófico"),CONCATENATE("R8C",'Mapa final'!$W$55),"")</f>
        <v/>
      </c>
      <c r="AI53" s="42" t="str">
        <f ca="1">IF(AND('Mapa final'!$AG$56="Muy Baja",'Mapa final'!$AI$56="Catastrófico"),CONCATENATE("R8C",'Mapa final'!$W$56),"")</f>
        <v/>
      </c>
      <c r="AJ53" s="42" t="str">
        <f ca="1">IF(AND('Mapa final'!$AG$57="Muy Baja",'Mapa final'!$AI$57="Catastrófico"),CONCATENATE("R8C",'Mapa final'!$W$57),"")</f>
        <v/>
      </c>
      <c r="AK53" s="42" t="str">
        <f ca="1">IF(AND('Mapa final'!$AG$58="Muy Baja",'Mapa final'!$AI$58="Catastrófico"),CONCATENATE("R8C",'Mapa final'!$W$58),"")</f>
        <v/>
      </c>
      <c r="AL53" s="42" t="str">
        <f>IF(AND('Mapa final'!$AG$59="Muy Baja",'Mapa final'!$AI$59="Catastrófico"),CONCATENATE("R8C",'Mapa final'!$W$59),"")</f>
        <v/>
      </c>
      <c r="AM53" s="43" t="str">
        <f>IF(AND('Mapa final'!$AG$60="Muy Baja",'Mapa final'!$AI$60="Catastrófico"),CONCATENATE("R8C",'Mapa final'!$W$60),"")</f>
        <v/>
      </c>
      <c r="AN53" s="69"/>
      <c r="AO53" s="69"/>
      <c r="AP53" s="69"/>
      <c r="AQ53" s="69"/>
      <c r="AR53" s="69"/>
      <c r="AS53" s="69"/>
      <c r="AT53" s="69"/>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431"/>
      <c r="C54" s="431"/>
      <c r="D54" s="432"/>
      <c r="E54" s="436"/>
      <c r="F54" s="437"/>
      <c r="G54" s="437"/>
      <c r="H54" s="437"/>
      <c r="I54" s="438"/>
      <c r="J54" s="62" t="str">
        <f ca="1">IF(AND('Mapa final'!$AG$61="Muy Baja",'Mapa final'!$AI$61="Leve"),CONCATENATE("R9C",'Mapa final'!$W$61),"")</f>
        <v/>
      </c>
      <c r="K54" s="63" t="str">
        <f ca="1">IF(AND('Mapa final'!$AG$62="Muy Baja",'Mapa final'!$AI$62="Leve"),CONCATENATE("R9C",'Mapa final'!$W$62),"")</f>
        <v/>
      </c>
      <c r="L54" s="63" t="str">
        <f ca="1">IF(AND('Mapa final'!$AG$63="Muy Baja",'Mapa final'!$AI$63="Leve"),CONCATENATE("R9C",'Mapa final'!$W$63),"")</f>
        <v/>
      </c>
      <c r="M54" s="63" t="str">
        <f ca="1">IF(AND('Mapa final'!$AG$64="Muy Baja",'Mapa final'!$AI$64="Leve"),CONCATENATE("R9C",'Mapa final'!$W$64),"")</f>
        <v/>
      </c>
      <c r="N54" s="63" t="str">
        <f ca="1">IF(AND('Mapa final'!$AG$65="Muy Baja",'Mapa final'!$AI$65="Leve"),CONCATENATE("R9C",'Mapa final'!$W$65),"")</f>
        <v/>
      </c>
      <c r="O54" s="64" t="str">
        <f ca="1">IF(AND('Mapa final'!$AG$66="Muy Baja",'Mapa final'!$AI$66="Leve"),CONCATENATE("R9C",'Mapa final'!$W$66),"")</f>
        <v/>
      </c>
      <c r="P54" s="62" t="str">
        <f ca="1">IF(AND('Mapa final'!$AG$61="Muy Baja",'Mapa final'!$AI$61="Menor"),CONCATENATE("R9C",'Mapa final'!$W$61),"")</f>
        <v/>
      </c>
      <c r="Q54" s="63" t="str">
        <f ca="1">IF(AND('Mapa final'!$AG$62="Muy Baja",'Mapa final'!$AI$62="Menor"),CONCATENATE("R9C",'Mapa final'!$W$62),"")</f>
        <v/>
      </c>
      <c r="R54" s="63" t="str">
        <f ca="1">IF(AND('Mapa final'!$AG$63="Muy Baja",'Mapa final'!$AI$63="Menor"),CONCATENATE("R9C",'Mapa final'!$W$63),"")</f>
        <v/>
      </c>
      <c r="S54" s="63" t="str">
        <f ca="1">IF(AND('Mapa final'!$AG$64="Muy Baja",'Mapa final'!$AI$64="Menor"),CONCATENATE("R9C",'Mapa final'!$W$64),"")</f>
        <v/>
      </c>
      <c r="T54" s="63" t="str">
        <f ca="1">IF(AND('Mapa final'!$AG$65="Muy Baja",'Mapa final'!$AI$65="Menor"),CONCATENATE("R9C",'Mapa final'!$W$65),"")</f>
        <v/>
      </c>
      <c r="U54" s="64" t="str">
        <f ca="1">IF(AND('Mapa final'!$AG$66="Muy Baja",'Mapa final'!$AI$66="Menor"),CONCATENATE("R9C",'Mapa final'!$W$66),"")</f>
        <v/>
      </c>
      <c r="V54" s="53" t="str">
        <f ca="1">IF(AND('Mapa final'!$AG$61="Muy Baja",'Mapa final'!$AI$61="Moderado"),CONCATENATE("R9C",'Mapa final'!$W$61),"")</f>
        <v/>
      </c>
      <c r="W54" s="54" t="str">
        <f ca="1">IF(AND('Mapa final'!$AG$62="Muy Baja",'Mapa final'!$AI$62="Moderado"),CONCATENATE("R9C",'Mapa final'!$W$62),"")</f>
        <v/>
      </c>
      <c r="X54" s="54" t="str">
        <f ca="1">IF(AND('Mapa final'!$AG$63="Muy Baja",'Mapa final'!$AI$63="Moderado"),CONCATENATE("R9C",'Mapa final'!$W$63),"")</f>
        <v/>
      </c>
      <c r="Y54" s="54" t="str">
        <f ca="1">IF(AND('Mapa final'!$AG$64="Muy Baja",'Mapa final'!$AI$64="Moderado"),CONCATENATE("R9C",'Mapa final'!$W$64),"")</f>
        <v/>
      </c>
      <c r="Z54" s="54" t="str">
        <f ca="1">IF(AND('Mapa final'!$AG$65="Muy Baja",'Mapa final'!$AI$65="Moderado"),CONCATENATE("R9C",'Mapa final'!$W$65),"")</f>
        <v/>
      </c>
      <c r="AA54" s="55" t="str">
        <f ca="1">IF(AND('Mapa final'!$AG$66="Muy Baja",'Mapa final'!$AI$66="Moderado"),CONCATENATE("R9C",'Mapa final'!$W$66),"")</f>
        <v/>
      </c>
      <c r="AB54" s="38" t="str">
        <f ca="1">IF(AND('Mapa final'!$AG$61="Muy Baja",'Mapa final'!$AI$61="Mayor"),CONCATENATE("R9C",'Mapa final'!$W$61),"")</f>
        <v/>
      </c>
      <c r="AC54" s="39" t="str">
        <f ca="1">IF(AND('Mapa final'!$AG$62="Muy Baja",'Mapa final'!$AI$62="Mayor"),CONCATENATE("R9C",'Mapa final'!$W$62),"")</f>
        <v/>
      </c>
      <c r="AD54" s="39" t="str">
        <f ca="1">IF(AND('Mapa final'!$AG$63="Muy Baja",'Mapa final'!$AI$63="Mayor"),CONCATENATE("R9C",'Mapa final'!$W$63),"")</f>
        <v/>
      </c>
      <c r="AE54" s="39" t="str">
        <f ca="1">IF(AND('Mapa final'!$AG$64="Muy Baja",'Mapa final'!$AI$64="Mayor"),CONCATENATE("R9C",'Mapa final'!$W$64),"")</f>
        <v/>
      </c>
      <c r="AF54" s="39" t="str">
        <f ca="1">IF(AND('Mapa final'!$AG$65="Muy Baja",'Mapa final'!$AI$65="Mayor"),CONCATENATE("R9C",'Mapa final'!$W$65),"")</f>
        <v/>
      </c>
      <c r="AG54" s="40" t="str">
        <f ca="1">IF(AND('Mapa final'!$AG$66="Muy Baja",'Mapa final'!$AI$66="Mayor"),CONCATENATE("R9C",'Mapa final'!$W$66),"")</f>
        <v/>
      </c>
      <c r="AH54" s="41" t="str">
        <f ca="1">IF(AND('Mapa final'!$AG$61="Muy Baja",'Mapa final'!$AI$61="Catastrófico"),CONCATENATE("R9C",'Mapa final'!$W$61),"")</f>
        <v/>
      </c>
      <c r="AI54" s="42" t="str">
        <f ca="1">IF(AND('Mapa final'!$AG$62="Muy Baja",'Mapa final'!$AI$62="Catastrófico"),CONCATENATE("R9C",'Mapa final'!$W$62),"")</f>
        <v/>
      </c>
      <c r="AJ54" s="42" t="str">
        <f ca="1">IF(AND('Mapa final'!$AG$63="Muy Baja",'Mapa final'!$AI$63="Catastrófico"),CONCATENATE("R9C",'Mapa final'!$W$63),"")</f>
        <v>R9C3</v>
      </c>
      <c r="AK54" s="42" t="str">
        <f ca="1">IF(AND('Mapa final'!$AG$64="Muy Baja",'Mapa final'!$AI$64="Catastrófico"),CONCATENATE("R9C",'Mapa final'!$W$64),"")</f>
        <v>R9C4</v>
      </c>
      <c r="AL54" s="42" t="str">
        <f ca="1">IF(AND('Mapa final'!$AG$65="Muy Baja",'Mapa final'!$AI$65="Catastrófico"),CONCATENATE("R9C",'Mapa final'!$W$65),"")</f>
        <v>R9C5</v>
      </c>
      <c r="AM54" s="43" t="str">
        <f ca="1">IF(AND('Mapa final'!$AG$66="Muy Baja",'Mapa final'!$AI$66="Catastrófico"),CONCATENATE("R9C",'Mapa final'!$W$66),"")</f>
        <v>R9C6</v>
      </c>
      <c r="AN54" s="69"/>
      <c r="AO54" s="69"/>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ht="15.75" customHeight="1" thickBot="1" x14ac:dyDescent="0.3">
      <c r="A55" s="69"/>
      <c r="B55" s="431"/>
      <c r="C55" s="431"/>
      <c r="D55" s="432"/>
      <c r="E55" s="439"/>
      <c r="F55" s="440"/>
      <c r="G55" s="440"/>
      <c r="H55" s="440"/>
      <c r="I55" s="441"/>
      <c r="J55" s="65" t="str">
        <f ca="1">IF(AND('Mapa final'!$AG$67="Muy Baja",'Mapa final'!$AI$67="Leve"),CONCATENATE("R10C",'Mapa final'!$W$67),"")</f>
        <v/>
      </c>
      <c r="K55" s="66" t="str">
        <f ca="1">IF(AND('Mapa final'!$AG$68="Muy Baja",'Mapa final'!$AI$68="Leve"),CONCATENATE("R10C",'Mapa final'!$W$68),"")</f>
        <v/>
      </c>
      <c r="L55" s="66" t="str">
        <f>IF(AND('Mapa final'!$AG$69="Muy Baja",'Mapa final'!$AI$69="Leve"),CONCATENATE("R10C",'Mapa final'!$W$69),"")</f>
        <v/>
      </c>
      <c r="M55" s="66" t="str">
        <f>IF(AND('Mapa final'!$AG$70="Muy Baja",'Mapa final'!$AI$70="Leve"),CONCATENATE("R10C",'Mapa final'!$W$70),"")</f>
        <v/>
      </c>
      <c r="N55" s="66" t="str">
        <f>IF(AND('Mapa final'!$AG$71="Muy Baja",'Mapa final'!$AI$71="Leve"),CONCATENATE("R10C",'Mapa final'!$W$71),"")</f>
        <v/>
      </c>
      <c r="O55" s="67" t="str">
        <f>IF(AND('Mapa final'!$AG$72="Muy Baja",'Mapa final'!$AI$72="Leve"),CONCATENATE("R10C",'Mapa final'!$W$72),"")</f>
        <v/>
      </c>
      <c r="P55" s="65" t="str">
        <f ca="1">IF(AND('Mapa final'!$AG$67="Muy Baja",'Mapa final'!$AI$67="Menor"),CONCATENATE("R10C",'Mapa final'!$W$67),"")</f>
        <v/>
      </c>
      <c r="Q55" s="66" t="str">
        <f ca="1">IF(AND('Mapa final'!$AG$68="Muy Baja",'Mapa final'!$AI$68="Menor"),CONCATENATE("R10C",'Mapa final'!$W$68),"")</f>
        <v/>
      </c>
      <c r="R55" s="66" t="str">
        <f>IF(AND('Mapa final'!$AG$69="Muy Baja",'Mapa final'!$AI$69="Menor"),CONCATENATE("R10C",'Mapa final'!$W$69),"")</f>
        <v/>
      </c>
      <c r="S55" s="66" t="str">
        <f>IF(AND('Mapa final'!$AG$70="Muy Baja",'Mapa final'!$AI$70="Menor"),CONCATENATE("R10C",'Mapa final'!$W$70),"")</f>
        <v/>
      </c>
      <c r="T55" s="66" t="str">
        <f>IF(AND('Mapa final'!$AG$71="Muy Baja",'Mapa final'!$AI$71="Menor"),CONCATENATE("R10C",'Mapa final'!$W$71),"")</f>
        <v/>
      </c>
      <c r="U55" s="67" t="str">
        <f>IF(AND('Mapa final'!$AG$72="Muy Baja",'Mapa final'!$AI$72="Menor"),CONCATENATE("R10C",'Mapa final'!$W$72),"")</f>
        <v/>
      </c>
      <c r="V55" s="56" t="str">
        <f ca="1">IF(AND('Mapa final'!$AG$67="Muy Baja",'Mapa final'!$AI$67="Moderado"),CONCATENATE("R10C",'Mapa final'!$W$67),"")</f>
        <v/>
      </c>
      <c r="W55" s="57" t="str">
        <f ca="1">IF(AND('Mapa final'!$AG$68="Muy Baja",'Mapa final'!$AI$68="Moderado"),CONCATENATE("R10C",'Mapa final'!$W$68),"")</f>
        <v/>
      </c>
      <c r="X55" s="57" t="str">
        <f>IF(AND('Mapa final'!$AG$69="Muy Baja",'Mapa final'!$AI$69="Moderado"),CONCATENATE("R10C",'Mapa final'!$W$69),"")</f>
        <v/>
      </c>
      <c r="Y55" s="57" t="str">
        <f>IF(AND('Mapa final'!$AG$70="Muy Baja",'Mapa final'!$AI$70="Moderado"),CONCATENATE("R10C",'Mapa final'!$W$70),"")</f>
        <v/>
      </c>
      <c r="Z55" s="57" t="str">
        <f>IF(AND('Mapa final'!$AG$71="Muy Baja",'Mapa final'!$AI$71="Moderado"),CONCATENATE("R10C",'Mapa final'!$W$71),"")</f>
        <v/>
      </c>
      <c r="AA55" s="58" t="str">
        <f>IF(AND('Mapa final'!$AG$72="Muy Baja",'Mapa final'!$AI$72="Moderado"),CONCATENATE("R10C",'Mapa final'!$W$72),"")</f>
        <v/>
      </c>
      <c r="AB55" s="44" t="str">
        <f ca="1">IF(AND('Mapa final'!$AG$67="Muy Baja",'Mapa final'!$AI$67="Mayor"),CONCATENATE("R10C",'Mapa final'!$W$67),"")</f>
        <v/>
      </c>
      <c r="AC55" s="45" t="str">
        <f ca="1">IF(AND('Mapa final'!$AG$68="Muy Baja",'Mapa final'!$AI$68="Mayor"),CONCATENATE("R10C",'Mapa final'!$W$68),"")</f>
        <v/>
      </c>
      <c r="AD55" s="45" t="str">
        <f>IF(AND('Mapa final'!$AG$69="Muy Baja",'Mapa final'!$AI$69="Mayor"),CONCATENATE("R10C",'Mapa final'!$W$69),"")</f>
        <v/>
      </c>
      <c r="AE55" s="45" t="str">
        <f>IF(AND('Mapa final'!$AG$70="Muy Baja",'Mapa final'!$AI$70="Mayor"),CONCATENATE("R10C",'Mapa final'!$W$70),"")</f>
        <v/>
      </c>
      <c r="AF55" s="45" t="str">
        <f>IF(AND('Mapa final'!$AG$71="Muy Baja",'Mapa final'!$AI$71="Mayor"),CONCATENATE("R10C",'Mapa final'!$W$71),"")</f>
        <v/>
      </c>
      <c r="AG55" s="46" t="str">
        <f>IF(AND('Mapa final'!$AG$72="Muy Baja",'Mapa final'!$AI$72="Mayor"),CONCATENATE("R10C",'Mapa final'!$W$72),"")</f>
        <v/>
      </c>
      <c r="AH55" s="47" t="str">
        <f ca="1">IF(AND('Mapa final'!$AG$67="Muy Baja",'Mapa final'!$AI$67="Catastrófico"),CONCATENATE("R10C",'Mapa final'!$W$67),"")</f>
        <v/>
      </c>
      <c r="AI55" s="48" t="str">
        <f ca="1">IF(AND('Mapa final'!$AG$68="Muy Baja",'Mapa final'!$AI$68="Catastrófico"),CONCATENATE("R10C",'Mapa final'!$W$68),"")</f>
        <v/>
      </c>
      <c r="AJ55" s="48" t="str">
        <f>IF(AND('Mapa final'!$AG$69="Muy Baja",'Mapa final'!$AI$69="Catastrófico"),CONCATENATE("R10C",'Mapa final'!$W$69),"")</f>
        <v/>
      </c>
      <c r="AK55" s="48" t="str">
        <f>IF(AND('Mapa final'!$AG$70="Muy Baja",'Mapa final'!$AI$70="Catastrófico"),CONCATENATE("R10C",'Mapa final'!$W$70),"")</f>
        <v/>
      </c>
      <c r="AL55" s="48" t="str">
        <f>IF(AND('Mapa final'!$AG$71="Muy Baja",'Mapa final'!$AI$71="Catastrófico"),CONCATENATE("R10C",'Mapa final'!$W$71),"")</f>
        <v/>
      </c>
      <c r="AM55" s="49" t="str">
        <f>IF(AND('Mapa final'!$AG$72="Muy Baja",'Mapa final'!$AI$72="Catastrófico"),CONCATENATE("R10C",'Mapa final'!$W$72),"")</f>
        <v/>
      </c>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433" t="s">
        <v>141</v>
      </c>
      <c r="K56" s="434"/>
      <c r="L56" s="434"/>
      <c r="M56" s="434"/>
      <c r="N56" s="434"/>
      <c r="O56" s="435"/>
      <c r="P56" s="433" t="s">
        <v>142</v>
      </c>
      <c r="Q56" s="434"/>
      <c r="R56" s="434"/>
      <c r="S56" s="434"/>
      <c r="T56" s="434"/>
      <c r="U56" s="435"/>
      <c r="V56" s="433" t="s">
        <v>143</v>
      </c>
      <c r="W56" s="434"/>
      <c r="X56" s="434"/>
      <c r="Y56" s="434"/>
      <c r="Z56" s="434"/>
      <c r="AA56" s="435"/>
      <c r="AB56" s="433" t="s">
        <v>144</v>
      </c>
      <c r="AC56" s="442"/>
      <c r="AD56" s="434"/>
      <c r="AE56" s="434"/>
      <c r="AF56" s="434"/>
      <c r="AG56" s="435"/>
      <c r="AH56" s="433" t="s">
        <v>145</v>
      </c>
      <c r="AI56" s="434"/>
      <c r="AJ56" s="434"/>
      <c r="AK56" s="434"/>
      <c r="AL56" s="434"/>
      <c r="AM56" s="435"/>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436"/>
      <c r="K57" s="437"/>
      <c r="L57" s="437"/>
      <c r="M57" s="437"/>
      <c r="N57" s="437"/>
      <c r="O57" s="438"/>
      <c r="P57" s="436"/>
      <c r="Q57" s="437"/>
      <c r="R57" s="437"/>
      <c r="S57" s="437"/>
      <c r="T57" s="437"/>
      <c r="U57" s="438"/>
      <c r="V57" s="436"/>
      <c r="W57" s="437"/>
      <c r="X57" s="437"/>
      <c r="Y57" s="437"/>
      <c r="Z57" s="437"/>
      <c r="AA57" s="438"/>
      <c r="AB57" s="436"/>
      <c r="AC57" s="437"/>
      <c r="AD57" s="437"/>
      <c r="AE57" s="437"/>
      <c r="AF57" s="437"/>
      <c r="AG57" s="438"/>
      <c r="AH57" s="436"/>
      <c r="AI57" s="437"/>
      <c r="AJ57" s="437"/>
      <c r="AK57" s="437"/>
      <c r="AL57" s="437"/>
      <c r="AM57" s="438"/>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436"/>
      <c r="K58" s="437"/>
      <c r="L58" s="437"/>
      <c r="M58" s="437"/>
      <c r="N58" s="437"/>
      <c r="O58" s="438"/>
      <c r="P58" s="436"/>
      <c r="Q58" s="437"/>
      <c r="R58" s="437"/>
      <c r="S58" s="437"/>
      <c r="T58" s="437"/>
      <c r="U58" s="438"/>
      <c r="V58" s="436"/>
      <c r="W58" s="437"/>
      <c r="X58" s="437"/>
      <c r="Y58" s="437"/>
      <c r="Z58" s="437"/>
      <c r="AA58" s="438"/>
      <c r="AB58" s="436"/>
      <c r="AC58" s="437"/>
      <c r="AD58" s="437"/>
      <c r="AE58" s="437"/>
      <c r="AF58" s="437"/>
      <c r="AG58" s="438"/>
      <c r="AH58" s="436"/>
      <c r="AI58" s="437"/>
      <c r="AJ58" s="437"/>
      <c r="AK58" s="437"/>
      <c r="AL58" s="437"/>
      <c r="AM58" s="438"/>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436"/>
      <c r="K59" s="437"/>
      <c r="L59" s="437"/>
      <c r="M59" s="437"/>
      <c r="N59" s="437"/>
      <c r="O59" s="438"/>
      <c r="P59" s="436"/>
      <c r="Q59" s="437"/>
      <c r="R59" s="437"/>
      <c r="S59" s="437"/>
      <c r="T59" s="437"/>
      <c r="U59" s="438"/>
      <c r="V59" s="436"/>
      <c r="W59" s="437"/>
      <c r="X59" s="437"/>
      <c r="Y59" s="437"/>
      <c r="Z59" s="437"/>
      <c r="AA59" s="438"/>
      <c r="AB59" s="436"/>
      <c r="AC59" s="437"/>
      <c r="AD59" s="437"/>
      <c r="AE59" s="437"/>
      <c r="AF59" s="437"/>
      <c r="AG59" s="438"/>
      <c r="AH59" s="436"/>
      <c r="AI59" s="437"/>
      <c r="AJ59" s="437"/>
      <c r="AK59" s="437"/>
      <c r="AL59" s="437"/>
      <c r="AM59" s="438"/>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436"/>
      <c r="K60" s="437"/>
      <c r="L60" s="437"/>
      <c r="M60" s="437"/>
      <c r="N60" s="437"/>
      <c r="O60" s="438"/>
      <c r="P60" s="436"/>
      <c r="Q60" s="437"/>
      <c r="R60" s="437"/>
      <c r="S60" s="437"/>
      <c r="T60" s="437"/>
      <c r="U60" s="438"/>
      <c r="V60" s="436"/>
      <c r="W60" s="437"/>
      <c r="X60" s="437"/>
      <c r="Y60" s="437"/>
      <c r="Z60" s="437"/>
      <c r="AA60" s="438"/>
      <c r="AB60" s="436"/>
      <c r="AC60" s="437"/>
      <c r="AD60" s="437"/>
      <c r="AE60" s="437"/>
      <c r="AF60" s="437"/>
      <c r="AG60" s="438"/>
      <c r="AH60" s="436"/>
      <c r="AI60" s="437"/>
      <c r="AJ60" s="437"/>
      <c r="AK60" s="437"/>
      <c r="AL60" s="437"/>
      <c r="AM60" s="438"/>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ht="15.75" thickBot="1" x14ac:dyDescent="0.3">
      <c r="A61" s="69"/>
      <c r="B61" s="69"/>
      <c r="C61" s="69"/>
      <c r="D61" s="69"/>
      <c r="E61" s="69"/>
      <c r="F61" s="69"/>
      <c r="G61" s="69"/>
      <c r="H61" s="69"/>
      <c r="I61" s="69"/>
      <c r="J61" s="439"/>
      <c r="K61" s="440"/>
      <c r="L61" s="440"/>
      <c r="M61" s="440"/>
      <c r="N61" s="440"/>
      <c r="O61" s="441"/>
      <c r="P61" s="439"/>
      <c r="Q61" s="440"/>
      <c r="R61" s="440"/>
      <c r="S61" s="440"/>
      <c r="T61" s="440"/>
      <c r="U61" s="441"/>
      <c r="V61" s="439"/>
      <c r="W61" s="440"/>
      <c r="X61" s="440"/>
      <c r="Y61" s="440"/>
      <c r="Z61" s="440"/>
      <c r="AA61" s="441"/>
      <c r="AB61" s="439"/>
      <c r="AC61" s="440"/>
      <c r="AD61" s="440"/>
      <c r="AE61" s="440"/>
      <c r="AF61" s="440"/>
      <c r="AG61" s="441"/>
      <c r="AH61" s="439"/>
      <c r="AI61" s="440"/>
      <c r="AJ61" s="440"/>
      <c r="AK61" s="440"/>
      <c r="AL61" s="440"/>
      <c r="AM61" s="441"/>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row>
    <row r="63" spans="1:80" ht="15" customHeight="1" x14ac:dyDescent="0.25">
      <c r="A63" s="69"/>
      <c r="B63" s="73"/>
      <c r="C63" s="73"/>
      <c r="D63" s="73"/>
      <c r="E63" s="73"/>
      <c r="F63" s="73"/>
      <c r="G63" s="73"/>
      <c r="H63" s="73"/>
      <c r="I63" s="73"/>
      <c r="J63" s="73"/>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69"/>
      <c r="AV63" s="69"/>
      <c r="AW63" s="69"/>
      <c r="AX63" s="69"/>
      <c r="AY63" s="69"/>
      <c r="AZ63" s="69"/>
      <c r="BA63" s="69"/>
      <c r="BB63" s="69"/>
      <c r="BC63" s="69"/>
      <c r="BD63" s="69"/>
      <c r="BE63" s="69"/>
      <c r="BF63" s="69"/>
      <c r="BG63" s="69"/>
      <c r="BH63" s="69"/>
    </row>
    <row r="64" spans="1:80" ht="15" customHeight="1" x14ac:dyDescent="0.25">
      <c r="A64" s="69"/>
      <c r="B64" s="73"/>
      <c r="C64" s="73"/>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69"/>
      <c r="AV64" s="69"/>
      <c r="AW64" s="69"/>
      <c r="AX64" s="69"/>
      <c r="AY64" s="69"/>
      <c r="AZ64" s="69"/>
      <c r="BA64" s="69"/>
      <c r="BB64" s="69"/>
      <c r="BC64" s="69"/>
      <c r="BD64" s="69"/>
      <c r="BE64" s="69"/>
      <c r="BF64" s="69"/>
      <c r="BG64" s="69"/>
      <c r="BH64" s="69"/>
    </row>
    <row r="65" spans="1:6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row>
    <row r="66" spans="1:6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row>
    <row r="67" spans="1:6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row>
    <row r="68" spans="1:6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row>
    <row r="69" spans="1:6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row>
    <row r="70" spans="1:6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row>
    <row r="71" spans="1:6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row>
    <row r="72" spans="1:6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row>
    <row r="73" spans="1:6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row>
    <row r="74" spans="1:6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row>
    <row r="75" spans="1:6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row>
    <row r="76" spans="1:6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row>
    <row r="77" spans="1:6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row>
    <row r="78" spans="1:6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row>
    <row r="79" spans="1:6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row>
    <row r="80" spans="1:6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row>
    <row r="81" spans="1:60"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row>
    <row r="82" spans="1:60"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row>
    <row r="83" spans="1:60"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row>
    <row r="84" spans="1:60"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row>
    <row r="85" spans="1:60"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row>
    <row r="86" spans="1:60"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row>
    <row r="87" spans="1:60"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row>
    <row r="88" spans="1:60"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row>
    <row r="89" spans="1:60"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row>
    <row r="90" spans="1:60"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row>
    <row r="91" spans="1:60"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row>
    <row r="92" spans="1:60"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row>
    <row r="93" spans="1:60"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row>
    <row r="94" spans="1:60"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row>
    <row r="95" spans="1:60"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row>
    <row r="96" spans="1:60"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row>
    <row r="97" spans="1:60"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row>
    <row r="98" spans="1:60"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row>
    <row r="99" spans="1:60"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row>
    <row r="100" spans="1:60"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row>
    <row r="101" spans="1:60"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row>
    <row r="102" spans="1:60"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row>
    <row r="103" spans="1:60"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row>
    <row r="104" spans="1:60"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row>
    <row r="105" spans="1:60"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row>
    <row r="106" spans="1:60"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row>
    <row r="107" spans="1:60"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row>
    <row r="108" spans="1:60"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row>
    <row r="109" spans="1:60"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row>
    <row r="110" spans="1:60"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row>
    <row r="111" spans="1:60"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row>
    <row r="112" spans="1:60"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row>
    <row r="113" spans="1:60"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row>
    <row r="114" spans="1:60"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row>
    <row r="115" spans="1:60"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row>
    <row r="116" spans="1:60"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row>
    <row r="117" spans="1:60"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row>
    <row r="118" spans="1:60"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row>
    <row r="119" spans="1:60"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row>
    <row r="120" spans="1:60"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row>
    <row r="121" spans="1:60"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row>
    <row r="122" spans="1:60" x14ac:dyDescent="0.25">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row>
    <row r="123" spans="1:60" x14ac:dyDescent="0.25">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row>
    <row r="124" spans="1:60" x14ac:dyDescent="0.25">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row>
    <row r="125" spans="1:60" x14ac:dyDescent="0.25">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row>
    <row r="126" spans="1:60" x14ac:dyDescent="0.25">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row>
    <row r="127" spans="1:60" x14ac:dyDescent="0.25">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row>
    <row r="128" spans="1:60" x14ac:dyDescent="0.25">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row>
    <row r="129" spans="1:60" x14ac:dyDescent="0.25">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row>
    <row r="130" spans="1:60" x14ac:dyDescent="0.25">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row>
    <row r="131" spans="1:60" x14ac:dyDescent="0.25">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row>
    <row r="132" spans="1:60" x14ac:dyDescent="0.25">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row>
    <row r="133" spans="1:60" x14ac:dyDescent="0.25">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row>
    <row r="134" spans="1:60" x14ac:dyDescent="0.25">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row>
    <row r="135" spans="1:60" x14ac:dyDescent="0.25">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row>
    <row r="136" spans="1:60" x14ac:dyDescent="0.25">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row>
    <row r="137" spans="1:60" x14ac:dyDescent="0.25">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c r="AA137" s="69"/>
      <c r="AB137" s="69"/>
      <c r="AC137" s="69"/>
      <c r="AD137" s="69"/>
      <c r="AE137" s="69"/>
      <c r="AF137" s="69"/>
      <c r="AG137" s="69"/>
      <c r="AH137" s="69"/>
      <c r="AI137" s="69"/>
      <c r="AJ137" s="69"/>
      <c r="AK137" s="69"/>
      <c r="AL137" s="69"/>
      <c r="AM137" s="69"/>
      <c r="AN137" s="69"/>
      <c r="AO137" s="69"/>
      <c r="AP137" s="69"/>
      <c r="AQ137" s="69"/>
      <c r="AR137" s="69"/>
      <c r="AS137" s="69"/>
      <c r="AT137" s="69"/>
      <c r="AU137" s="69"/>
      <c r="AV137" s="69"/>
      <c r="AW137" s="69"/>
      <c r="AX137" s="69"/>
      <c r="AY137" s="69"/>
      <c r="AZ137" s="69"/>
      <c r="BA137" s="69"/>
      <c r="BB137" s="69"/>
      <c r="BC137" s="69"/>
      <c r="BD137" s="69"/>
      <c r="BE137" s="69"/>
      <c r="BF137" s="69"/>
      <c r="BG137" s="69"/>
      <c r="BH137" s="69"/>
    </row>
    <row r="138" spans="1:60" x14ac:dyDescent="0.25">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c r="AA138" s="69"/>
      <c r="AB138" s="69"/>
      <c r="AC138" s="69"/>
      <c r="AD138" s="69"/>
      <c r="AE138" s="69"/>
      <c r="AF138" s="69"/>
      <c r="AG138" s="69"/>
      <c r="AH138" s="69"/>
      <c r="AI138" s="69"/>
      <c r="AJ138" s="69"/>
      <c r="AK138" s="69"/>
      <c r="AL138" s="69"/>
      <c r="AM138" s="69"/>
      <c r="AN138" s="69"/>
      <c r="AO138" s="69"/>
      <c r="AP138" s="69"/>
      <c r="AQ138" s="69"/>
      <c r="AR138" s="69"/>
      <c r="AS138" s="69"/>
      <c r="AT138" s="69"/>
      <c r="AU138" s="69"/>
      <c r="AV138" s="69"/>
      <c r="AW138" s="69"/>
      <c r="AX138" s="69"/>
      <c r="AY138" s="69"/>
      <c r="AZ138" s="69"/>
      <c r="BA138" s="69"/>
      <c r="BB138" s="69"/>
      <c r="BC138" s="69"/>
      <c r="BD138" s="69"/>
      <c r="BE138" s="69"/>
      <c r="BF138" s="69"/>
      <c r="BG138" s="69"/>
      <c r="BH138" s="69"/>
    </row>
    <row r="139" spans="1:60" x14ac:dyDescent="0.25">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row>
    <row r="140" spans="1:60" x14ac:dyDescent="0.25">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9"/>
      <c r="AR140" s="69"/>
      <c r="AS140" s="69"/>
      <c r="AT140" s="69"/>
      <c r="AU140" s="69"/>
      <c r="AV140" s="69"/>
      <c r="AW140" s="69"/>
      <c r="AX140" s="69"/>
      <c r="AY140" s="69"/>
      <c r="AZ140" s="69"/>
      <c r="BA140" s="69"/>
      <c r="BB140" s="69"/>
      <c r="BC140" s="69"/>
      <c r="BD140" s="69"/>
      <c r="BE140" s="69"/>
      <c r="BF140" s="69"/>
      <c r="BG140" s="69"/>
      <c r="BH140" s="69"/>
    </row>
    <row r="141" spans="1:60" x14ac:dyDescent="0.25">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69"/>
      <c r="BF141" s="69"/>
      <c r="BG141" s="69"/>
      <c r="BH141" s="69"/>
    </row>
    <row r="142" spans="1:60" x14ac:dyDescent="0.25">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c r="AA142" s="69"/>
      <c r="AB142" s="69"/>
      <c r="AC142" s="69"/>
      <c r="AD142" s="69"/>
      <c r="AE142" s="69"/>
      <c r="AF142" s="69"/>
      <c r="AG142" s="69"/>
      <c r="AH142" s="69"/>
      <c r="AI142" s="69"/>
      <c r="AJ142" s="69"/>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c r="BG142" s="69"/>
      <c r="BH142" s="69"/>
    </row>
    <row r="143" spans="1:60" x14ac:dyDescent="0.25">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c r="AA143" s="69"/>
      <c r="AB143" s="69"/>
      <c r="AC143" s="69"/>
      <c r="AD143" s="69"/>
      <c r="AE143" s="69"/>
      <c r="AF143" s="69"/>
      <c r="AG143" s="69"/>
      <c r="AH143" s="69"/>
      <c r="AI143" s="69"/>
      <c r="AJ143" s="69"/>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row>
    <row r="144" spans="1:60" x14ac:dyDescent="0.25">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c r="AA144" s="69"/>
      <c r="AB144" s="69"/>
      <c r="AC144" s="69"/>
      <c r="AD144" s="69"/>
      <c r="AE144" s="69"/>
      <c r="AF144" s="69"/>
      <c r="AG144" s="69"/>
      <c r="AH144" s="69"/>
      <c r="AI144" s="69"/>
      <c r="AJ144" s="69"/>
      <c r="AK144" s="69"/>
      <c r="AL144" s="69"/>
      <c r="AM144" s="69"/>
      <c r="AN144" s="69"/>
      <c r="AO144" s="69"/>
      <c r="AP144" s="69"/>
      <c r="AQ144" s="69"/>
      <c r="AR144" s="69"/>
      <c r="AS144" s="69"/>
      <c r="AT144" s="69"/>
      <c r="AU144" s="69"/>
      <c r="AV144" s="69"/>
      <c r="AW144" s="69"/>
      <c r="AX144" s="69"/>
      <c r="AY144" s="69"/>
      <c r="AZ144" s="69"/>
      <c r="BA144" s="69"/>
      <c r="BB144" s="69"/>
      <c r="BC144" s="69"/>
      <c r="BD144" s="69"/>
      <c r="BE144" s="69"/>
      <c r="BF144" s="69"/>
      <c r="BG144" s="69"/>
      <c r="BH144" s="69"/>
    </row>
    <row r="145" spans="1:60" x14ac:dyDescent="0.25">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69"/>
      <c r="AG145" s="69"/>
      <c r="AH145" s="69"/>
      <c r="AI145" s="69"/>
      <c r="AJ145" s="69"/>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69"/>
      <c r="BH145" s="69"/>
    </row>
    <row r="146" spans="1:60" x14ac:dyDescent="0.25">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c r="AA146" s="69"/>
      <c r="AB146" s="69"/>
      <c r="AC146" s="69"/>
      <c r="AD146" s="69"/>
      <c r="AE146" s="69"/>
      <c r="AF146" s="69"/>
      <c r="AG146" s="69"/>
      <c r="AH146" s="69"/>
      <c r="AI146" s="69"/>
      <c r="AJ146" s="69"/>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69"/>
      <c r="BH146" s="69"/>
    </row>
    <row r="147" spans="1:60" x14ac:dyDescent="0.25">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c r="AA147" s="69"/>
      <c r="AB147" s="69"/>
      <c r="AC147" s="69"/>
      <c r="AD147" s="69"/>
      <c r="AE147" s="69"/>
      <c r="AF147" s="69"/>
      <c r="AG147" s="69"/>
      <c r="AH147" s="69"/>
      <c r="AI147" s="69"/>
      <c r="AJ147" s="69"/>
      <c r="AK147" s="69"/>
      <c r="AL147" s="69"/>
      <c r="AM147" s="69"/>
      <c r="AN147" s="69"/>
      <c r="AO147" s="69"/>
      <c r="AP147" s="69"/>
      <c r="AQ147" s="69"/>
      <c r="AR147" s="69"/>
      <c r="AS147" s="69"/>
      <c r="AT147" s="69"/>
      <c r="AU147" s="69"/>
      <c r="AV147" s="69"/>
      <c r="AW147" s="69"/>
      <c r="AX147" s="69"/>
      <c r="AY147" s="69"/>
      <c r="AZ147" s="69"/>
      <c r="BA147" s="69"/>
      <c r="BB147" s="69"/>
      <c r="BC147" s="69"/>
      <c r="BD147" s="69"/>
      <c r="BE147" s="69"/>
      <c r="BF147" s="69"/>
      <c r="BG147" s="69"/>
      <c r="BH147" s="69"/>
    </row>
    <row r="148" spans="1:60" x14ac:dyDescent="0.25">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row>
    <row r="149" spans="1:60" x14ac:dyDescent="0.25">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c r="AA149" s="69"/>
      <c r="AB149" s="69"/>
      <c r="AC149" s="69"/>
      <c r="AD149" s="69"/>
      <c r="AE149" s="69"/>
      <c r="AF149" s="69"/>
      <c r="AG149" s="69"/>
      <c r="AH149" s="69"/>
      <c r="AI149" s="69"/>
      <c r="AJ149" s="69"/>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69"/>
      <c r="BH149" s="69"/>
    </row>
    <row r="150" spans="1:60" x14ac:dyDescent="0.25">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c r="AA150" s="69"/>
      <c r="AB150" s="69"/>
      <c r="AC150" s="69"/>
      <c r="AD150" s="69"/>
      <c r="AE150" s="69"/>
      <c r="AF150" s="69"/>
      <c r="AG150" s="69"/>
      <c r="AH150" s="69"/>
      <c r="AI150" s="69"/>
      <c r="AJ150" s="69"/>
      <c r="AK150" s="69"/>
      <c r="AL150" s="69"/>
      <c r="AM150" s="69"/>
      <c r="AN150" s="69"/>
      <c r="AO150" s="69"/>
      <c r="AP150" s="69"/>
      <c r="AQ150" s="69"/>
      <c r="AR150" s="69"/>
      <c r="AS150" s="69"/>
      <c r="AT150" s="69"/>
      <c r="AU150" s="69"/>
      <c r="AV150" s="69"/>
      <c r="AW150" s="69"/>
      <c r="AX150" s="69"/>
      <c r="AY150" s="69"/>
      <c r="AZ150" s="69"/>
      <c r="BA150" s="69"/>
      <c r="BB150" s="69"/>
      <c r="BC150" s="69"/>
      <c r="BD150" s="69"/>
      <c r="BE150" s="69"/>
      <c r="BF150" s="69"/>
      <c r="BG150" s="69"/>
      <c r="BH150" s="69"/>
    </row>
    <row r="151" spans="1:60" x14ac:dyDescent="0.25">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row>
    <row r="152" spans="1:60" x14ac:dyDescent="0.25">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c r="AA152" s="69"/>
      <c r="AB152" s="69"/>
      <c r="AC152" s="69"/>
      <c r="AD152" s="69"/>
      <c r="AE152" s="69"/>
      <c r="AF152" s="69"/>
      <c r="AG152" s="69"/>
      <c r="AH152" s="69"/>
      <c r="AI152" s="69"/>
      <c r="AJ152" s="69"/>
      <c r="AK152" s="69"/>
      <c r="AL152" s="69"/>
      <c r="AM152" s="69"/>
      <c r="AN152" s="69"/>
      <c r="AO152" s="69"/>
      <c r="AP152" s="69"/>
      <c r="AQ152" s="69"/>
      <c r="AR152" s="69"/>
      <c r="AS152" s="69"/>
      <c r="AT152" s="69"/>
      <c r="AU152" s="69"/>
      <c r="AV152" s="69"/>
      <c r="AW152" s="69"/>
      <c r="AX152" s="69"/>
      <c r="AY152" s="69"/>
      <c r="AZ152" s="69"/>
      <c r="BA152" s="69"/>
      <c r="BB152" s="69"/>
      <c r="BC152" s="69"/>
      <c r="BD152" s="69"/>
      <c r="BE152" s="69"/>
      <c r="BF152" s="69"/>
      <c r="BG152" s="69"/>
      <c r="BH152" s="69"/>
    </row>
    <row r="153" spans="1:60" x14ac:dyDescent="0.25">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row>
    <row r="154" spans="1:60" x14ac:dyDescent="0.25">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c r="AA154" s="69"/>
      <c r="AB154" s="69"/>
      <c r="AC154" s="69"/>
      <c r="AD154" s="69"/>
      <c r="AE154" s="69"/>
      <c r="AF154" s="69"/>
      <c r="AG154" s="69"/>
      <c r="AH154" s="69"/>
      <c r="AI154" s="69"/>
      <c r="AJ154" s="69"/>
      <c r="AK154" s="69"/>
      <c r="AL154" s="69"/>
      <c r="AM154" s="69"/>
      <c r="AN154" s="69"/>
      <c r="AO154" s="69"/>
      <c r="AP154" s="69"/>
      <c r="AQ154" s="69"/>
      <c r="AR154" s="69"/>
      <c r="AS154" s="69"/>
      <c r="AT154" s="69"/>
      <c r="AU154" s="69"/>
      <c r="AV154" s="69"/>
      <c r="AW154" s="69"/>
      <c r="AX154" s="69"/>
      <c r="AY154" s="69"/>
      <c r="AZ154" s="69"/>
      <c r="BA154" s="69"/>
      <c r="BB154" s="69"/>
      <c r="BC154" s="69"/>
      <c r="BD154" s="69"/>
      <c r="BE154" s="69"/>
      <c r="BF154" s="69"/>
      <c r="BG154" s="69"/>
      <c r="BH154" s="69"/>
    </row>
    <row r="155" spans="1:60" x14ac:dyDescent="0.25">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row>
    <row r="156" spans="1:60" x14ac:dyDescent="0.25">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row>
    <row r="157" spans="1:60" x14ac:dyDescent="0.25">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row>
    <row r="158" spans="1:60" x14ac:dyDescent="0.25">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row>
    <row r="159" spans="1:60" x14ac:dyDescent="0.25">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row>
    <row r="160" spans="1:60" x14ac:dyDescent="0.25">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c r="BG160" s="69"/>
      <c r="BH160" s="69"/>
    </row>
    <row r="161" spans="1:60" x14ac:dyDescent="0.25">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c r="BG161" s="69"/>
      <c r="BH161" s="69"/>
    </row>
    <row r="162" spans="1:60" x14ac:dyDescent="0.25">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c r="AA162" s="69"/>
      <c r="AB162" s="69"/>
      <c r="AC162" s="69"/>
      <c r="AD162" s="69"/>
      <c r="AE162" s="69"/>
      <c r="AF162" s="69"/>
      <c r="AG162" s="69"/>
      <c r="AH162" s="69"/>
      <c r="AI162" s="69"/>
      <c r="AJ162" s="69"/>
      <c r="AK162" s="69"/>
      <c r="AL162" s="69"/>
      <c r="AM162" s="69"/>
      <c r="AN162" s="69"/>
      <c r="AO162" s="69"/>
      <c r="AP162" s="69"/>
      <c r="AQ162" s="69"/>
      <c r="AR162" s="69"/>
      <c r="AS162" s="69"/>
      <c r="AT162" s="69"/>
      <c r="AU162" s="69"/>
      <c r="AV162" s="69"/>
      <c r="AW162" s="69"/>
      <c r="AX162" s="69"/>
      <c r="AY162" s="69"/>
      <c r="AZ162" s="69"/>
      <c r="BA162" s="69"/>
      <c r="BB162" s="69"/>
      <c r="BC162" s="69"/>
      <c r="BD162" s="69"/>
      <c r="BE162" s="69"/>
      <c r="BF162" s="69"/>
      <c r="BG162" s="69"/>
      <c r="BH162" s="69"/>
    </row>
    <row r="163" spans="1:60" x14ac:dyDescent="0.25">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c r="AA163" s="69"/>
      <c r="AB163" s="69"/>
      <c r="AC163" s="69"/>
      <c r="AD163" s="69"/>
      <c r="AE163" s="69"/>
      <c r="AF163" s="69"/>
      <c r="AG163" s="69"/>
      <c r="AH163" s="69"/>
      <c r="AI163" s="69"/>
      <c r="AJ163" s="69"/>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row>
    <row r="164" spans="1:60" x14ac:dyDescent="0.25">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c r="AA164" s="69"/>
      <c r="AB164" s="69"/>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row>
    <row r="165" spans="1:60" x14ac:dyDescent="0.25">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c r="AA165" s="69"/>
      <c r="AB165" s="69"/>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69"/>
      <c r="AY165" s="69"/>
      <c r="AZ165" s="69"/>
      <c r="BA165" s="69"/>
      <c r="BB165" s="69"/>
      <c r="BC165" s="69"/>
      <c r="BD165" s="69"/>
      <c r="BE165" s="69"/>
      <c r="BF165" s="69"/>
      <c r="BG165" s="69"/>
      <c r="BH165" s="69"/>
    </row>
    <row r="166" spans="1:60" x14ac:dyDescent="0.25">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row>
    <row r="167" spans="1:60" x14ac:dyDescent="0.25">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c r="AA167" s="69"/>
      <c r="AB167" s="69"/>
      <c r="AC167" s="69"/>
      <c r="AD167" s="69"/>
      <c r="AE167" s="69"/>
      <c r="AF167" s="69"/>
      <c r="AG167" s="69"/>
      <c r="AH167" s="69"/>
      <c r="AI167" s="69"/>
      <c r="AJ167" s="69"/>
      <c r="AK167" s="69"/>
      <c r="AL167" s="69"/>
      <c r="AM167" s="69"/>
      <c r="AN167" s="69"/>
      <c r="AO167" s="69"/>
      <c r="AP167" s="69"/>
      <c r="AQ167" s="69"/>
      <c r="AR167" s="69"/>
      <c r="AS167" s="69"/>
      <c r="AT167" s="69"/>
      <c r="AU167" s="69"/>
      <c r="AV167" s="69"/>
      <c r="AW167" s="69"/>
      <c r="AX167" s="69"/>
      <c r="AY167" s="69"/>
      <c r="AZ167" s="69"/>
      <c r="BA167" s="69"/>
      <c r="BB167" s="69"/>
      <c r="BC167" s="69"/>
      <c r="BD167" s="69"/>
      <c r="BE167" s="69"/>
      <c r="BF167" s="69"/>
      <c r="BG167" s="69"/>
      <c r="BH167" s="69"/>
    </row>
    <row r="168" spans="1:60" x14ac:dyDescent="0.25">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c r="AA168" s="69"/>
      <c r="AB168" s="69"/>
      <c r="AC168" s="69"/>
      <c r="AD168" s="69"/>
      <c r="AE168" s="69"/>
      <c r="AF168" s="69"/>
      <c r="AG168" s="69"/>
      <c r="AH168" s="69"/>
      <c r="AI168" s="69"/>
      <c r="AJ168" s="69"/>
      <c r="AK168" s="69"/>
      <c r="AL168" s="69"/>
      <c r="AM168" s="69"/>
      <c r="AN168" s="69"/>
      <c r="AO168" s="69"/>
      <c r="AP168" s="69"/>
      <c r="AQ168" s="69"/>
      <c r="AR168" s="69"/>
      <c r="AS168" s="69"/>
      <c r="AT168" s="69"/>
      <c r="AU168" s="69"/>
      <c r="AV168" s="69"/>
      <c r="AW168" s="69"/>
      <c r="AX168" s="69"/>
      <c r="AY168" s="69"/>
      <c r="AZ168" s="69"/>
      <c r="BA168" s="69"/>
      <c r="BB168" s="69"/>
      <c r="BC168" s="69"/>
      <c r="BD168" s="69"/>
      <c r="BE168" s="69"/>
      <c r="BF168" s="69"/>
      <c r="BG168" s="69"/>
      <c r="BH168" s="69"/>
    </row>
    <row r="169" spans="1:60" x14ac:dyDescent="0.25">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c r="AA169" s="69"/>
      <c r="AB169" s="69"/>
      <c r="AC169" s="69"/>
      <c r="AD169" s="69"/>
      <c r="AE169" s="69"/>
      <c r="AF169" s="69"/>
      <c r="AG169" s="69"/>
      <c r="AH169" s="69"/>
      <c r="AI169" s="69"/>
      <c r="AJ169" s="69"/>
      <c r="AK169" s="69"/>
      <c r="AL169" s="69"/>
      <c r="AM169" s="69"/>
      <c r="AN169" s="69"/>
      <c r="AO169" s="69"/>
      <c r="AP169" s="69"/>
      <c r="AQ169" s="69"/>
      <c r="AR169" s="69"/>
      <c r="AS169" s="69"/>
      <c r="AT169" s="69"/>
      <c r="AU169" s="69"/>
      <c r="AV169" s="69"/>
      <c r="AW169" s="69"/>
      <c r="AX169" s="69"/>
      <c r="AY169" s="69"/>
      <c r="AZ169" s="69"/>
      <c r="BA169" s="69"/>
      <c r="BB169" s="69"/>
      <c r="BC169" s="69"/>
      <c r="BD169" s="69"/>
      <c r="BE169" s="69"/>
      <c r="BF169" s="69"/>
      <c r="BG169" s="69"/>
      <c r="BH169" s="69"/>
    </row>
    <row r="170" spans="1:60" x14ac:dyDescent="0.25">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c r="AA170" s="69"/>
      <c r="AB170" s="69"/>
      <c r="AC170" s="69"/>
      <c r="AD170" s="69"/>
      <c r="AE170" s="69"/>
      <c r="AF170" s="69"/>
      <c r="AG170" s="69"/>
      <c r="AH170" s="69"/>
      <c r="AI170" s="69"/>
      <c r="AJ170" s="69"/>
      <c r="AK170" s="69"/>
      <c r="AL170" s="69"/>
      <c r="AM170" s="69"/>
      <c r="AN170" s="69"/>
      <c r="AO170" s="69"/>
      <c r="AP170" s="69"/>
      <c r="AQ170" s="69"/>
      <c r="AR170" s="69"/>
      <c r="AS170" s="69"/>
      <c r="AT170" s="69"/>
      <c r="AU170" s="69"/>
      <c r="AV170" s="69"/>
      <c r="AW170" s="69"/>
      <c r="AX170" s="69"/>
      <c r="AY170" s="69"/>
      <c r="AZ170" s="69"/>
      <c r="BA170" s="69"/>
      <c r="BB170" s="69"/>
      <c r="BC170" s="69"/>
      <c r="BD170" s="69"/>
      <c r="BE170" s="69"/>
      <c r="BF170" s="69"/>
      <c r="BG170" s="69"/>
      <c r="BH170" s="69"/>
    </row>
    <row r="171" spans="1:60" x14ac:dyDescent="0.25">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c r="AA171" s="69"/>
      <c r="AB171" s="69"/>
      <c r="AC171" s="69"/>
      <c r="AD171" s="69"/>
      <c r="AE171" s="69"/>
      <c r="AF171" s="69"/>
      <c r="AG171" s="69"/>
      <c r="AH171" s="69"/>
      <c r="AI171" s="69"/>
      <c r="AJ171" s="69"/>
      <c r="AK171" s="69"/>
      <c r="AL171" s="69"/>
      <c r="AM171" s="69"/>
      <c r="AN171" s="69"/>
      <c r="AO171" s="69"/>
      <c r="AP171" s="69"/>
      <c r="AQ171" s="69"/>
      <c r="AR171" s="69"/>
      <c r="AS171" s="69"/>
      <c r="AT171" s="69"/>
      <c r="AU171" s="69"/>
      <c r="AV171" s="69"/>
      <c r="AW171" s="69"/>
      <c r="AX171" s="69"/>
      <c r="AY171" s="69"/>
      <c r="AZ171" s="69"/>
      <c r="BA171" s="69"/>
      <c r="BB171" s="69"/>
      <c r="BC171" s="69"/>
      <c r="BD171" s="69"/>
      <c r="BE171" s="69"/>
      <c r="BF171" s="69"/>
      <c r="BG171" s="69"/>
      <c r="BH171" s="69"/>
    </row>
    <row r="172" spans="1:60" x14ac:dyDescent="0.25">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c r="AA172" s="69"/>
      <c r="AB172" s="69"/>
      <c r="AC172" s="69"/>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row>
    <row r="173" spans="1:60" x14ac:dyDescent="0.25">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c r="AA173" s="69"/>
      <c r="AB173" s="69"/>
      <c r="AC173" s="69"/>
      <c r="AD173" s="69"/>
      <c r="AE173" s="69"/>
      <c r="AF173" s="69"/>
      <c r="AG173" s="69"/>
      <c r="AH173" s="69"/>
      <c r="AI173" s="69"/>
      <c r="AJ173" s="69"/>
      <c r="AK173" s="69"/>
      <c r="AL173" s="69"/>
      <c r="AM173" s="69"/>
      <c r="AN173" s="69"/>
      <c r="AO173" s="69"/>
      <c r="AP173" s="69"/>
      <c r="AQ173" s="69"/>
      <c r="AR173" s="69"/>
      <c r="AS173" s="69"/>
      <c r="AT173" s="69"/>
      <c r="AU173" s="69"/>
      <c r="AV173" s="69"/>
      <c r="AW173" s="69"/>
      <c r="AX173" s="69"/>
      <c r="AY173" s="69"/>
      <c r="AZ173" s="69"/>
      <c r="BA173" s="69"/>
      <c r="BB173" s="69"/>
      <c r="BC173" s="69"/>
      <c r="BD173" s="69"/>
      <c r="BE173" s="69"/>
      <c r="BF173" s="69"/>
      <c r="BG173" s="69"/>
      <c r="BH173" s="69"/>
    </row>
    <row r="174" spans="1:60" x14ac:dyDescent="0.25">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c r="AA174" s="69"/>
      <c r="AB174" s="69"/>
      <c r="AC174" s="69"/>
      <c r="AD174" s="69"/>
      <c r="AE174" s="69"/>
      <c r="AF174" s="69"/>
      <c r="AG174" s="69"/>
      <c r="AH174" s="69"/>
      <c r="AI174" s="69"/>
      <c r="AJ174" s="69"/>
      <c r="AK174" s="69"/>
      <c r="AL174" s="69"/>
      <c r="AM174" s="69"/>
      <c r="AN174" s="69"/>
      <c r="AO174" s="69"/>
      <c r="AP174" s="69"/>
      <c r="AQ174" s="69"/>
      <c r="AR174" s="69"/>
      <c r="AS174" s="69"/>
      <c r="AT174" s="69"/>
      <c r="AU174" s="69"/>
      <c r="AV174" s="69"/>
      <c r="AW174" s="69"/>
      <c r="AX174" s="69"/>
      <c r="AY174" s="69"/>
      <c r="AZ174" s="69"/>
      <c r="BA174" s="69"/>
      <c r="BB174" s="69"/>
      <c r="BC174" s="69"/>
      <c r="BD174" s="69"/>
      <c r="BE174" s="69"/>
      <c r="BF174" s="69"/>
      <c r="BG174" s="69"/>
      <c r="BH174" s="69"/>
    </row>
    <row r="175" spans="1:60" x14ac:dyDescent="0.25">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c r="AA175" s="69"/>
      <c r="AB175" s="69"/>
      <c r="AC175" s="69"/>
      <c r="AD175" s="69"/>
      <c r="AE175" s="69"/>
      <c r="AF175" s="69"/>
      <c r="AG175" s="69"/>
      <c r="AH175" s="69"/>
      <c r="AI175" s="69"/>
      <c r="AJ175" s="69"/>
      <c r="AK175" s="69"/>
      <c r="AL175" s="69"/>
      <c r="AM175" s="69"/>
      <c r="AN175" s="69"/>
      <c r="AO175" s="69"/>
      <c r="AP175" s="69"/>
      <c r="AQ175" s="69"/>
      <c r="AR175" s="69"/>
      <c r="AS175" s="69"/>
      <c r="AT175" s="69"/>
      <c r="AU175" s="69"/>
      <c r="AV175" s="69"/>
      <c r="AW175" s="69"/>
      <c r="AX175" s="69"/>
      <c r="AY175" s="69"/>
      <c r="AZ175" s="69"/>
      <c r="BA175" s="69"/>
      <c r="BB175" s="69"/>
      <c r="BC175" s="69"/>
      <c r="BD175" s="69"/>
      <c r="BE175" s="69"/>
      <c r="BF175" s="69"/>
      <c r="BG175" s="69"/>
      <c r="BH175" s="69"/>
    </row>
    <row r="176" spans="1:60" x14ac:dyDescent="0.25">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c r="AA176" s="69"/>
      <c r="AB176" s="69"/>
      <c r="AC176" s="69"/>
      <c r="AD176" s="69"/>
      <c r="AE176" s="69"/>
      <c r="AF176" s="69"/>
      <c r="AG176" s="69"/>
      <c r="AH176" s="69"/>
      <c r="AI176" s="69"/>
      <c r="AJ176" s="69"/>
      <c r="AK176" s="69"/>
      <c r="AL176" s="69"/>
      <c r="AM176" s="69"/>
      <c r="AN176" s="69"/>
      <c r="AO176" s="69"/>
      <c r="AP176" s="69"/>
      <c r="AQ176" s="69"/>
      <c r="AR176" s="69"/>
      <c r="AS176" s="69"/>
      <c r="AT176" s="69"/>
      <c r="AU176" s="69"/>
      <c r="AV176" s="69"/>
      <c r="AW176" s="69"/>
      <c r="AX176" s="69"/>
      <c r="AY176" s="69"/>
      <c r="AZ176" s="69"/>
      <c r="BA176" s="69"/>
      <c r="BB176" s="69"/>
      <c r="BC176" s="69"/>
      <c r="BD176" s="69"/>
      <c r="BE176" s="69"/>
      <c r="BF176" s="69"/>
      <c r="BG176" s="69"/>
      <c r="BH176" s="69"/>
    </row>
    <row r="177" spans="1:60" x14ac:dyDescent="0.25">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c r="AA177" s="69"/>
      <c r="AB177" s="69"/>
      <c r="AC177" s="69"/>
      <c r="AD177" s="69"/>
      <c r="AE177" s="69"/>
      <c r="AF177" s="69"/>
      <c r="AG177" s="69"/>
      <c r="AH177" s="69"/>
      <c r="AI177" s="69"/>
      <c r="AJ177" s="69"/>
      <c r="AK177" s="69"/>
      <c r="AL177" s="69"/>
      <c r="AM177" s="69"/>
      <c r="AN177" s="69"/>
      <c r="AO177" s="69"/>
      <c r="AP177" s="69"/>
      <c r="AQ177" s="69"/>
      <c r="AR177" s="69"/>
      <c r="AS177" s="69"/>
      <c r="AT177" s="69"/>
      <c r="AU177" s="69"/>
      <c r="AV177" s="69"/>
      <c r="AW177" s="69"/>
      <c r="AX177" s="69"/>
      <c r="AY177" s="69"/>
      <c r="AZ177" s="69"/>
      <c r="BA177" s="69"/>
      <c r="BB177" s="69"/>
      <c r="BC177" s="69"/>
      <c r="BD177" s="69"/>
      <c r="BE177" s="69"/>
      <c r="BF177" s="69"/>
      <c r="BG177" s="69"/>
      <c r="BH177" s="69"/>
    </row>
    <row r="178" spans="1:60" x14ac:dyDescent="0.25">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c r="AA178" s="69"/>
      <c r="AB178" s="69"/>
      <c r="AC178" s="69"/>
      <c r="AD178" s="69"/>
      <c r="AE178" s="69"/>
      <c r="AF178" s="69"/>
      <c r="AG178" s="69"/>
      <c r="AH178" s="69"/>
      <c r="AI178" s="69"/>
      <c r="AJ178" s="69"/>
      <c r="AK178" s="69"/>
      <c r="AL178" s="69"/>
      <c r="AM178" s="69"/>
      <c r="AN178" s="69"/>
      <c r="AO178" s="69"/>
      <c r="AP178" s="69"/>
      <c r="AQ178" s="69"/>
      <c r="AR178" s="69"/>
      <c r="AS178" s="69"/>
      <c r="AT178" s="69"/>
      <c r="AU178" s="69"/>
      <c r="AV178" s="69"/>
      <c r="AW178" s="69"/>
      <c r="AX178" s="69"/>
      <c r="AY178" s="69"/>
      <c r="AZ178" s="69"/>
      <c r="BA178" s="69"/>
      <c r="BB178" s="69"/>
      <c r="BC178" s="69"/>
      <c r="BD178" s="69"/>
      <c r="BE178" s="69"/>
      <c r="BF178" s="69"/>
      <c r="BG178" s="69"/>
      <c r="BH178" s="69"/>
    </row>
    <row r="179" spans="1:60" x14ac:dyDescent="0.25">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c r="AA179" s="69"/>
      <c r="AB179" s="69"/>
      <c r="AC179" s="69"/>
      <c r="AD179" s="69"/>
      <c r="AE179" s="69"/>
      <c r="AF179" s="69"/>
      <c r="AG179" s="69"/>
      <c r="AH179" s="69"/>
      <c r="AI179" s="69"/>
      <c r="AJ179" s="69"/>
      <c r="AK179" s="69"/>
      <c r="AL179" s="69"/>
      <c r="AM179" s="69"/>
      <c r="AN179" s="69"/>
      <c r="AO179" s="69"/>
      <c r="AP179" s="69"/>
      <c r="AQ179" s="69"/>
      <c r="AR179" s="69"/>
      <c r="AS179" s="69"/>
      <c r="AT179" s="69"/>
      <c r="AU179" s="69"/>
      <c r="AV179" s="69"/>
      <c r="AW179" s="69"/>
      <c r="AX179" s="69"/>
      <c r="AY179" s="69"/>
      <c r="AZ179" s="69"/>
      <c r="BA179" s="69"/>
      <c r="BB179" s="69"/>
      <c r="BC179" s="69"/>
      <c r="BD179" s="69"/>
      <c r="BE179" s="69"/>
      <c r="BF179" s="69"/>
      <c r="BG179" s="69"/>
      <c r="BH179" s="69"/>
    </row>
    <row r="180" spans="1:60" x14ac:dyDescent="0.25">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c r="AA180" s="69"/>
      <c r="AB180" s="69"/>
      <c r="AC180" s="69"/>
      <c r="AD180" s="69"/>
      <c r="AE180" s="69"/>
      <c r="AF180" s="69"/>
      <c r="AG180" s="69"/>
      <c r="AH180" s="69"/>
      <c r="AI180" s="69"/>
      <c r="AJ180" s="69"/>
      <c r="AK180" s="69"/>
      <c r="AL180" s="69"/>
      <c r="AM180" s="69"/>
      <c r="AN180" s="69"/>
      <c r="AO180" s="69"/>
      <c r="AP180" s="69"/>
      <c r="AQ180" s="69"/>
      <c r="AR180" s="69"/>
      <c r="AS180" s="69"/>
      <c r="AT180" s="69"/>
      <c r="AU180" s="69"/>
      <c r="AV180" s="69"/>
      <c r="AW180" s="69"/>
      <c r="AX180" s="69"/>
      <c r="AY180" s="69"/>
      <c r="AZ180" s="69"/>
      <c r="BA180" s="69"/>
      <c r="BB180" s="69"/>
      <c r="BC180" s="69"/>
      <c r="BD180" s="69"/>
      <c r="BE180" s="69"/>
      <c r="BF180" s="69"/>
      <c r="BG180" s="69"/>
      <c r="BH180" s="69"/>
    </row>
    <row r="181" spans="1:60" x14ac:dyDescent="0.25">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c r="AA181" s="69"/>
      <c r="AB181" s="69"/>
      <c r="AC181" s="69"/>
      <c r="AD181" s="69"/>
      <c r="AE181" s="69"/>
      <c r="AF181" s="69"/>
      <c r="AG181" s="69"/>
      <c r="AH181" s="69"/>
      <c r="AI181" s="69"/>
      <c r="AJ181" s="69"/>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69"/>
    </row>
    <row r="182" spans="1:60" x14ac:dyDescent="0.25">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c r="AA182" s="69"/>
      <c r="AB182" s="69"/>
      <c r="AC182" s="69"/>
      <c r="AD182" s="69"/>
      <c r="AE182" s="69"/>
      <c r="AF182" s="69"/>
      <c r="AG182" s="69"/>
      <c r="AH182" s="69"/>
      <c r="AI182" s="69"/>
      <c r="AJ182" s="69"/>
      <c r="AK182" s="69"/>
      <c r="AL182" s="69"/>
      <c r="AM182" s="69"/>
      <c r="AN182" s="69"/>
      <c r="AO182" s="69"/>
      <c r="AP182" s="69"/>
      <c r="AQ182" s="69"/>
      <c r="AR182" s="69"/>
      <c r="AS182" s="69"/>
      <c r="AT182" s="69"/>
      <c r="AU182" s="69"/>
      <c r="AV182" s="69"/>
      <c r="AW182" s="69"/>
      <c r="AX182" s="69"/>
      <c r="AY182" s="69"/>
      <c r="AZ182" s="69"/>
      <c r="BA182" s="69"/>
      <c r="BB182" s="69"/>
      <c r="BC182" s="69"/>
      <c r="BD182" s="69"/>
      <c r="BE182" s="69"/>
      <c r="BF182" s="69"/>
      <c r="BG182" s="69"/>
      <c r="BH182" s="69"/>
    </row>
    <row r="183" spans="1:60" x14ac:dyDescent="0.25">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c r="AA183" s="69"/>
      <c r="AB183" s="69"/>
      <c r="AC183" s="69"/>
      <c r="AD183" s="69"/>
      <c r="AE183" s="69"/>
      <c r="AF183" s="69"/>
      <c r="AG183" s="69"/>
      <c r="AH183" s="69"/>
      <c r="AI183" s="69"/>
      <c r="AJ183" s="69"/>
      <c r="AK183" s="69"/>
      <c r="AL183" s="69"/>
      <c r="AM183" s="69"/>
      <c r="AN183" s="69"/>
      <c r="AO183" s="69"/>
      <c r="AP183" s="69"/>
      <c r="AQ183" s="69"/>
      <c r="AR183" s="69"/>
      <c r="AS183" s="69"/>
      <c r="AT183" s="69"/>
      <c r="AU183" s="69"/>
      <c r="AV183" s="69"/>
      <c r="AW183" s="69"/>
      <c r="AX183" s="69"/>
      <c r="AY183" s="69"/>
      <c r="AZ183" s="69"/>
      <c r="BA183" s="69"/>
      <c r="BB183" s="69"/>
      <c r="BC183" s="69"/>
      <c r="BD183" s="69"/>
      <c r="BE183" s="69"/>
      <c r="BF183" s="69"/>
      <c r="BG183" s="69"/>
      <c r="BH183" s="69"/>
    </row>
    <row r="184" spans="1:60" x14ac:dyDescent="0.25">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c r="AA184" s="69"/>
      <c r="AB184" s="69"/>
      <c r="AC184" s="69"/>
      <c r="AD184" s="69"/>
      <c r="AE184" s="69"/>
      <c r="AF184" s="69"/>
      <c r="AG184" s="69"/>
      <c r="AH184" s="69"/>
      <c r="AI184" s="69"/>
      <c r="AJ184" s="69"/>
      <c r="AK184" s="69"/>
      <c r="AL184" s="69"/>
      <c r="AM184" s="69"/>
      <c r="AN184" s="69"/>
      <c r="AO184" s="69"/>
      <c r="AP184" s="69"/>
      <c r="AQ184" s="69"/>
      <c r="AR184" s="69"/>
      <c r="AS184" s="69"/>
      <c r="AT184" s="69"/>
      <c r="AU184" s="69"/>
      <c r="AV184" s="69"/>
      <c r="AW184" s="69"/>
      <c r="AX184" s="69"/>
      <c r="AY184" s="69"/>
      <c r="AZ184" s="69"/>
      <c r="BA184" s="69"/>
      <c r="BB184" s="69"/>
      <c r="BC184" s="69"/>
      <c r="BD184" s="69"/>
      <c r="BE184" s="69"/>
      <c r="BF184" s="69"/>
      <c r="BG184" s="69"/>
      <c r="BH184" s="69"/>
    </row>
    <row r="185" spans="1:60" x14ac:dyDescent="0.25">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c r="AA185" s="69"/>
      <c r="AB185" s="69"/>
      <c r="AC185" s="69"/>
      <c r="AD185" s="69"/>
      <c r="AE185" s="69"/>
      <c r="AF185" s="69"/>
      <c r="AG185" s="69"/>
      <c r="AH185" s="69"/>
      <c r="AI185" s="69"/>
      <c r="AJ185" s="69"/>
      <c r="AK185" s="69"/>
      <c r="AL185" s="69"/>
      <c r="AM185" s="69"/>
      <c r="AN185" s="69"/>
      <c r="AO185" s="69"/>
      <c r="AP185" s="69"/>
      <c r="AQ185" s="69"/>
      <c r="AR185" s="69"/>
      <c r="AS185" s="69"/>
      <c r="AT185" s="69"/>
      <c r="AU185" s="69"/>
      <c r="AV185" s="69"/>
      <c r="AW185" s="69"/>
      <c r="AX185" s="69"/>
      <c r="AY185" s="69"/>
      <c r="AZ185" s="69"/>
      <c r="BA185" s="69"/>
      <c r="BB185" s="69"/>
      <c r="BC185" s="69"/>
      <c r="BD185" s="69"/>
      <c r="BE185" s="69"/>
      <c r="BF185" s="69"/>
      <c r="BG185" s="69"/>
      <c r="BH185" s="69"/>
    </row>
    <row r="186" spans="1:60" x14ac:dyDescent="0.25">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c r="AA186" s="69"/>
      <c r="AB186" s="69"/>
      <c r="AC186" s="69"/>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row>
    <row r="187" spans="1:60" x14ac:dyDescent="0.25">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c r="AA187" s="69"/>
      <c r="AB187" s="69"/>
      <c r="AC187" s="69"/>
      <c r="AD187" s="69"/>
      <c r="AE187" s="69"/>
      <c r="AF187" s="69"/>
      <c r="AG187" s="69"/>
      <c r="AH187" s="69"/>
      <c r="AI187" s="69"/>
      <c r="AJ187" s="69"/>
      <c r="AK187" s="69"/>
      <c r="AL187" s="69"/>
      <c r="AM187" s="69"/>
      <c r="AN187" s="69"/>
      <c r="AO187" s="69"/>
      <c r="AP187" s="69"/>
      <c r="AQ187" s="69"/>
      <c r="AR187" s="69"/>
      <c r="AS187" s="69"/>
      <c r="AT187" s="69"/>
      <c r="AU187" s="69"/>
      <c r="AV187" s="69"/>
      <c r="AW187" s="69"/>
      <c r="AX187" s="69"/>
      <c r="AY187" s="69"/>
      <c r="AZ187" s="69"/>
      <c r="BA187" s="69"/>
      <c r="BB187" s="69"/>
      <c r="BC187" s="69"/>
      <c r="BD187" s="69"/>
      <c r="BE187" s="69"/>
      <c r="BF187" s="69"/>
      <c r="BG187" s="69"/>
      <c r="BH187" s="69"/>
    </row>
    <row r="188" spans="1:60" x14ac:dyDescent="0.25">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69"/>
      <c r="AJ188" s="69"/>
      <c r="AK188" s="69"/>
      <c r="AL188" s="69"/>
      <c r="AM188" s="69"/>
      <c r="AN188" s="69"/>
      <c r="AO188" s="69"/>
      <c r="AP188" s="69"/>
      <c r="AQ188" s="69"/>
      <c r="AR188" s="69"/>
      <c r="AS188" s="69"/>
      <c r="AT188" s="69"/>
      <c r="AU188" s="69"/>
      <c r="AV188" s="69"/>
      <c r="AW188" s="69"/>
      <c r="AX188" s="69"/>
      <c r="AY188" s="69"/>
      <c r="AZ188" s="69"/>
      <c r="BA188" s="69"/>
      <c r="BB188" s="69"/>
      <c r="BC188" s="69"/>
      <c r="BD188" s="69"/>
      <c r="BE188" s="69"/>
      <c r="BF188" s="69"/>
      <c r="BG188" s="69"/>
      <c r="BH188" s="69"/>
    </row>
    <row r="189" spans="1:60" x14ac:dyDescent="0.25">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69"/>
      <c r="AC189" s="69"/>
      <c r="AD189" s="69"/>
      <c r="AE189" s="69"/>
      <c r="AF189" s="69"/>
      <c r="AG189" s="69"/>
      <c r="AH189" s="69"/>
      <c r="AI189" s="69"/>
      <c r="AJ189" s="69"/>
      <c r="AK189" s="69"/>
      <c r="AL189" s="69"/>
      <c r="AM189" s="69"/>
      <c r="AN189" s="69"/>
      <c r="AO189" s="69"/>
      <c r="AP189" s="69"/>
      <c r="AQ189" s="69"/>
      <c r="AR189" s="69"/>
      <c r="AS189" s="69"/>
      <c r="AT189" s="69"/>
      <c r="AU189" s="69"/>
      <c r="AV189" s="69"/>
      <c r="AW189" s="69"/>
      <c r="AX189" s="69"/>
      <c r="AY189" s="69"/>
      <c r="AZ189" s="69"/>
      <c r="BA189" s="69"/>
      <c r="BB189" s="69"/>
      <c r="BC189" s="69"/>
      <c r="BD189" s="69"/>
      <c r="BE189" s="69"/>
      <c r="BF189" s="69"/>
      <c r="BG189" s="69"/>
      <c r="BH189" s="69"/>
    </row>
    <row r="190" spans="1:60" x14ac:dyDescent="0.25">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69"/>
      <c r="AC190" s="69"/>
      <c r="AD190" s="69"/>
      <c r="AE190" s="69"/>
      <c r="AF190" s="69"/>
      <c r="AG190" s="69"/>
      <c r="AH190" s="69"/>
      <c r="AI190" s="69"/>
      <c r="AJ190" s="69"/>
      <c r="AK190" s="69"/>
      <c r="AL190" s="69"/>
      <c r="AM190" s="69"/>
      <c r="AN190" s="69"/>
      <c r="AO190" s="69"/>
      <c r="AP190" s="69"/>
      <c r="AQ190" s="69"/>
      <c r="AR190" s="69"/>
      <c r="AS190" s="69"/>
      <c r="AT190" s="69"/>
      <c r="AU190" s="69"/>
      <c r="AV190" s="69"/>
      <c r="AW190" s="69"/>
      <c r="AX190" s="69"/>
      <c r="AY190" s="69"/>
      <c r="AZ190" s="69"/>
      <c r="BA190" s="69"/>
      <c r="BB190" s="69"/>
      <c r="BC190" s="69"/>
      <c r="BD190" s="69"/>
      <c r="BE190" s="69"/>
      <c r="BF190" s="69"/>
      <c r="BG190" s="69"/>
      <c r="BH190" s="69"/>
    </row>
    <row r="191" spans="1:60" x14ac:dyDescent="0.25">
      <c r="A191" s="69"/>
      <c r="J191" s="69"/>
      <c r="K191" s="69"/>
      <c r="L191" s="69"/>
      <c r="M191" s="69"/>
      <c r="N191" s="69"/>
      <c r="O191" s="69"/>
      <c r="P191" s="69"/>
      <c r="Q191" s="69"/>
      <c r="R191" s="69"/>
      <c r="S191" s="69"/>
      <c r="T191" s="69"/>
      <c r="U191" s="69"/>
      <c r="V191" s="69"/>
      <c r="W191" s="69"/>
      <c r="X191" s="69"/>
      <c r="Y191" s="69"/>
      <c r="Z191" s="69"/>
      <c r="AA191" s="69"/>
      <c r="AB191" s="69"/>
      <c r="AC191" s="69"/>
      <c r="AD191" s="69"/>
      <c r="AE191" s="69"/>
      <c r="AF191" s="69"/>
      <c r="AG191" s="69"/>
      <c r="AH191" s="69"/>
      <c r="AI191" s="69"/>
      <c r="AJ191" s="69"/>
      <c r="AK191" s="69"/>
      <c r="AL191" s="69"/>
      <c r="AM191" s="69"/>
      <c r="AN191" s="69"/>
      <c r="AO191" s="69"/>
      <c r="AP191" s="69"/>
      <c r="AQ191" s="69"/>
      <c r="AR191" s="69"/>
      <c r="AS191" s="69"/>
      <c r="AT191" s="69"/>
      <c r="AU191" s="69"/>
      <c r="AV191" s="69"/>
      <c r="AW191" s="69"/>
      <c r="AX191" s="69"/>
      <c r="AY191" s="69"/>
      <c r="AZ191" s="69"/>
      <c r="BA191" s="69"/>
      <c r="BB191" s="69"/>
      <c r="BC191" s="69"/>
      <c r="BD191" s="69"/>
      <c r="BE191" s="69"/>
      <c r="BF191" s="69"/>
      <c r="BG191" s="69"/>
      <c r="BH191" s="69"/>
    </row>
    <row r="192" spans="1:60" x14ac:dyDescent="0.25">
      <c r="A192" s="69"/>
      <c r="J192" s="69"/>
      <c r="K192" s="69"/>
      <c r="L192" s="69"/>
      <c r="M192" s="69"/>
      <c r="N192" s="69"/>
      <c r="O192" s="69"/>
      <c r="P192" s="69"/>
      <c r="Q192" s="69"/>
      <c r="R192" s="69"/>
      <c r="S192" s="69"/>
      <c r="T192" s="69"/>
      <c r="U192" s="69"/>
      <c r="V192" s="69"/>
      <c r="W192" s="69"/>
      <c r="X192" s="69"/>
      <c r="Y192" s="69"/>
      <c r="Z192" s="69"/>
      <c r="AA192" s="69"/>
      <c r="AB192" s="69"/>
      <c r="AC192" s="69"/>
      <c r="AD192" s="69"/>
      <c r="AE192" s="69"/>
      <c r="AF192" s="69"/>
      <c r="AG192" s="69"/>
      <c r="AH192" s="69"/>
      <c r="AI192" s="69"/>
      <c r="AJ192" s="69"/>
      <c r="AK192" s="69"/>
      <c r="AL192" s="69"/>
      <c r="AM192" s="69"/>
      <c r="AN192" s="69"/>
      <c r="AO192" s="69"/>
      <c r="AP192" s="69"/>
      <c r="AQ192" s="69"/>
      <c r="AR192" s="69"/>
      <c r="AS192" s="69"/>
      <c r="AT192" s="69"/>
      <c r="AU192" s="69"/>
      <c r="AV192" s="69"/>
      <c r="AW192" s="69"/>
      <c r="AX192" s="69"/>
      <c r="AY192" s="69"/>
      <c r="AZ192" s="69"/>
      <c r="BA192" s="69"/>
      <c r="BB192" s="69"/>
      <c r="BC192" s="69"/>
      <c r="BD192" s="69"/>
      <c r="BE192" s="69"/>
      <c r="BF192" s="69"/>
      <c r="BG192" s="69"/>
      <c r="BH192" s="69"/>
    </row>
    <row r="193" spans="1:60" x14ac:dyDescent="0.25">
      <c r="A193" s="69"/>
      <c r="J193" s="69"/>
      <c r="K193" s="69"/>
      <c r="L193" s="69"/>
      <c r="M193" s="69"/>
      <c r="N193" s="69"/>
      <c r="O193" s="69"/>
      <c r="P193" s="69"/>
      <c r="Q193" s="69"/>
      <c r="R193" s="69"/>
      <c r="S193" s="69"/>
      <c r="T193" s="69"/>
      <c r="U193" s="69"/>
      <c r="V193" s="69"/>
      <c r="W193" s="69"/>
      <c r="X193" s="69"/>
      <c r="Y193" s="69"/>
      <c r="Z193" s="69"/>
      <c r="AA193" s="69"/>
      <c r="AB193" s="69"/>
      <c r="AC193" s="69"/>
      <c r="AD193" s="69"/>
      <c r="AE193" s="69"/>
      <c r="AF193" s="69"/>
      <c r="AG193" s="69"/>
      <c r="AH193" s="69"/>
      <c r="AI193" s="69"/>
      <c r="AJ193" s="69"/>
      <c r="AK193" s="69"/>
      <c r="AL193" s="69"/>
      <c r="AM193" s="69"/>
      <c r="AN193" s="69"/>
      <c r="AO193" s="69"/>
      <c r="AP193" s="69"/>
      <c r="AQ193" s="69"/>
      <c r="AR193" s="69"/>
      <c r="AS193" s="69"/>
      <c r="AT193" s="69"/>
      <c r="AU193" s="69"/>
      <c r="AV193" s="69"/>
      <c r="AW193" s="69"/>
      <c r="AX193" s="69"/>
      <c r="AY193" s="69"/>
      <c r="AZ193" s="69"/>
      <c r="BA193" s="69"/>
      <c r="BB193" s="69"/>
      <c r="BC193" s="69"/>
      <c r="BD193" s="69"/>
      <c r="BE193" s="69"/>
      <c r="BF193" s="69"/>
      <c r="BG193" s="69"/>
      <c r="BH193" s="69"/>
    </row>
    <row r="194" spans="1:60" x14ac:dyDescent="0.25">
      <c r="A194" s="69"/>
      <c r="J194" s="69"/>
      <c r="K194" s="69"/>
      <c r="L194" s="69"/>
      <c r="M194" s="69"/>
      <c r="N194" s="69"/>
      <c r="O194" s="69"/>
      <c r="P194" s="69"/>
      <c r="Q194" s="69"/>
      <c r="R194" s="69"/>
      <c r="S194" s="69"/>
      <c r="T194" s="69"/>
      <c r="U194" s="69"/>
      <c r="V194" s="69"/>
      <c r="W194" s="69"/>
      <c r="X194" s="69"/>
      <c r="Y194" s="69"/>
      <c r="Z194" s="69"/>
      <c r="AA194" s="69"/>
      <c r="AB194" s="69"/>
      <c r="AC194" s="69"/>
      <c r="AD194" s="69"/>
      <c r="AE194" s="69"/>
      <c r="AF194" s="69"/>
      <c r="AG194" s="69"/>
      <c r="AH194" s="69"/>
      <c r="AI194" s="69"/>
      <c r="AJ194" s="69"/>
      <c r="AK194" s="69"/>
      <c r="AL194" s="69"/>
      <c r="AM194" s="69"/>
      <c r="AN194" s="69"/>
      <c r="AO194" s="69"/>
      <c r="AP194" s="69"/>
      <c r="AQ194" s="69"/>
      <c r="AR194" s="69"/>
      <c r="AS194" s="69"/>
      <c r="AT194" s="69"/>
      <c r="AU194" s="69"/>
      <c r="AV194" s="69"/>
      <c r="AW194" s="69"/>
      <c r="AX194" s="69"/>
      <c r="AY194" s="69"/>
      <c r="AZ194" s="69"/>
      <c r="BA194" s="69"/>
      <c r="BB194" s="69"/>
      <c r="BC194" s="69"/>
      <c r="BD194" s="69"/>
      <c r="BE194" s="69"/>
      <c r="BF194" s="69"/>
      <c r="BG194" s="69"/>
      <c r="BH194" s="69"/>
    </row>
    <row r="195" spans="1:60" x14ac:dyDescent="0.25">
      <c r="A195" s="69"/>
      <c r="J195" s="69"/>
      <c r="K195" s="69"/>
      <c r="L195" s="69"/>
      <c r="M195" s="69"/>
      <c r="N195" s="69"/>
      <c r="O195" s="69"/>
      <c r="P195" s="69"/>
      <c r="Q195" s="69"/>
      <c r="R195" s="69"/>
      <c r="S195" s="69"/>
      <c r="T195" s="69"/>
      <c r="U195" s="69"/>
      <c r="V195" s="69"/>
      <c r="W195" s="69"/>
      <c r="X195" s="69"/>
      <c r="Y195" s="69"/>
      <c r="Z195" s="69"/>
      <c r="AA195" s="69"/>
      <c r="AB195" s="69"/>
      <c r="AC195" s="69"/>
      <c r="AD195" s="69"/>
      <c r="AE195" s="69"/>
      <c r="AF195" s="69"/>
      <c r="AG195" s="69"/>
      <c r="AH195" s="69"/>
      <c r="AI195" s="69"/>
      <c r="AJ195" s="69"/>
      <c r="AK195" s="69"/>
      <c r="AL195" s="69"/>
      <c r="AM195" s="69"/>
      <c r="AN195" s="69"/>
      <c r="AO195" s="69"/>
      <c r="AP195" s="69"/>
      <c r="AQ195" s="69"/>
      <c r="AR195" s="69"/>
      <c r="AS195" s="69"/>
      <c r="AT195" s="69"/>
      <c r="AU195" s="69"/>
      <c r="AV195" s="69"/>
      <c r="AW195" s="69"/>
      <c r="AX195" s="69"/>
      <c r="AY195" s="69"/>
      <c r="AZ195" s="69"/>
      <c r="BA195" s="69"/>
      <c r="BB195" s="69"/>
      <c r="BC195" s="69"/>
      <c r="BD195" s="69"/>
      <c r="BE195" s="69"/>
      <c r="BF195" s="69"/>
      <c r="BG195" s="69"/>
      <c r="BH195" s="69"/>
    </row>
    <row r="196" spans="1:60" x14ac:dyDescent="0.25">
      <c r="A196" s="69"/>
      <c r="J196" s="69"/>
      <c r="K196" s="69"/>
      <c r="L196" s="69"/>
      <c r="M196" s="69"/>
      <c r="N196" s="69"/>
      <c r="O196" s="69"/>
      <c r="P196" s="69"/>
      <c r="Q196" s="69"/>
      <c r="R196" s="69"/>
      <c r="S196" s="69"/>
      <c r="T196" s="69"/>
      <c r="U196" s="69"/>
      <c r="V196" s="69"/>
      <c r="W196" s="69"/>
      <c r="X196" s="69"/>
      <c r="Y196" s="69"/>
      <c r="Z196" s="69"/>
      <c r="AA196" s="69"/>
      <c r="AB196" s="69"/>
      <c r="AC196" s="69"/>
      <c r="AD196" s="69"/>
      <c r="AE196" s="69"/>
      <c r="AF196" s="69"/>
      <c r="AG196" s="69"/>
      <c r="AH196" s="69"/>
      <c r="AI196" s="69"/>
      <c r="AJ196" s="69"/>
      <c r="AK196" s="69"/>
      <c r="AL196" s="69"/>
      <c r="AM196" s="69"/>
      <c r="AN196" s="69"/>
      <c r="AO196" s="69"/>
      <c r="AP196" s="69"/>
      <c r="AQ196" s="69"/>
      <c r="AR196" s="69"/>
      <c r="AS196" s="69"/>
      <c r="AT196" s="69"/>
      <c r="AU196" s="69"/>
      <c r="AV196" s="69"/>
      <c r="AW196" s="69"/>
      <c r="AX196" s="69"/>
      <c r="AY196" s="69"/>
      <c r="AZ196" s="69"/>
      <c r="BA196" s="69"/>
      <c r="BB196" s="69"/>
      <c r="BC196" s="69"/>
      <c r="BD196" s="69"/>
      <c r="BE196" s="69"/>
      <c r="BF196" s="69"/>
      <c r="BG196" s="69"/>
      <c r="BH196" s="69"/>
    </row>
    <row r="197" spans="1:60" x14ac:dyDescent="0.25">
      <c r="A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69"/>
      <c r="AH197" s="69"/>
      <c r="AI197" s="69"/>
      <c r="AJ197" s="69"/>
      <c r="AK197" s="69"/>
      <c r="AL197" s="69"/>
      <c r="AM197" s="69"/>
      <c r="AN197" s="69"/>
      <c r="AO197" s="69"/>
      <c r="AP197" s="69"/>
      <c r="AQ197" s="69"/>
      <c r="AR197" s="69"/>
      <c r="AS197" s="69"/>
      <c r="AT197" s="69"/>
      <c r="AU197" s="69"/>
      <c r="AV197" s="69"/>
      <c r="AW197" s="69"/>
      <c r="AX197" s="69"/>
      <c r="AY197" s="69"/>
      <c r="AZ197" s="69"/>
      <c r="BA197" s="69"/>
      <c r="BB197" s="69"/>
      <c r="BC197" s="69"/>
      <c r="BD197" s="69"/>
      <c r="BE197" s="69"/>
      <c r="BF197" s="69"/>
      <c r="BG197" s="69"/>
      <c r="BH197" s="69"/>
    </row>
    <row r="198" spans="1:60" x14ac:dyDescent="0.25">
      <c r="A198" s="69"/>
      <c r="J198" s="69"/>
      <c r="K198" s="69"/>
      <c r="L198" s="69"/>
      <c r="M198" s="69"/>
      <c r="N198" s="69"/>
      <c r="O198" s="69"/>
      <c r="P198" s="69"/>
      <c r="Q198" s="69"/>
      <c r="R198" s="69"/>
      <c r="S198" s="69"/>
      <c r="T198" s="69"/>
      <c r="U198" s="69"/>
      <c r="V198" s="69"/>
      <c r="W198" s="69"/>
      <c r="X198" s="69"/>
      <c r="Y198" s="69"/>
      <c r="Z198" s="69"/>
      <c r="AA198" s="69"/>
      <c r="AB198" s="69"/>
      <c r="AC198" s="69"/>
      <c r="AD198" s="69"/>
      <c r="AE198" s="69"/>
      <c r="AF198" s="69"/>
      <c r="AG198" s="69"/>
      <c r="AH198" s="69"/>
      <c r="AI198" s="69"/>
      <c r="AJ198" s="69"/>
      <c r="AK198" s="69"/>
      <c r="AL198" s="69"/>
      <c r="AM198" s="69"/>
      <c r="AN198" s="69"/>
      <c r="AO198" s="69"/>
      <c r="AP198" s="69"/>
      <c r="AQ198" s="69"/>
      <c r="AR198" s="69"/>
      <c r="AS198" s="69"/>
      <c r="AT198" s="69"/>
      <c r="AU198" s="69"/>
      <c r="AV198" s="69"/>
      <c r="AW198" s="69"/>
      <c r="AX198" s="69"/>
      <c r="AY198" s="69"/>
      <c r="AZ198" s="69"/>
      <c r="BA198" s="69"/>
      <c r="BB198" s="69"/>
      <c r="BC198" s="69"/>
      <c r="BD198" s="69"/>
      <c r="BE198" s="69"/>
      <c r="BF198" s="69"/>
      <c r="BG198" s="69"/>
      <c r="BH198" s="69"/>
    </row>
    <row r="199" spans="1:60" x14ac:dyDescent="0.25">
      <c r="A199" s="69"/>
      <c r="J199" s="69"/>
      <c r="K199" s="69"/>
      <c r="L199" s="69"/>
      <c r="M199" s="69"/>
      <c r="N199" s="69"/>
      <c r="O199" s="69"/>
      <c r="P199" s="69"/>
      <c r="Q199" s="69"/>
      <c r="R199" s="69"/>
      <c r="S199" s="69"/>
      <c r="T199" s="69"/>
      <c r="U199" s="69"/>
      <c r="V199" s="69"/>
      <c r="W199" s="69"/>
      <c r="X199" s="69"/>
      <c r="Y199" s="69"/>
      <c r="Z199" s="69"/>
      <c r="AA199" s="69"/>
      <c r="AB199" s="69"/>
      <c r="AC199" s="69"/>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row>
    <row r="200" spans="1:60" x14ac:dyDescent="0.25">
      <c r="A200" s="69"/>
      <c r="J200" s="69"/>
      <c r="K200" s="69"/>
      <c r="L200" s="69"/>
      <c r="M200" s="69"/>
      <c r="N200" s="69"/>
      <c r="O200" s="69"/>
      <c r="P200" s="69"/>
      <c r="Q200" s="69"/>
      <c r="R200" s="69"/>
      <c r="S200" s="69"/>
      <c r="T200" s="69"/>
      <c r="U200" s="69"/>
      <c r="V200" s="69"/>
      <c r="W200" s="69"/>
      <c r="X200" s="69"/>
      <c r="Y200" s="69"/>
      <c r="Z200" s="69"/>
      <c r="AA200" s="69"/>
      <c r="AB200" s="69"/>
      <c r="AC200" s="69"/>
      <c r="AD200" s="69"/>
      <c r="AE200" s="69"/>
      <c r="AF200" s="69"/>
      <c r="AG200" s="69"/>
      <c r="AH200" s="69"/>
      <c r="AI200" s="69"/>
      <c r="AJ200" s="69"/>
      <c r="AK200" s="69"/>
      <c r="AL200" s="69"/>
      <c r="AM200" s="69"/>
      <c r="AN200" s="69"/>
      <c r="AO200" s="69"/>
      <c r="AP200" s="69"/>
      <c r="AQ200" s="69"/>
      <c r="AR200" s="69"/>
      <c r="AS200" s="69"/>
      <c r="AT200" s="69"/>
      <c r="AU200" s="69"/>
      <c r="AV200" s="69"/>
      <c r="AW200" s="69"/>
      <c r="AX200" s="69"/>
      <c r="AY200" s="69"/>
      <c r="AZ200" s="69"/>
      <c r="BA200" s="69"/>
      <c r="BB200" s="69"/>
      <c r="BC200" s="69"/>
      <c r="BD200" s="69"/>
      <c r="BE200" s="69"/>
      <c r="BF200" s="69"/>
      <c r="BG200" s="69"/>
      <c r="BH200" s="69"/>
    </row>
    <row r="201" spans="1:60" x14ac:dyDescent="0.25">
      <c r="A201" s="69"/>
      <c r="J201" s="69"/>
      <c r="K201" s="69"/>
      <c r="L201" s="69"/>
      <c r="M201" s="69"/>
      <c r="N201" s="69"/>
      <c r="O201" s="69"/>
      <c r="P201" s="69"/>
      <c r="Q201" s="69"/>
      <c r="R201" s="69"/>
      <c r="S201" s="69"/>
      <c r="T201" s="69"/>
      <c r="U201" s="69"/>
      <c r="V201" s="69"/>
      <c r="W201" s="69"/>
      <c r="X201" s="69"/>
      <c r="Y201" s="69"/>
      <c r="Z201" s="69"/>
      <c r="AA201" s="69"/>
      <c r="AB201" s="69"/>
      <c r="AC201" s="69"/>
      <c r="AD201" s="69"/>
      <c r="AE201" s="69"/>
      <c r="AF201" s="69"/>
      <c r="AG201" s="69"/>
      <c r="AH201" s="69"/>
      <c r="AI201" s="69"/>
      <c r="AJ201" s="69"/>
      <c r="AK201" s="69"/>
      <c r="AL201" s="69"/>
      <c r="AM201" s="69"/>
      <c r="AN201" s="69"/>
      <c r="AO201" s="69"/>
      <c r="AP201" s="69"/>
      <c r="AQ201" s="69"/>
      <c r="AR201" s="69"/>
      <c r="AS201" s="69"/>
      <c r="AT201" s="69"/>
      <c r="AU201" s="69"/>
      <c r="AV201" s="69"/>
      <c r="AW201" s="69"/>
      <c r="AX201" s="69"/>
      <c r="AY201" s="69"/>
      <c r="AZ201" s="69"/>
      <c r="BA201" s="69"/>
      <c r="BB201" s="69"/>
      <c r="BC201" s="69"/>
      <c r="BD201" s="69"/>
      <c r="BE201" s="69"/>
      <c r="BF201" s="69"/>
      <c r="BG201" s="69"/>
      <c r="BH201" s="69"/>
    </row>
    <row r="202" spans="1:60" x14ac:dyDescent="0.25">
      <c r="A202" s="69"/>
      <c r="J202" s="69"/>
      <c r="K202" s="69"/>
      <c r="L202" s="69"/>
      <c r="M202" s="69"/>
      <c r="N202" s="69"/>
      <c r="O202" s="69"/>
      <c r="P202" s="69"/>
      <c r="Q202" s="69"/>
      <c r="R202" s="69"/>
      <c r="S202" s="69"/>
      <c r="T202" s="69"/>
      <c r="U202" s="69"/>
      <c r="V202" s="69"/>
      <c r="W202" s="69"/>
      <c r="X202" s="69"/>
      <c r="Y202" s="69"/>
      <c r="Z202" s="69"/>
      <c r="AA202" s="69"/>
      <c r="AB202" s="69"/>
      <c r="AC202" s="69"/>
      <c r="AD202" s="69"/>
      <c r="AE202" s="69"/>
      <c r="AF202" s="69"/>
      <c r="AG202" s="69"/>
      <c r="AH202" s="69"/>
      <c r="AI202" s="69"/>
      <c r="AJ202" s="69"/>
      <c r="AK202" s="69"/>
      <c r="AL202" s="69"/>
      <c r="AM202" s="69"/>
      <c r="AN202" s="69"/>
      <c r="AO202" s="69"/>
      <c r="AP202" s="69"/>
      <c r="AQ202" s="69"/>
      <c r="AR202" s="69"/>
      <c r="AS202" s="69"/>
      <c r="AT202" s="69"/>
      <c r="AU202" s="69"/>
      <c r="AV202" s="69"/>
      <c r="AW202" s="69"/>
      <c r="AX202" s="69"/>
      <c r="AY202" s="69"/>
      <c r="AZ202" s="69"/>
      <c r="BA202" s="69"/>
      <c r="BB202" s="69"/>
      <c r="BC202" s="69"/>
      <c r="BD202" s="69"/>
      <c r="BE202" s="69"/>
      <c r="BF202" s="69"/>
      <c r="BG202" s="69"/>
      <c r="BH202" s="69"/>
    </row>
    <row r="203" spans="1:60" x14ac:dyDescent="0.25">
      <c r="A203" s="69"/>
      <c r="J203" s="69"/>
      <c r="K203" s="69"/>
      <c r="L203" s="69"/>
      <c r="M203" s="69"/>
      <c r="N203" s="69"/>
      <c r="O203" s="69"/>
      <c r="P203" s="69"/>
      <c r="Q203" s="69"/>
      <c r="R203" s="69"/>
      <c r="S203" s="69"/>
      <c r="T203" s="69"/>
      <c r="U203" s="69"/>
      <c r="V203" s="69"/>
      <c r="W203" s="69"/>
      <c r="X203" s="69"/>
      <c r="Y203" s="69"/>
      <c r="Z203" s="69"/>
      <c r="AA203" s="69"/>
      <c r="AB203" s="69"/>
      <c r="AC203" s="69"/>
      <c r="AD203" s="69"/>
      <c r="AE203" s="69"/>
      <c r="AF203" s="69"/>
      <c r="AG203" s="69"/>
      <c r="AH203" s="69"/>
      <c r="AI203" s="69"/>
      <c r="AJ203" s="69"/>
      <c r="AK203" s="69"/>
      <c r="AL203" s="69"/>
      <c r="AM203" s="69"/>
      <c r="AN203" s="69"/>
      <c r="AO203" s="69"/>
      <c r="AP203" s="69"/>
      <c r="AQ203" s="69"/>
      <c r="AR203" s="69"/>
      <c r="AS203" s="69"/>
      <c r="AT203" s="69"/>
      <c r="AU203" s="69"/>
      <c r="AV203" s="69"/>
      <c r="AW203" s="69"/>
      <c r="AX203" s="69"/>
      <c r="AY203" s="69"/>
      <c r="AZ203" s="69"/>
      <c r="BA203" s="69"/>
      <c r="BB203" s="69"/>
      <c r="BC203" s="69"/>
      <c r="BD203" s="69"/>
      <c r="BE203" s="69"/>
      <c r="BF203" s="69"/>
      <c r="BG203" s="69"/>
      <c r="BH203" s="69"/>
    </row>
    <row r="204" spans="1:60" x14ac:dyDescent="0.25">
      <c r="A204" s="69"/>
      <c r="J204" s="69"/>
      <c r="K204" s="69"/>
      <c r="L204" s="69"/>
      <c r="M204" s="69"/>
      <c r="N204" s="69"/>
      <c r="O204" s="69"/>
      <c r="P204" s="69"/>
      <c r="Q204" s="69"/>
      <c r="R204" s="69"/>
      <c r="S204" s="69"/>
      <c r="T204" s="69"/>
      <c r="U204" s="69"/>
      <c r="V204" s="69"/>
      <c r="W204" s="69"/>
      <c r="X204" s="69"/>
      <c r="Y204" s="69"/>
      <c r="Z204" s="69"/>
      <c r="AA204" s="69"/>
      <c r="AB204" s="69"/>
      <c r="AC204" s="69"/>
      <c r="AD204" s="69"/>
      <c r="AE204" s="69"/>
      <c r="AF204" s="69"/>
      <c r="AG204" s="69"/>
      <c r="AH204" s="69"/>
      <c r="AI204" s="69"/>
      <c r="AJ204" s="69"/>
      <c r="AK204" s="69"/>
      <c r="AL204" s="69"/>
      <c r="AM204" s="69"/>
      <c r="AN204" s="69"/>
      <c r="AO204" s="69"/>
      <c r="AP204" s="69"/>
      <c r="AQ204" s="69"/>
      <c r="AR204" s="69"/>
      <c r="AS204" s="69"/>
      <c r="AT204" s="69"/>
      <c r="AU204" s="69"/>
      <c r="AV204" s="69"/>
      <c r="AW204" s="69"/>
      <c r="AX204" s="69"/>
      <c r="AY204" s="69"/>
      <c r="AZ204" s="69"/>
      <c r="BA204" s="69"/>
      <c r="BB204" s="69"/>
      <c r="BC204" s="69"/>
      <c r="BD204" s="69"/>
      <c r="BE204" s="69"/>
      <c r="BF204" s="69"/>
      <c r="BG204" s="69"/>
      <c r="BH204" s="69"/>
    </row>
    <row r="205" spans="1:60" x14ac:dyDescent="0.25">
      <c r="A205" s="69"/>
      <c r="J205" s="69"/>
      <c r="K205" s="69"/>
      <c r="L205" s="69"/>
      <c r="M205" s="69"/>
      <c r="N205" s="69"/>
      <c r="O205" s="69"/>
      <c r="P205" s="69"/>
      <c r="Q205" s="69"/>
      <c r="R205" s="69"/>
      <c r="S205" s="69"/>
      <c r="T205" s="69"/>
      <c r="U205" s="69"/>
      <c r="V205" s="69"/>
      <c r="W205" s="69"/>
      <c r="X205" s="69"/>
      <c r="Y205" s="69"/>
      <c r="Z205" s="69"/>
      <c r="AA205" s="69"/>
      <c r="AB205" s="69"/>
      <c r="AC205" s="69"/>
      <c r="AD205" s="69"/>
      <c r="AE205" s="69"/>
      <c r="AF205" s="69"/>
      <c r="AG205" s="69"/>
      <c r="AH205" s="69"/>
      <c r="AI205" s="69"/>
      <c r="AJ205" s="69"/>
      <c r="AK205" s="69"/>
      <c r="AL205" s="69"/>
      <c r="AM205" s="69"/>
      <c r="AN205" s="69"/>
      <c r="AO205" s="69"/>
      <c r="AP205" s="69"/>
      <c r="AQ205" s="69"/>
      <c r="AR205" s="69"/>
      <c r="AS205" s="69"/>
      <c r="AT205" s="69"/>
      <c r="AU205" s="69"/>
      <c r="AV205" s="69"/>
      <c r="AW205" s="69"/>
      <c r="AX205" s="69"/>
      <c r="AY205" s="69"/>
      <c r="AZ205" s="69"/>
      <c r="BA205" s="69"/>
      <c r="BB205" s="69"/>
      <c r="BC205" s="69"/>
      <c r="BD205" s="69"/>
      <c r="BE205" s="69"/>
      <c r="BF205" s="69"/>
      <c r="BG205" s="69"/>
      <c r="BH205" s="69"/>
    </row>
    <row r="206" spans="1:60" x14ac:dyDescent="0.25">
      <c r="A206" s="69"/>
      <c r="J206" s="69"/>
      <c r="K206" s="69"/>
      <c r="L206" s="69"/>
      <c r="M206" s="69"/>
      <c r="N206" s="69"/>
      <c r="O206" s="69"/>
      <c r="P206" s="69"/>
      <c r="Q206" s="69"/>
      <c r="R206" s="69"/>
      <c r="S206" s="69"/>
      <c r="T206" s="69"/>
      <c r="U206" s="69"/>
      <c r="V206" s="69"/>
      <c r="W206" s="69"/>
      <c r="X206" s="69"/>
      <c r="Y206" s="69"/>
      <c r="Z206" s="69"/>
      <c r="AA206" s="69"/>
      <c r="AB206" s="69"/>
      <c r="AC206" s="69"/>
      <c r="AD206" s="69"/>
      <c r="AE206" s="69"/>
      <c r="AF206" s="69"/>
      <c r="AG206" s="69"/>
      <c r="AH206" s="69"/>
      <c r="AI206" s="69"/>
      <c r="AJ206" s="69"/>
      <c r="AK206" s="69"/>
      <c r="AL206" s="69"/>
      <c r="AM206" s="69"/>
      <c r="AN206" s="69"/>
      <c r="AO206" s="69"/>
      <c r="AP206" s="69"/>
      <c r="AQ206" s="69"/>
      <c r="AR206" s="69"/>
      <c r="AS206" s="69"/>
      <c r="AT206" s="69"/>
      <c r="AU206" s="69"/>
      <c r="AV206" s="69"/>
      <c r="AW206" s="69"/>
      <c r="AX206" s="69"/>
      <c r="AY206" s="69"/>
      <c r="AZ206" s="69"/>
      <c r="BA206" s="69"/>
      <c r="BB206" s="69"/>
      <c r="BC206" s="69"/>
      <c r="BD206" s="69"/>
      <c r="BE206" s="69"/>
      <c r="BF206" s="69"/>
      <c r="BG206" s="69"/>
      <c r="BH206" s="69"/>
    </row>
    <row r="207" spans="1:60" x14ac:dyDescent="0.25">
      <c r="A207" s="69"/>
      <c r="J207" s="69"/>
      <c r="K207" s="69"/>
      <c r="L207" s="69"/>
      <c r="M207" s="69"/>
      <c r="N207" s="69"/>
      <c r="O207" s="69"/>
      <c r="P207" s="69"/>
      <c r="Q207" s="69"/>
      <c r="R207" s="69"/>
      <c r="S207" s="69"/>
      <c r="T207" s="69"/>
      <c r="U207" s="69"/>
      <c r="V207" s="69"/>
      <c r="W207" s="69"/>
      <c r="X207" s="69"/>
      <c r="Y207" s="69"/>
      <c r="Z207" s="69"/>
      <c r="AA207" s="69"/>
      <c r="AB207" s="69"/>
      <c r="AC207" s="69"/>
      <c r="AD207" s="69"/>
      <c r="AE207" s="69"/>
      <c r="AF207" s="69"/>
      <c r="AG207" s="69"/>
      <c r="AH207" s="69"/>
      <c r="AI207" s="69"/>
      <c r="AJ207" s="69"/>
      <c r="AK207" s="69"/>
      <c r="AL207" s="69"/>
      <c r="AM207" s="69"/>
      <c r="AN207" s="69"/>
      <c r="AO207" s="69"/>
      <c r="AP207" s="69"/>
      <c r="AQ207" s="69"/>
      <c r="AR207" s="69"/>
      <c r="AS207" s="69"/>
      <c r="AT207" s="69"/>
      <c r="AU207" s="69"/>
      <c r="AV207" s="69"/>
      <c r="AW207" s="69"/>
      <c r="AX207" s="69"/>
      <c r="AY207" s="69"/>
      <c r="AZ207" s="69"/>
      <c r="BA207" s="69"/>
      <c r="BB207" s="69"/>
      <c r="BC207" s="69"/>
      <c r="BD207" s="69"/>
      <c r="BE207" s="69"/>
      <c r="BF207" s="69"/>
      <c r="BG207" s="69"/>
      <c r="BH207" s="69"/>
    </row>
    <row r="208" spans="1:60" x14ac:dyDescent="0.25">
      <c r="A208" s="69"/>
      <c r="J208" s="69"/>
      <c r="K208" s="69"/>
      <c r="L208" s="69"/>
      <c r="M208" s="69"/>
      <c r="N208" s="69"/>
      <c r="O208" s="69"/>
      <c r="P208" s="69"/>
      <c r="Q208" s="69"/>
      <c r="R208" s="69"/>
      <c r="S208" s="69"/>
      <c r="T208" s="69"/>
      <c r="U208" s="69"/>
      <c r="V208" s="69"/>
      <c r="W208" s="69"/>
      <c r="X208" s="69"/>
      <c r="Y208" s="69"/>
      <c r="Z208" s="69"/>
      <c r="AA208" s="69"/>
      <c r="AB208" s="69"/>
      <c r="AC208" s="69"/>
      <c r="AD208" s="69"/>
      <c r="AE208" s="69"/>
      <c r="AF208" s="69"/>
      <c r="AG208" s="69"/>
      <c r="AH208" s="69"/>
      <c r="AI208" s="69"/>
      <c r="AJ208" s="69"/>
      <c r="AK208" s="69"/>
      <c r="AL208" s="69"/>
      <c r="AM208" s="69"/>
      <c r="AN208" s="69"/>
      <c r="AO208" s="69"/>
      <c r="AP208" s="69"/>
      <c r="AQ208" s="69"/>
      <c r="AR208" s="69"/>
      <c r="AS208" s="69"/>
      <c r="AT208" s="69"/>
      <c r="AU208" s="69"/>
      <c r="AV208" s="69"/>
      <c r="AW208" s="69"/>
      <c r="AX208" s="69"/>
      <c r="AY208" s="69"/>
      <c r="AZ208" s="69"/>
      <c r="BA208" s="69"/>
      <c r="BB208" s="69"/>
      <c r="BC208" s="69"/>
      <c r="BD208" s="69"/>
      <c r="BE208" s="69"/>
      <c r="BF208" s="69"/>
      <c r="BG208" s="69"/>
      <c r="BH208" s="69"/>
    </row>
    <row r="209" spans="1:60" x14ac:dyDescent="0.25">
      <c r="A209" s="69"/>
      <c r="J209" s="69"/>
      <c r="K209" s="69"/>
      <c r="L209" s="69"/>
      <c r="M209" s="69"/>
      <c r="N209" s="69"/>
      <c r="O209" s="69"/>
      <c r="P209" s="69"/>
      <c r="Q209" s="69"/>
      <c r="R209" s="69"/>
      <c r="S209" s="69"/>
      <c r="T209" s="69"/>
      <c r="U209" s="69"/>
      <c r="V209" s="69"/>
      <c r="W209" s="69"/>
      <c r="X209" s="69"/>
      <c r="Y209" s="69"/>
      <c r="Z209" s="69"/>
      <c r="AA209" s="69"/>
      <c r="AB209" s="69"/>
      <c r="AC209" s="69"/>
      <c r="AD209" s="69"/>
      <c r="AE209" s="69"/>
      <c r="AF209" s="69"/>
      <c r="AG209" s="69"/>
      <c r="AH209" s="69"/>
      <c r="AI209" s="69"/>
      <c r="AJ209" s="69"/>
      <c r="AK209" s="69"/>
      <c r="AL209" s="69"/>
      <c r="AM209" s="69"/>
      <c r="AN209" s="69"/>
      <c r="AO209" s="69"/>
      <c r="AP209" s="69"/>
      <c r="AQ209" s="69"/>
      <c r="AR209" s="69"/>
      <c r="AS209" s="69"/>
      <c r="AT209" s="69"/>
      <c r="AU209" s="69"/>
      <c r="AV209" s="69"/>
      <c r="AW209" s="69"/>
      <c r="AX209" s="69"/>
      <c r="AY209" s="69"/>
      <c r="AZ209" s="69"/>
      <c r="BA209" s="69"/>
      <c r="BB209" s="69"/>
      <c r="BC209" s="69"/>
      <c r="BD209" s="69"/>
      <c r="BE209" s="69"/>
      <c r="BF209" s="69"/>
      <c r="BG209" s="69"/>
      <c r="BH209" s="69"/>
    </row>
    <row r="210" spans="1:60" x14ac:dyDescent="0.25">
      <c r="A210" s="69"/>
      <c r="J210" s="69"/>
      <c r="K210" s="69"/>
      <c r="L210" s="69"/>
      <c r="M210" s="69"/>
      <c r="N210" s="69"/>
      <c r="O210" s="69"/>
      <c r="P210" s="69"/>
      <c r="Q210" s="69"/>
      <c r="R210" s="69"/>
      <c r="S210" s="69"/>
      <c r="T210" s="69"/>
      <c r="U210" s="69"/>
      <c r="V210" s="69"/>
      <c r="W210" s="69"/>
      <c r="X210" s="69"/>
      <c r="Y210" s="69"/>
      <c r="Z210" s="69"/>
      <c r="AA210" s="69"/>
      <c r="AB210" s="69"/>
      <c r="AC210" s="69"/>
      <c r="AD210" s="69"/>
      <c r="AE210" s="69"/>
      <c r="AF210" s="69"/>
      <c r="AG210" s="69"/>
      <c r="AH210" s="69"/>
      <c r="AI210" s="69"/>
      <c r="AJ210" s="69"/>
      <c r="AK210" s="69"/>
      <c r="AL210" s="69"/>
      <c r="AM210" s="69"/>
      <c r="AN210" s="69"/>
      <c r="AO210" s="69"/>
      <c r="AP210" s="69"/>
      <c r="AQ210" s="69"/>
      <c r="AR210" s="69"/>
      <c r="AS210" s="69"/>
      <c r="AT210" s="69"/>
      <c r="AU210" s="69"/>
      <c r="AV210" s="69"/>
      <c r="AW210" s="69"/>
      <c r="AX210" s="69"/>
      <c r="AY210" s="69"/>
      <c r="AZ210" s="69"/>
      <c r="BA210" s="69"/>
      <c r="BB210" s="69"/>
      <c r="BC210" s="69"/>
      <c r="BD210" s="69"/>
      <c r="BE210" s="69"/>
      <c r="BF210" s="69"/>
      <c r="BG210" s="69"/>
      <c r="BH210" s="69"/>
    </row>
    <row r="211" spans="1:60" x14ac:dyDescent="0.25">
      <c r="A211" s="69"/>
      <c r="J211" s="69"/>
      <c r="K211" s="69"/>
      <c r="L211" s="69"/>
      <c r="M211" s="69"/>
      <c r="N211" s="69"/>
      <c r="O211" s="69"/>
      <c r="P211" s="69"/>
      <c r="Q211" s="69"/>
      <c r="R211" s="69"/>
      <c r="S211" s="69"/>
      <c r="T211" s="69"/>
      <c r="U211" s="69"/>
      <c r="V211" s="69"/>
      <c r="W211" s="69"/>
      <c r="X211" s="69"/>
      <c r="Y211" s="69"/>
      <c r="Z211" s="69"/>
      <c r="AA211" s="69"/>
      <c r="AB211" s="69"/>
      <c r="AC211" s="69"/>
      <c r="AD211" s="69"/>
      <c r="AE211" s="69"/>
      <c r="AF211" s="69"/>
      <c r="AG211" s="69"/>
      <c r="AH211" s="69"/>
      <c r="AI211" s="69"/>
      <c r="AJ211" s="69"/>
      <c r="AK211" s="69"/>
      <c r="AL211" s="69"/>
      <c r="AM211" s="69"/>
      <c r="AN211" s="69"/>
      <c r="AO211" s="69"/>
      <c r="AP211" s="69"/>
      <c r="AQ211" s="69"/>
      <c r="AR211" s="69"/>
      <c r="AS211" s="69"/>
      <c r="AT211" s="69"/>
      <c r="AU211" s="69"/>
      <c r="AV211" s="69"/>
      <c r="AW211" s="69"/>
      <c r="AX211" s="69"/>
      <c r="AY211" s="69"/>
      <c r="AZ211" s="69"/>
      <c r="BA211" s="69"/>
      <c r="BB211" s="69"/>
      <c r="BC211" s="69"/>
      <c r="BD211" s="69"/>
      <c r="BE211" s="69"/>
      <c r="BF211" s="69"/>
      <c r="BG211" s="69"/>
      <c r="BH211" s="69"/>
    </row>
    <row r="212" spans="1:60" x14ac:dyDescent="0.25">
      <c r="A212" s="69"/>
      <c r="J212" s="69"/>
      <c r="K212" s="69"/>
      <c r="L212" s="69"/>
      <c r="M212" s="69"/>
      <c r="N212" s="69"/>
      <c r="O212" s="69"/>
      <c r="P212" s="69"/>
      <c r="Q212" s="69"/>
      <c r="R212" s="69"/>
      <c r="S212" s="69"/>
      <c r="T212" s="69"/>
      <c r="U212" s="69"/>
      <c r="V212" s="69"/>
      <c r="W212" s="69"/>
      <c r="X212" s="69"/>
      <c r="Y212" s="69"/>
      <c r="Z212" s="69"/>
      <c r="AA212" s="69"/>
      <c r="AB212" s="69"/>
      <c r="AC212" s="69"/>
      <c r="AD212" s="69"/>
      <c r="AE212" s="69"/>
      <c r="AF212" s="69"/>
      <c r="AG212" s="69"/>
      <c r="AH212" s="69"/>
      <c r="AI212" s="69"/>
      <c r="AJ212" s="69"/>
      <c r="AK212" s="69"/>
      <c r="AL212" s="69"/>
      <c r="AM212" s="69"/>
      <c r="AN212" s="69"/>
      <c r="AO212" s="69"/>
      <c r="AP212" s="69"/>
      <c r="AQ212" s="69"/>
      <c r="AR212" s="69"/>
      <c r="AS212" s="69"/>
      <c r="AT212" s="69"/>
      <c r="AU212" s="69"/>
      <c r="AV212" s="69"/>
      <c r="AW212" s="69"/>
      <c r="AX212" s="69"/>
      <c r="AY212" s="69"/>
      <c r="AZ212" s="69"/>
      <c r="BA212" s="69"/>
      <c r="BB212" s="69"/>
      <c r="BC212" s="69"/>
      <c r="BD212" s="69"/>
      <c r="BE212" s="69"/>
      <c r="BF212" s="69"/>
      <c r="BG212" s="69"/>
      <c r="BH212" s="69"/>
    </row>
    <row r="213" spans="1:60" x14ac:dyDescent="0.25">
      <c r="A213" s="69"/>
      <c r="J213" s="69"/>
      <c r="K213" s="69"/>
      <c r="L213" s="69"/>
      <c r="M213" s="69"/>
      <c r="N213" s="69"/>
      <c r="O213" s="69"/>
      <c r="P213" s="69"/>
      <c r="Q213" s="69"/>
      <c r="R213" s="69"/>
      <c r="S213" s="69"/>
      <c r="T213" s="69"/>
      <c r="U213" s="69"/>
      <c r="V213" s="69"/>
      <c r="W213" s="69"/>
      <c r="X213" s="69"/>
      <c r="Y213" s="69"/>
      <c r="Z213" s="69"/>
      <c r="AA213" s="69"/>
      <c r="AB213" s="69"/>
      <c r="AC213" s="69"/>
      <c r="AD213" s="69"/>
      <c r="AE213" s="69"/>
      <c r="AF213" s="69"/>
      <c r="AG213" s="69"/>
      <c r="AH213" s="69"/>
      <c r="AI213" s="69"/>
      <c r="AJ213" s="69"/>
      <c r="AK213" s="69"/>
      <c r="AL213" s="69"/>
      <c r="AM213" s="69"/>
      <c r="AN213" s="69"/>
      <c r="AO213" s="69"/>
      <c r="AP213" s="69"/>
      <c r="AQ213" s="69"/>
      <c r="AR213" s="69"/>
      <c r="AS213" s="69"/>
      <c r="AT213" s="69"/>
      <c r="AU213" s="69"/>
      <c r="AV213" s="69"/>
      <c r="AW213" s="69"/>
      <c r="AX213" s="69"/>
      <c r="AY213" s="69"/>
      <c r="AZ213" s="69"/>
      <c r="BA213" s="69"/>
      <c r="BB213" s="69"/>
      <c r="BC213" s="69"/>
      <c r="BD213" s="69"/>
      <c r="BE213" s="69"/>
      <c r="BF213" s="69"/>
      <c r="BG213" s="69"/>
      <c r="BH213" s="69"/>
    </row>
    <row r="214" spans="1:60" x14ac:dyDescent="0.25">
      <c r="A214" s="69"/>
      <c r="J214" s="69"/>
      <c r="K214" s="69"/>
      <c r="L214" s="69"/>
      <c r="M214" s="69"/>
      <c r="N214" s="69"/>
      <c r="O214" s="69"/>
      <c r="P214" s="69"/>
      <c r="Q214" s="69"/>
      <c r="R214" s="69"/>
      <c r="S214" s="69"/>
      <c r="T214" s="69"/>
      <c r="U214" s="69"/>
      <c r="V214" s="69"/>
      <c r="W214" s="69"/>
      <c r="X214" s="69"/>
      <c r="Y214" s="69"/>
      <c r="Z214" s="69"/>
      <c r="AA214" s="69"/>
      <c r="AB214" s="69"/>
      <c r="AC214" s="69"/>
      <c r="AD214" s="69"/>
      <c r="AE214" s="69"/>
      <c r="AF214" s="69"/>
      <c r="AG214" s="69"/>
      <c r="AH214" s="69"/>
      <c r="AI214" s="69"/>
      <c r="AJ214" s="69"/>
      <c r="AK214" s="69"/>
      <c r="AL214" s="69"/>
      <c r="AM214" s="69"/>
      <c r="AN214" s="69"/>
      <c r="AO214" s="69"/>
      <c r="AP214" s="69"/>
      <c r="AQ214" s="69"/>
      <c r="AR214" s="69"/>
      <c r="AS214" s="69"/>
      <c r="AT214" s="69"/>
      <c r="AU214" s="69"/>
      <c r="AV214" s="69"/>
      <c r="AW214" s="69"/>
      <c r="AX214" s="69"/>
      <c r="AY214" s="69"/>
      <c r="AZ214" s="69"/>
      <c r="BA214" s="69"/>
      <c r="BB214" s="69"/>
      <c r="BC214" s="69"/>
      <c r="BD214" s="69"/>
      <c r="BE214" s="69"/>
      <c r="BF214" s="69"/>
      <c r="BG214" s="69"/>
      <c r="BH214" s="69"/>
    </row>
    <row r="215" spans="1:60" x14ac:dyDescent="0.25">
      <c r="A215" s="69"/>
      <c r="J215" s="69"/>
      <c r="K215" s="69"/>
      <c r="L215" s="69"/>
      <c r="M215" s="69"/>
      <c r="N215" s="69"/>
      <c r="O215" s="69"/>
      <c r="P215" s="69"/>
      <c r="Q215" s="69"/>
      <c r="R215" s="69"/>
      <c r="S215" s="69"/>
      <c r="T215" s="69"/>
      <c r="U215" s="69"/>
      <c r="V215" s="69"/>
      <c r="W215" s="69"/>
      <c r="X215" s="69"/>
      <c r="Y215" s="69"/>
      <c r="Z215" s="69"/>
      <c r="AA215" s="69"/>
      <c r="AB215" s="69"/>
      <c r="AC215" s="69"/>
      <c r="AD215" s="69"/>
      <c r="AE215" s="69"/>
      <c r="AF215" s="69"/>
      <c r="AG215" s="69"/>
      <c r="AH215" s="69"/>
      <c r="AI215" s="69"/>
      <c r="AJ215" s="69"/>
      <c r="AK215" s="69"/>
      <c r="AL215" s="69"/>
      <c r="AM215" s="69"/>
      <c r="AN215" s="69"/>
      <c r="AO215" s="69"/>
      <c r="AP215" s="69"/>
      <c r="AQ215" s="69"/>
      <c r="AR215" s="69"/>
      <c r="AS215" s="69"/>
      <c r="AT215" s="69"/>
      <c r="AU215" s="69"/>
      <c r="AV215" s="69"/>
      <c r="AW215" s="69"/>
      <c r="AX215" s="69"/>
      <c r="AY215" s="69"/>
      <c r="AZ215" s="69"/>
      <c r="BA215" s="69"/>
      <c r="BB215" s="69"/>
      <c r="BC215" s="69"/>
      <c r="BD215" s="69"/>
      <c r="BE215" s="69"/>
      <c r="BF215" s="69"/>
      <c r="BG215" s="69"/>
      <c r="BH215" s="69"/>
    </row>
    <row r="216" spans="1:60" x14ac:dyDescent="0.25">
      <c r="A216" s="69"/>
      <c r="J216" s="69"/>
      <c r="K216" s="69"/>
      <c r="L216" s="69"/>
      <c r="M216" s="69"/>
      <c r="N216" s="69"/>
      <c r="O216" s="69"/>
      <c r="P216" s="69"/>
      <c r="Q216" s="69"/>
      <c r="R216" s="69"/>
      <c r="S216" s="69"/>
      <c r="T216" s="69"/>
      <c r="U216" s="69"/>
      <c r="V216" s="69"/>
      <c r="W216" s="69"/>
      <c r="X216" s="69"/>
      <c r="Y216" s="69"/>
      <c r="Z216" s="69"/>
      <c r="AA216" s="69"/>
      <c r="AB216" s="69"/>
      <c r="AC216" s="69"/>
      <c r="AD216" s="69"/>
      <c r="AE216" s="69"/>
      <c r="AF216" s="69"/>
      <c r="AG216" s="69"/>
      <c r="AH216" s="69"/>
      <c r="AI216" s="69"/>
      <c r="AJ216" s="69"/>
      <c r="AK216" s="69"/>
      <c r="AL216" s="69"/>
      <c r="AM216" s="69"/>
      <c r="AN216" s="69"/>
      <c r="AO216" s="69"/>
      <c r="AP216" s="69"/>
      <c r="AQ216" s="69"/>
      <c r="AR216" s="69"/>
      <c r="AS216" s="69"/>
      <c r="AT216" s="69"/>
      <c r="AU216" s="69"/>
      <c r="AV216" s="69"/>
      <c r="AW216" s="69"/>
      <c r="AX216" s="69"/>
      <c r="AY216" s="69"/>
      <c r="AZ216" s="69"/>
      <c r="BA216" s="69"/>
      <c r="BB216" s="69"/>
      <c r="BC216" s="69"/>
      <c r="BD216" s="69"/>
      <c r="BE216" s="69"/>
      <c r="BF216" s="69"/>
      <c r="BG216" s="69"/>
      <c r="BH216" s="69"/>
    </row>
    <row r="217" spans="1:60" x14ac:dyDescent="0.25">
      <c r="A217" s="69"/>
      <c r="J217" s="69"/>
      <c r="K217" s="69"/>
      <c r="L217" s="69"/>
      <c r="M217" s="69"/>
      <c r="N217" s="69"/>
      <c r="O217" s="69"/>
      <c r="P217" s="69"/>
      <c r="Q217" s="69"/>
      <c r="R217" s="69"/>
      <c r="S217" s="69"/>
      <c r="T217" s="69"/>
      <c r="U217" s="69"/>
      <c r="V217" s="69"/>
      <c r="W217" s="69"/>
      <c r="X217" s="69"/>
      <c r="Y217" s="69"/>
      <c r="Z217" s="69"/>
      <c r="AA217" s="69"/>
      <c r="AB217" s="69"/>
      <c r="AC217" s="69"/>
      <c r="AD217" s="69"/>
      <c r="AE217" s="69"/>
      <c r="AF217" s="69"/>
      <c r="AG217" s="69"/>
      <c r="AH217" s="69"/>
      <c r="AI217" s="69"/>
      <c r="AJ217" s="69"/>
      <c r="AK217" s="69"/>
      <c r="AL217" s="69"/>
      <c r="AM217" s="69"/>
      <c r="AN217" s="69"/>
      <c r="AO217" s="69"/>
      <c r="AP217" s="69"/>
      <c r="AQ217" s="69"/>
      <c r="AR217" s="69"/>
      <c r="AS217" s="69"/>
      <c r="AT217" s="69"/>
      <c r="AU217" s="69"/>
      <c r="AV217" s="69"/>
      <c r="AW217" s="69"/>
      <c r="AX217" s="69"/>
      <c r="AY217" s="69"/>
      <c r="AZ217" s="69"/>
      <c r="BA217" s="69"/>
      <c r="BB217" s="69"/>
      <c r="BC217" s="69"/>
      <c r="BD217" s="69"/>
      <c r="BE217" s="69"/>
      <c r="BF217" s="69"/>
      <c r="BG217" s="69"/>
      <c r="BH217" s="69"/>
    </row>
    <row r="218" spans="1:60" x14ac:dyDescent="0.25">
      <c r="A218" s="69"/>
      <c r="J218" s="69"/>
      <c r="K218" s="69"/>
      <c r="L218" s="69"/>
      <c r="M218" s="69"/>
      <c r="N218" s="69"/>
      <c r="O218" s="69"/>
      <c r="P218" s="69"/>
      <c r="Q218" s="69"/>
      <c r="R218" s="69"/>
      <c r="S218" s="69"/>
      <c r="T218" s="69"/>
      <c r="U218" s="69"/>
      <c r="V218" s="69"/>
      <c r="W218" s="69"/>
      <c r="X218" s="69"/>
      <c r="Y218" s="69"/>
      <c r="Z218" s="69"/>
      <c r="AA218" s="69"/>
      <c r="AB218" s="69"/>
      <c r="AC218" s="69"/>
      <c r="AD218" s="69"/>
      <c r="AE218" s="69"/>
      <c r="AF218" s="69"/>
      <c r="AG218" s="69"/>
      <c r="AH218" s="69"/>
      <c r="AI218" s="69"/>
      <c r="AJ218" s="69"/>
      <c r="AK218" s="69"/>
      <c r="AL218" s="69"/>
      <c r="AM218" s="69"/>
      <c r="AN218" s="69"/>
      <c r="AO218" s="69"/>
      <c r="AP218" s="69"/>
      <c r="AQ218" s="69"/>
      <c r="AR218" s="69"/>
      <c r="AS218" s="69"/>
      <c r="AT218" s="69"/>
      <c r="AU218" s="69"/>
      <c r="AV218" s="69"/>
      <c r="AW218" s="69"/>
      <c r="AX218" s="69"/>
      <c r="AY218" s="69"/>
      <c r="AZ218" s="69"/>
      <c r="BA218" s="69"/>
      <c r="BB218" s="69"/>
      <c r="BC218" s="69"/>
      <c r="BD218" s="69"/>
      <c r="BE218" s="69"/>
      <c r="BF218" s="69"/>
      <c r="BG218" s="69"/>
      <c r="BH218" s="69"/>
    </row>
    <row r="219" spans="1:60" x14ac:dyDescent="0.25">
      <c r="A219" s="69"/>
      <c r="J219" s="69"/>
      <c r="K219" s="69"/>
      <c r="L219" s="69"/>
      <c r="M219" s="69"/>
      <c r="N219" s="69"/>
      <c r="O219" s="69"/>
      <c r="P219" s="69"/>
      <c r="Q219" s="69"/>
      <c r="R219" s="69"/>
      <c r="S219" s="69"/>
      <c r="T219" s="69"/>
      <c r="U219" s="69"/>
      <c r="V219" s="69"/>
      <c r="W219" s="69"/>
      <c r="X219" s="69"/>
      <c r="Y219" s="69"/>
      <c r="Z219" s="69"/>
      <c r="AA219" s="69"/>
      <c r="AB219" s="69"/>
      <c r="AC219" s="69"/>
      <c r="AD219" s="69"/>
      <c r="AE219" s="69"/>
      <c r="AF219" s="69"/>
      <c r="AG219" s="69"/>
      <c r="AH219" s="69"/>
      <c r="AI219" s="69"/>
      <c r="AJ219" s="69"/>
      <c r="AK219" s="69"/>
      <c r="AL219" s="69"/>
      <c r="AM219" s="69"/>
      <c r="AN219" s="69"/>
      <c r="AO219" s="69"/>
      <c r="AP219" s="69"/>
      <c r="AQ219" s="69"/>
      <c r="AR219" s="69"/>
      <c r="AS219" s="69"/>
      <c r="AT219" s="69"/>
      <c r="AU219" s="69"/>
      <c r="AV219" s="69"/>
      <c r="AW219" s="69"/>
      <c r="AX219" s="69"/>
      <c r="AY219" s="69"/>
      <c r="AZ219" s="69"/>
      <c r="BA219" s="69"/>
      <c r="BB219" s="69"/>
      <c r="BC219" s="69"/>
      <c r="BD219" s="69"/>
      <c r="BE219" s="69"/>
      <c r="BF219" s="69"/>
      <c r="BG219" s="69"/>
      <c r="BH219" s="69"/>
    </row>
    <row r="220" spans="1:60" x14ac:dyDescent="0.25">
      <c r="A220" s="69"/>
      <c r="J220" s="69"/>
      <c r="K220" s="69"/>
      <c r="L220" s="69"/>
      <c r="M220" s="69"/>
      <c r="N220" s="69"/>
      <c r="O220" s="69"/>
      <c r="P220" s="69"/>
      <c r="Q220" s="69"/>
      <c r="R220" s="69"/>
      <c r="S220" s="69"/>
      <c r="T220" s="69"/>
      <c r="U220" s="69"/>
      <c r="V220" s="69"/>
      <c r="W220" s="69"/>
      <c r="X220" s="69"/>
      <c r="Y220" s="69"/>
      <c r="Z220" s="69"/>
      <c r="AA220" s="69"/>
      <c r="AB220" s="69"/>
      <c r="AC220" s="69"/>
      <c r="AD220" s="69"/>
      <c r="AE220" s="69"/>
      <c r="AF220" s="69"/>
      <c r="AG220" s="69"/>
      <c r="AH220" s="69"/>
      <c r="AI220" s="69"/>
      <c r="AJ220" s="69"/>
      <c r="AK220" s="69"/>
      <c r="AL220" s="69"/>
      <c r="AM220" s="69"/>
      <c r="AN220" s="69"/>
      <c r="AO220" s="69"/>
      <c r="AP220" s="69"/>
      <c r="AQ220" s="69"/>
      <c r="AR220" s="69"/>
      <c r="AS220" s="69"/>
      <c r="AT220" s="69"/>
      <c r="AU220" s="69"/>
      <c r="AV220" s="69"/>
      <c r="AW220" s="69"/>
      <c r="AX220" s="69"/>
      <c r="AY220" s="69"/>
      <c r="AZ220" s="69"/>
      <c r="BA220" s="69"/>
      <c r="BB220" s="69"/>
      <c r="BC220" s="69"/>
      <c r="BD220" s="69"/>
      <c r="BE220" s="69"/>
      <c r="BF220" s="69"/>
      <c r="BG220" s="69"/>
      <c r="BH220" s="69"/>
    </row>
    <row r="221" spans="1:60" x14ac:dyDescent="0.25">
      <c r="A221" s="69"/>
      <c r="J221" s="69"/>
      <c r="K221" s="69"/>
      <c r="L221" s="69"/>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row>
    <row r="222" spans="1:60" x14ac:dyDescent="0.25">
      <c r="A222" s="69"/>
      <c r="J222" s="69"/>
      <c r="K222" s="69"/>
      <c r="L222" s="69"/>
      <c r="M222" s="69"/>
      <c r="N222" s="69"/>
      <c r="O222" s="69"/>
      <c r="P222" s="69"/>
      <c r="Q222" s="69"/>
      <c r="R222" s="69"/>
      <c r="S222" s="69"/>
      <c r="T222" s="69"/>
      <c r="U222" s="69"/>
      <c r="V222" s="69"/>
      <c r="W222" s="69"/>
      <c r="X222" s="69"/>
      <c r="Y222" s="69"/>
      <c r="Z222" s="69"/>
      <c r="AA222" s="69"/>
      <c r="AB222" s="69"/>
      <c r="AC222" s="69"/>
      <c r="AD222" s="69"/>
      <c r="AE222" s="69"/>
      <c r="AF222" s="69"/>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row>
    <row r="223" spans="1:60" x14ac:dyDescent="0.25">
      <c r="A223" s="69"/>
      <c r="J223" s="69"/>
      <c r="K223" s="69"/>
      <c r="L223" s="69"/>
      <c r="M223" s="69"/>
      <c r="N223" s="69"/>
      <c r="O223" s="69"/>
      <c r="P223" s="69"/>
      <c r="Q223" s="69"/>
      <c r="R223" s="69"/>
      <c r="S223" s="69"/>
      <c r="T223" s="69"/>
      <c r="U223" s="69"/>
      <c r="V223" s="69"/>
      <c r="W223" s="69"/>
      <c r="X223" s="69"/>
      <c r="Y223" s="69"/>
      <c r="Z223" s="69"/>
      <c r="AA223" s="69"/>
      <c r="AB223" s="69"/>
      <c r="AC223" s="69"/>
      <c r="AD223" s="69"/>
      <c r="AE223" s="69"/>
      <c r="AF223" s="69"/>
      <c r="AG223" s="69"/>
      <c r="AH223" s="69"/>
      <c r="AI223" s="69"/>
      <c r="AJ223" s="69"/>
      <c r="AK223" s="69"/>
      <c r="AL223" s="69"/>
      <c r="AM223" s="69"/>
      <c r="AN223" s="69"/>
      <c r="AO223" s="69"/>
      <c r="AP223" s="69"/>
      <c r="AQ223" s="69"/>
      <c r="AR223" s="69"/>
      <c r="AS223" s="69"/>
      <c r="AT223" s="69"/>
      <c r="AU223" s="69"/>
      <c r="AV223" s="69"/>
      <c r="AW223" s="69"/>
      <c r="AX223" s="69"/>
      <c r="AY223" s="69"/>
      <c r="AZ223" s="69"/>
      <c r="BA223" s="69"/>
      <c r="BB223" s="69"/>
      <c r="BC223" s="69"/>
      <c r="BD223" s="69"/>
      <c r="BE223" s="69"/>
      <c r="BF223" s="69"/>
      <c r="BG223" s="69"/>
      <c r="BH223" s="69"/>
    </row>
    <row r="224" spans="1:60" x14ac:dyDescent="0.25">
      <c r="A224" s="69"/>
      <c r="J224" s="69"/>
      <c r="K224" s="69"/>
      <c r="L224" s="69"/>
      <c r="M224" s="69"/>
      <c r="N224" s="69"/>
      <c r="O224" s="69"/>
      <c r="P224" s="69"/>
      <c r="Q224" s="69"/>
      <c r="R224" s="69"/>
      <c r="S224" s="69"/>
      <c r="T224" s="69"/>
      <c r="U224" s="69"/>
      <c r="V224" s="69"/>
      <c r="W224" s="69"/>
      <c r="X224" s="69"/>
      <c r="Y224" s="69"/>
      <c r="Z224" s="69"/>
      <c r="AA224" s="69"/>
      <c r="AB224" s="69"/>
      <c r="AC224" s="69"/>
      <c r="AD224" s="69"/>
      <c r="AE224" s="69"/>
      <c r="AF224" s="69"/>
      <c r="AG224" s="69"/>
      <c r="AH224" s="69"/>
      <c r="AI224" s="69"/>
      <c r="AJ224" s="69"/>
      <c r="AK224" s="69"/>
      <c r="AL224" s="69"/>
      <c r="AM224" s="69"/>
      <c r="AN224" s="69"/>
      <c r="AO224" s="69"/>
      <c r="AP224" s="69"/>
      <c r="AQ224" s="69"/>
      <c r="AR224" s="69"/>
      <c r="AS224" s="69"/>
      <c r="AT224" s="69"/>
      <c r="AU224" s="69"/>
      <c r="AV224" s="69"/>
      <c r="AW224" s="69"/>
      <c r="AX224" s="69"/>
      <c r="AY224" s="69"/>
      <c r="AZ224" s="69"/>
      <c r="BA224" s="69"/>
      <c r="BB224" s="69"/>
      <c r="BC224" s="69"/>
      <c r="BD224" s="69"/>
      <c r="BE224" s="69"/>
      <c r="BF224" s="69"/>
      <c r="BG224" s="69"/>
      <c r="BH224" s="69"/>
    </row>
    <row r="225" spans="1:60" x14ac:dyDescent="0.25">
      <c r="A225" s="69"/>
      <c r="J225" s="69"/>
      <c r="K225" s="69"/>
      <c r="L225" s="69"/>
      <c r="M225" s="69"/>
      <c r="N225" s="69"/>
      <c r="O225" s="69"/>
      <c r="P225" s="69"/>
      <c r="Q225" s="69"/>
      <c r="R225" s="69"/>
      <c r="S225" s="69"/>
      <c r="T225" s="69"/>
      <c r="U225" s="69"/>
      <c r="V225" s="69"/>
      <c r="W225" s="69"/>
      <c r="X225" s="69"/>
      <c r="Y225" s="69"/>
      <c r="Z225" s="69"/>
      <c r="AA225" s="69"/>
      <c r="AB225" s="69"/>
      <c r="AC225" s="69"/>
      <c r="AD225" s="69"/>
      <c r="AE225" s="69"/>
      <c r="AF225" s="69"/>
      <c r="AG225" s="69"/>
      <c r="AH225" s="69"/>
      <c r="AI225" s="69"/>
      <c r="AJ225" s="69"/>
      <c r="AK225" s="69"/>
      <c r="AL225" s="69"/>
      <c r="AM225" s="69"/>
      <c r="AN225" s="69"/>
      <c r="AO225" s="69"/>
      <c r="AP225" s="69"/>
      <c r="AQ225" s="69"/>
      <c r="AR225" s="69"/>
      <c r="AS225" s="69"/>
      <c r="AT225" s="69"/>
      <c r="AU225" s="69"/>
      <c r="AV225" s="69"/>
      <c r="AW225" s="69"/>
      <c r="AX225" s="69"/>
      <c r="AY225" s="69"/>
      <c r="AZ225" s="69"/>
      <c r="BA225" s="69"/>
      <c r="BB225" s="69"/>
      <c r="BC225" s="69"/>
      <c r="BD225" s="69"/>
      <c r="BE225" s="69"/>
      <c r="BF225" s="69"/>
      <c r="BG225" s="69"/>
      <c r="BH225" s="69"/>
    </row>
    <row r="226" spans="1:60" x14ac:dyDescent="0.25">
      <c r="A226" s="69"/>
      <c r="J226" s="69"/>
      <c r="K226" s="69"/>
      <c r="L226" s="69"/>
      <c r="M226" s="69"/>
      <c r="N226" s="69"/>
      <c r="O226" s="69"/>
      <c r="P226" s="69"/>
      <c r="Q226" s="69"/>
      <c r="R226" s="69"/>
      <c r="S226" s="69"/>
      <c r="T226" s="69"/>
      <c r="U226" s="69"/>
      <c r="V226" s="69"/>
      <c r="W226" s="69"/>
      <c r="X226" s="69"/>
      <c r="Y226" s="69"/>
      <c r="Z226" s="69"/>
      <c r="AA226" s="69"/>
      <c r="AB226" s="69"/>
      <c r="AC226" s="69"/>
      <c r="AD226" s="69"/>
      <c r="AE226" s="69"/>
      <c r="AF226" s="69"/>
      <c r="AG226" s="69"/>
      <c r="AH226" s="69"/>
      <c r="AI226" s="69"/>
      <c r="AJ226" s="69"/>
      <c r="AK226" s="69"/>
      <c r="AL226" s="69"/>
      <c r="AM226" s="69"/>
      <c r="AN226" s="69"/>
      <c r="AO226" s="69"/>
      <c r="AP226" s="69"/>
      <c r="AQ226" s="69"/>
      <c r="AR226" s="69"/>
      <c r="AS226" s="69"/>
      <c r="AT226" s="69"/>
      <c r="AU226" s="69"/>
      <c r="AV226" s="69"/>
      <c r="AW226" s="69"/>
      <c r="AX226" s="69"/>
      <c r="AY226" s="69"/>
      <c r="AZ226" s="69"/>
      <c r="BA226" s="69"/>
      <c r="BB226" s="69"/>
      <c r="BC226" s="69"/>
      <c r="BD226" s="69"/>
      <c r="BE226" s="69"/>
      <c r="BF226" s="69"/>
      <c r="BG226" s="69"/>
      <c r="BH226" s="69"/>
    </row>
    <row r="227" spans="1:60" x14ac:dyDescent="0.25">
      <c r="A227" s="69"/>
      <c r="J227" s="69"/>
      <c r="K227" s="69"/>
      <c r="L227" s="69"/>
      <c r="M227" s="69"/>
      <c r="N227" s="69"/>
      <c r="O227" s="69"/>
      <c r="P227" s="69"/>
      <c r="Q227" s="69"/>
      <c r="R227" s="69"/>
      <c r="S227" s="69"/>
      <c r="T227" s="69"/>
      <c r="U227" s="69"/>
      <c r="V227" s="69"/>
      <c r="W227" s="69"/>
      <c r="X227" s="69"/>
      <c r="Y227" s="69"/>
      <c r="Z227" s="69"/>
      <c r="AA227" s="69"/>
      <c r="AB227" s="69"/>
      <c r="AC227" s="69"/>
      <c r="AD227" s="69"/>
      <c r="AE227" s="69"/>
      <c r="AF227" s="69"/>
      <c r="AG227" s="69"/>
      <c r="AH227" s="69"/>
      <c r="AI227" s="69"/>
      <c r="AJ227" s="69"/>
      <c r="AK227" s="69"/>
      <c r="AL227" s="69"/>
      <c r="AM227" s="69"/>
      <c r="AN227" s="69"/>
      <c r="AO227" s="69"/>
      <c r="AP227" s="69"/>
      <c r="AQ227" s="69"/>
      <c r="AR227" s="69"/>
      <c r="AS227" s="69"/>
      <c r="AT227" s="69"/>
      <c r="AU227" s="69"/>
      <c r="AV227" s="69"/>
      <c r="AW227" s="69"/>
      <c r="AX227" s="69"/>
      <c r="AY227" s="69"/>
      <c r="AZ227" s="69"/>
      <c r="BA227" s="69"/>
      <c r="BB227" s="69"/>
      <c r="BC227" s="69"/>
      <c r="BD227" s="69"/>
      <c r="BE227" s="69"/>
      <c r="BF227" s="69"/>
      <c r="BG227" s="69"/>
      <c r="BH227" s="69"/>
    </row>
    <row r="228" spans="1:60" x14ac:dyDescent="0.25">
      <c r="A228" s="69"/>
      <c r="J228" s="69"/>
      <c r="K228" s="69"/>
      <c r="L228" s="69"/>
      <c r="M228" s="69"/>
      <c r="N228" s="69"/>
      <c r="O228" s="69"/>
      <c r="P228" s="69"/>
      <c r="Q228" s="69"/>
      <c r="R228" s="69"/>
      <c r="S228" s="69"/>
      <c r="T228" s="69"/>
      <c r="U228" s="69"/>
      <c r="V228" s="69"/>
      <c r="W228" s="69"/>
      <c r="X228" s="69"/>
      <c r="Y228" s="69"/>
      <c r="Z228" s="69"/>
      <c r="AA228" s="69"/>
      <c r="AB228" s="69"/>
      <c r="AC228" s="69"/>
      <c r="AD228" s="69"/>
      <c r="AE228" s="69"/>
      <c r="AF228" s="69"/>
      <c r="AG228" s="69"/>
      <c r="AH228" s="69"/>
      <c r="AI228" s="69"/>
      <c r="AJ228" s="69"/>
      <c r="AK228" s="69"/>
      <c r="AL228" s="69"/>
      <c r="AM228" s="69"/>
      <c r="AN228" s="69"/>
      <c r="AO228" s="69"/>
      <c r="AP228" s="69"/>
      <c r="AQ228" s="69"/>
      <c r="AR228" s="69"/>
      <c r="AS228" s="69"/>
      <c r="AT228" s="69"/>
      <c r="AU228" s="69"/>
      <c r="AV228" s="69"/>
      <c r="AW228" s="69"/>
      <c r="AX228" s="69"/>
      <c r="AY228" s="69"/>
      <c r="AZ228" s="69"/>
      <c r="BA228" s="69"/>
      <c r="BB228" s="69"/>
      <c r="BC228" s="69"/>
      <c r="BD228" s="69"/>
      <c r="BE228" s="69"/>
      <c r="BF228" s="69"/>
      <c r="BG228" s="69"/>
      <c r="BH228" s="69"/>
    </row>
    <row r="229" spans="1:60" x14ac:dyDescent="0.25">
      <c r="A229" s="69"/>
      <c r="J229" s="69"/>
      <c r="K229" s="69"/>
      <c r="L229" s="69"/>
      <c r="M229" s="69"/>
      <c r="N229" s="69"/>
      <c r="O229" s="69"/>
      <c r="P229" s="69"/>
      <c r="Q229" s="69"/>
      <c r="R229" s="69"/>
      <c r="S229" s="69"/>
      <c r="T229" s="69"/>
      <c r="U229" s="69"/>
      <c r="V229" s="69"/>
      <c r="W229" s="69"/>
      <c r="X229" s="69"/>
      <c r="Y229" s="69"/>
      <c r="Z229" s="69"/>
      <c r="AA229" s="69"/>
      <c r="AB229" s="69"/>
      <c r="AC229" s="69"/>
      <c r="AD229" s="69"/>
      <c r="AE229" s="69"/>
      <c r="AF229" s="69"/>
      <c r="AG229" s="69"/>
      <c r="AH229" s="69"/>
      <c r="AI229" s="69"/>
      <c r="AJ229" s="69"/>
      <c r="AK229" s="69"/>
      <c r="AL229" s="69"/>
      <c r="AM229" s="69"/>
      <c r="AN229" s="69"/>
      <c r="AO229" s="69"/>
      <c r="AP229" s="69"/>
      <c r="AQ229" s="69"/>
      <c r="AR229" s="69"/>
      <c r="AS229" s="69"/>
      <c r="AT229" s="69"/>
      <c r="AU229" s="69"/>
      <c r="AV229" s="69"/>
      <c r="AW229" s="69"/>
      <c r="AX229" s="69"/>
      <c r="AY229" s="69"/>
      <c r="AZ229" s="69"/>
      <c r="BA229" s="69"/>
      <c r="BB229" s="69"/>
      <c r="BC229" s="69"/>
      <c r="BD229" s="69"/>
      <c r="BE229" s="69"/>
      <c r="BF229" s="69"/>
      <c r="BG229" s="69"/>
      <c r="BH229" s="69"/>
    </row>
    <row r="230" spans="1:60" x14ac:dyDescent="0.25">
      <c r="A230" s="69"/>
      <c r="J230" s="69"/>
      <c r="K230" s="69"/>
      <c r="L230" s="69"/>
      <c r="M230" s="69"/>
      <c r="N230" s="69"/>
      <c r="O230" s="69"/>
      <c r="P230" s="69"/>
      <c r="Q230" s="69"/>
      <c r="R230" s="69"/>
      <c r="S230" s="69"/>
      <c r="T230" s="69"/>
      <c r="U230" s="69"/>
      <c r="V230" s="69"/>
      <c r="W230" s="69"/>
      <c r="X230" s="69"/>
      <c r="Y230" s="69"/>
      <c r="Z230" s="69"/>
      <c r="AA230" s="69"/>
      <c r="AB230" s="69"/>
      <c r="AC230" s="69"/>
      <c r="AD230" s="69"/>
      <c r="AE230" s="69"/>
      <c r="AF230" s="69"/>
      <c r="AG230" s="69"/>
      <c r="AH230" s="69"/>
      <c r="AI230" s="69"/>
      <c r="AJ230" s="69"/>
      <c r="AK230" s="69"/>
      <c r="AL230" s="69"/>
      <c r="AM230" s="69"/>
      <c r="AN230" s="69"/>
      <c r="AO230" s="69"/>
      <c r="AP230" s="69"/>
      <c r="AQ230" s="69"/>
      <c r="AR230" s="69"/>
      <c r="AS230" s="69"/>
      <c r="AT230" s="69"/>
      <c r="AU230" s="69"/>
      <c r="AV230" s="69"/>
      <c r="AW230" s="69"/>
      <c r="AX230" s="69"/>
      <c r="AY230" s="69"/>
      <c r="AZ230" s="69"/>
      <c r="BA230" s="69"/>
      <c r="BB230" s="69"/>
      <c r="BC230" s="69"/>
      <c r="BD230" s="69"/>
      <c r="BE230" s="69"/>
      <c r="BF230" s="69"/>
      <c r="BG230" s="69"/>
      <c r="BH230" s="69"/>
    </row>
    <row r="231" spans="1:60" x14ac:dyDescent="0.25">
      <c r="A231" s="69"/>
      <c r="J231" s="69"/>
      <c r="K231" s="69"/>
      <c r="L231" s="69"/>
      <c r="M231" s="69"/>
      <c r="N231" s="69"/>
      <c r="O231" s="69"/>
      <c r="P231" s="69"/>
      <c r="Q231" s="69"/>
      <c r="R231" s="69"/>
      <c r="S231" s="69"/>
      <c r="T231" s="69"/>
      <c r="U231" s="69"/>
      <c r="V231" s="69"/>
      <c r="W231" s="69"/>
      <c r="X231" s="69"/>
      <c r="Y231" s="69"/>
      <c r="Z231" s="69"/>
      <c r="AA231" s="69"/>
      <c r="AB231" s="69"/>
      <c r="AC231" s="69"/>
      <c r="AD231" s="69"/>
      <c r="AE231" s="69"/>
      <c r="AF231" s="69"/>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row>
    <row r="232" spans="1:60" x14ac:dyDescent="0.25">
      <c r="A232" s="69"/>
      <c r="J232" s="69"/>
      <c r="K232" s="69"/>
      <c r="L232" s="69"/>
      <c r="M232" s="69"/>
      <c r="N232" s="69"/>
      <c r="O232" s="69"/>
      <c r="P232" s="69"/>
      <c r="Q232" s="69"/>
      <c r="R232" s="69"/>
      <c r="S232" s="69"/>
      <c r="T232" s="69"/>
      <c r="U232" s="69"/>
      <c r="V232" s="69"/>
      <c r="W232" s="69"/>
      <c r="X232" s="69"/>
      <c r="Y232" s="69"/>
      <c r="Z232" s="69"/>
      <c r="AA232" s="69"/>
      <c r="AB232" s="69"/>
      <c r="AC232" s="69"/>
      <c r="AD232" s="69"/>
      <c r="AE232" s="69"/>
      <c r="AF232" s="69"/>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row>
    <row r="233" spans="1:60" x14ac:dyDescent="0.25">
      <c r="A233" s="69"/>
      <c r="J233" s="69"/>
      <c r="K233" s="69"/>
      <c r="L233" s="69"/>
      <c r="M233" s="69"/>
      <c r="N233" s="69"/>
      <c r="O233" s="69"/>
      <c r="P233" s="69"/>
      <c r="Q233" s="69"/>
      <c r="R233" s="69"/>
      <c r="S233" s="69"/>
      <c r="T233" s="69"/>
      <c r="U233" s="69"/>
      <c r="V233" s="69"/>
      <c r="W233" s="69"/>
      <c r="X233" s="69"/>
      <c r="Y233" s="69"/>
      <c r="Z233" s="69"/>
      <c r="AA233" s="69"/>
      <c r="AB233" s="69"/>
      <c r="AC233" s="69"/>
      <c r="AD233" s="69"/>
      <c r="AE233" s="69"/>
      <c r="AF233" s="69"/>
      <c r="AG233" s="69"/>
      <c r="AH233" s="69"/>
      <c r="AI233" s="69"/>
      <c r="AJ233" s="69"/>
      <c r="AK233" s="69"/>
      <c r="AL233" s="69"/>
      <c r="AM233" s="69"/>
      <c r="AN233" s="69"/>
      <c r="AO233" s="69"/>
      <c r="AP233" s="69"/>
      <c r="AQ233" s="69"/>
      <c r="AR233" s="69"/>
      <c r="AS233" s="69"/>
      <c r="AT233" s="69"/>
      <c r="AU233" s="69"/>
      <c r="AV233" s="69"/>
      <c r="AW233" s="69"/>
      <c r="AX233" s="69"/>
      <c r="AY233" s="69"/>
      <c r="AZ233" s="69"/>
      <c r="BA233" s="69"/>
      <c r="BB233" s="69"/>
      <c r="BC233" s="69"/>
      <c r="BD233" s="69"/>
      <c r="BE233" s="69"/>
      <c r="BF233" s="69"/>
      <c r="BG233" s="69"/>
      <c r="BH233" s="69"/>
    </row>
    <row r="234" spans="1:60" x14ac:dyDescent="0.25">
      <c r="A234" s="69"/>
      <c r="J234" s="69"/>
      <c r="K234" s="69"/>
      <c r="L234" s="69"/>
      <c r="M234" s="69"/>
      <c r="N234" s="69"/>
      <c r="O234" s="69"/>
      <c r="P234" s="69"/>
      <c r="Q234" s="69"/>
      <c r="R234" s="69"/>
      <c r="S234" s="69"/>
      <c r="T234" s="69"/>
      <c r="U234" s="69"/>
      <c r="V234" s="69"/>
      <c r="W234" s="69"/>
      <c r="X234" s="69"/>
      <c r="Y234" s="69"/>
      <c r="Z234" s="69"/>
      <c r="AA234" s="69"/>
      <c r="AB234" s="69"/>
      <c r="AC234" s="69"/>
      <c r="AD234" s="69"/>
      <c r="AE234" s="69"/>
      <c r="AF234" s="69"/>
      <c r="AG234" s="69"/>
      <c r="AH234" s="69"/>
      <c r="AI234" s="69"/>
      <c r="AJ234" s="69"/>
      <c r="AK234" s="69"/>
      <c r="AL234" s="69"/>
      <c r="AM234" s="69"/>
      <c r="AN234" s="69"/>
      <c r="AO234" s="69"/>
      <c r="AP234" s="69"/>
      <c r="AQ234" s="69"/>
      <c r="AR234" s="69"/>
      <c r="AS234" s="69"/>
      <c r="AT234" s="69"/>
      <c r="AU234" s="69"/>
      <c r="AV234" s="69"/>
      <c r="AW234" s="69"/>
      <c r="AX234" s="69"/>
      <c r="AY234" s="69"/>
      <c r="AZ234" s="69"/>
      <c r="BA234" s="69"/>
      <c r="BB234" s="69"/>
      <c r="BC234" s="69"/>
      <c r="BD234" s="69"/>
      <c r="BE234" s="69"/>
      <c r="BF234" s="69"/>
      <c r="BG234" s="69"/>
      <c r="BH234" s="69"/>
    </row>
    <row r="235" spans="1:60" x14ac:dyDescent="0.25">
      <c r="A235" s="69"/>
      <c r="J235" s="69"/>
      <c r="K235" s="69"/>
      <c r="L235" s="69"/>
      <c r="M235" s="69"/>
      <c r="N235" s="69"/>
      <c r="O235" s="69"/>
      <c r="P235" s="69"/>
      <c r="Q235" s="69"/>
      <c r="R235" s="69"/>
      <c r="S235" s="69"/>
      <c r="T235" s="69"/>
      <c r="U235" s="69"/>
      <c r="V235" s="69"/>
      <c r="W235" s="69"/>
      <c r="X235" s="69"/>
      <c r="Y235" s="69"/>
      <c r="Z235" s="69"/>
      <c r="AA235" s="69"/>
      <c r="AB235" s="69"/>
      <c r="AC235" s="69"/>
      <c r="AD235" s="69"/>
      <c r="AE235" s="69"/>
      <c r="AF235" s="69"/>
      <c r="AG235" s="69"/>
      <c r="AH235" s="69"/>
      <c r="AI235" s="69"/>
      <c r="AJ235" s="69"/>
      <c r="AK235" s="69"/>
      <c r="AL235" s="69"/>
      <c r="AM235" s="69"/>
      <c r="AN235" s="69"/>
      <c r="AO235" s="69"/>
      <c r="AP235" s="69"/>
      <c r="AQ235" s="69"/>
      <c r="AR235" s="69"/>
      <c r="AS235" s="69"/>
      <c r="AT235" s="69"/>
      <c r="AU235" s="69"/>
      <c r="AV235" s="69"/>
      <c r="AW235" s="69"/>
      <c r="AX235" s="69"/>
      <c r="AY235" s="69"/>
      <c r="AZ235" s="69"/>
      <c r="BA235" s="69"/>
      <c r="BB235" s="69"/>
      <c r="BC235" s="69"/>
      <c r="BD235" s="69"/>
      <c r="BE235" s="69"/>
      <c r="BF235" s="69"/>
      <c r="BG235" s="69"/>
      <c r="BH235" s="69"/>
    </row>
    <row r="236" spans="1:60" x14ac:dyDescent="0.25">
      <c r="A236" s="69"/>
      <c r="J236" s="69"/>
      <c r="K236" s="69"/>
      <c r="L236" s="69"/>
      <c r="M236" s="69"/>
      <c r="N236" s="69"/>
      <c r="O236" s="69"/>
      <c r="P236" s="69"/>
      <c r="Q236" s="69"/>
      <c r="R236" s="69"/>
      <c r="S236" s="69"/>
      <c r="T236" s="69"/>
      <c r="U236" s="69"/>
      <c r="V236" s="69"/>
      <c r="W236" s="69"/>
      <c r="X236" s="69"/>
      <c r="Y236" s="69"/>
      <c r="Z236" s="69"/>
      <c r="AA236" s="69"/>
      <c r="AB236" s="69"/>
      <c r="AC236" s="69"/>
      <c r="AD236" s="69"/>
      <c r="AE236" s="69"/>
      <c r="AF236" s="69"/>
      <c r="AG236" s="69"/>
      <c r="AH236" s="69"/>
      <c r="AI236" s="69"/>
      <c r="AJ236" s="69"/>
      <c r="AK236" s="69"/>
      <c r="AL236" s="69"/>
      <c r="AM236" s="69"/>
      <c r="AN236" s="69"/>
      <c r="AO236" s="69"/>
      <c r="AP236" s="69"/>
      <c r="AQ236" s="69"/>
      <c r="AR236" s="69"/>
      <c r="AS236" s="69"/>
      <c r="AT236" s="69"/>
      <c r="AU236" s="69"/>
      <c r="AV236" s="69"/>
      <c r="AW236" s="69"/>
      <c r="AX236" s="69"/>
      <c r="AY236" s="69"/>
      <c r="AZ236" s="69"/>
      <c r="BA236" s="69"/>
      <c r="BB236" s="69"/>
      <c r="BC236" s="69"/>
      <c r="BD236" s="69"/>
      <c r="BE236" s="69"/>
      <c r="BF236" s="69"/>
      <c r="BG236" s="69"/>
      <c r="BH236" s="69"/>
    </row>
    <row r="237" spans="1:60" x14ac:dyDescent="0.25">
      <c r="A237" s="69"/>
      <c r="J237" s="69"/>
      <c r="K237" s="69"/>
      <c r="L237" s="69"/>
      <c r="M237" s="69"/>
      <c r="N237" s="69"/>
      <c r="O237" s="69"/>
      <c r="P237" s="69"/>
      <c r="Q237" s="69"/>
      <c r="R237" s="69"/>
      <c r="S237" s="69"/>
      <c r="T237" s="69"/>
      <c r="U237" s="69"/>
      <c r="V237" s="69"/>
      <c r="W237" s="69"/>
      <c r="X237" s="69"/>
      <c r="Y237" s="69"/>
      <c r="Z237" s="69"/>
      <c r="AA237" s="69"/>
      <c r="AB237" s="69"/>
      <c r="AC237" s="69"/>
      <c r="AD237" s="69"/>
      <c r="AE237" s="69"/>
      <c r="AF237" s="69"/>
      <c r="AG237" s="69"/>
      <c r="AH237" s="69"/>
      <c r="AI237" s="69"/>
      <c r="AJ237" s="69"/>
      <c r="AK237" s="69"/>
      <c r="AL237" s="69"/>
      <c r="AM237" s="69"/>
      <c r="AN237" s="69"/>
      <c r="AO237" s="69"/>
      <c r="AP237" s="69"/>
      <c r="AQ237" s="69"/>
      <c r="AR237" s="69"/>
      <c r="AS237" s="69"/>
      <c r="AT237" s="69"/>
      <c r="AU237" s="69"/>
      <c r="AV237" s="69"/>
      <c r="AW237" s="69"/>
      <c r="AX237" s="69"/>
      <c r="AY237" s="69"/>
      <c r="AZ237" s="69"/>
      <c r="BA237" s="69"/>
      <c r="BB237" s="69"/>
      <c r="BC237" s="69"/>
      <c r="BD237" s="69"/>
      <c r="BE237" s="69"/>
      <c r="BF237" s="69"/>
      <c r="BG237" s="69"/>
      <c r="BH237" s="69"/>
    </row>
    <row r="238" spans="1:60" x14ac:dyDescent="0.25">
      <c r="A238" s="69"/>
      <c r="J238" s="69"/>
      <c r="K238" s="69"/>
      <c r="L238" s="69"/>
      <c r="M238" s="69"/>
      <c r="N238" s="69"/>
      <c r="O238" s="69"/>
      <c r="P238" s="69"/>
      <c r="Q238" s="69"/>
      <c r="R238" s="69"/>
      <c r="S238" s="69"/>
      <c r="T238" s="69"/>
      <c r="U238" s="69"/>
      <c r="V238" s="69"/>
      <c r="W238" s="69"/>
      <c r="X238" s="69"/>
      <c r="Y238" s="69"/>
      <c r="Z238" s="69"/>
      <c r="AA238" s="69"/>
      <c r="AB238" s="69"/>
      <c r="AC238" s="69"/>
      <c r="AD238" s="69"/>
      <c r="AE238" s="69"/>
      <c r="AF238" s="69"/>
      <c r="AG238" s="69"/>
      <c r="AH238" s="69"/>
      <c r="AI238" s="69"/>
      <c r="AJ238" s="69"/>
      <c r="AK238" s="69"/>
      <c r="AL238" s="69"/>
      <c r="AM238" s="69"/>
      <c r="AN238" s="69"/>
      <c r="AO238" s="69"/>
      <c r="AP238" s="69"/>
      <c r="AQ238" s="69"/>
      <c r="AR238" s="69"/>
      <c r="AS238" s="69"/>
      <c r="AT238" s="69"/>
      <c r="AU238" s="69"/>
      <c r="AV238" s="69"/>
      <c r="AW238" s="69"/>
      <c r="AX238" s="69"/>
      <c r="AY238" s="69"/>
      <c r="AZ238" s="69"/>
      <c r="BA238" s="69"/>
      <c r="BB238" s="69"/>
      <c r="BC238" s="69"/>
      <c r="BD238" s="69"/>
      <c r="BE238" s="69"/>
      <c r="BF238" s="69"/>
      <c r="BG238" s="69"/>
      <c r="BH238" s="69"/>
    </row>
    <row r="239" spans="1:60" x14ac:dyDescent="0.25">
      <c r="A239" s="69"/>
      <c r="J239" s="69"/>
      <c r="K239" s="69"/>
      <c r="L239" s="69"/>
      <c r="M239" s="69"/>
      <c r="N239" s="69"/>
      <c r="O239" s="69"/>
      <c r="P239" s="69"/>
      <c r="Q239" s="69"/>
      <c r="R239" s="69"/>
      <c r="S239" s="69"/>
      <c r="T239" s="69"/>
      <c r="U239" s="69"/>
      <c r="V239" s="69"/>
      <c r="W239" s="69"/>
      <c r="X239" s="69"/>
      <c r="Y239" s="69"/>
      <c r="Z239" s="69"/>
      <c r="AA239" s="69"/>
      <c r="AB239" s="69"/>
      <c r="AC239" s="69"/>
      <c r="AD239" s="69"/>
      <c r="AE239" s="69"/>
      <c r="AF239" s="69"/>
      <c r="AG239" s="69"/>
      <c r="AH239" s="69"/>
      <c r="AI239" s="69"/>
      <c r="AJ239" s="69"/>
      <c r="AK239" s="69"/>
      <c r="AL239" s="69"/>
      <c r="AM239" s="69"/>
      <c r="AN239" s="69"/>
      <c r="AO239" s="69"/>
      <c r="AP239" s="69"/>
      <c r="AQ239" s="69"/>
      <c r="AR239" s="69"/>
      <c r="AS239" s="69"/>
      <c r="AT239" s="69"/>
      <c r="AU239" s="69"/>
      <c r="AV239" s="69"/>
      <c r="AW239" s="69"/>
      <c r="AX239" s="69"/>
      <c r="AY239" s="69"/>
      <c r="AZ239" s="69"/>
      <c r="BA239" s="69"/>
      <c r="BB239" s="69"/>
      <c r="BC239" s="69"/>
      <c r="BD239" s="69"/>
      <c r="BE239" s="69"/>
      <c r="BF239" s="69"/>
      <c r="BG239" s="69"/>
      <c r="BH239" s="69"/>
    </row>
    <row r="240" spans="1:60" x14ac:dyDescent="0.25">
      <c r="A240" s="69"/>
      <c r="J240" s="69"/>
      <c r="K240" s="69"/>
      <c r="L240" s="69"/>
      <c r="M240" s="69"/>
      <c r="N240" s="69"/>
      <c r="O240" s="69"/>
      <c r="P240" s="69"/>
      <c r="Q240" s="69"/>
      <c r="R240" s="69"/>
      <c r="S240" s="69"/>
      <c r="T240" s="69"/>
      <c r="U240" s="69"/>
      <c r="V240" s="69"/>
      <c r="W240" s="69"/>
      <c r="X240" s="69"/>
      <c r="Y240" s="69"/>
      <c r="Z240" s="69"/>
      <c r="AA240" s="69"/>
      <c r="AB240" s="69"/>
      <c r="AC240" s="69"/>
      <c r="AD240" s="69"/>
      <c r="AE240" s="69"/>
      <c r="AF240" s="69"/>
      <c r="AG240" s="69"/>
      <c r="AH240" s="69"/>
      <c r="AI240" s="69"/>
      <c r="AJ240" s="69"/>
      <c r="AK240" s="69"/>
      <c r="AL240" s="69"/>
      <c r="AM240" s="69"/>
      <c r="AN240" s="69"/>
      <c r="AO240" s="69"/>
      <c r="AP240" s="69"/>
      <c r="AQ240" s="69"/>
      <c r="AR240" s="69"/>
      <c r="AS240" s="69"/>
      <c r="AT240" s="69"/>
      <c r="AU240" s="69"/>
      <c r="AV240" s="69"/>
      <c r="AW240" s="69"/>
      <c r="AX240" s="69"/>
      <c r="AY240" s="69"/>
      <c r="AZ240" s="69"/>
      <c r="BA240" s="69"/>
      <c r="BB240" s="69"/>
      <c r="BC240" s="69"/>
      <c r="BD240" s="69"/>
      <c r="BE240" s="69"/>
      <c r="BF240" s="69"/>
      <c r="BG240" s="69"/>
      <c r="BH240" s="69"/>
    </row>
    <row r="241" spans="1:60" x14ac:dyDescent="0.25">
      <c r="A241" s="69"/>
      <c r="J241" s="69"/>
      <c r="K241" s="69"/>
      <c r="L241" s="69"/>
      <c r="M241" s="69"/>
      <c r="N241" s="69"/>
      <c r="O241" s="69"/>
      <c r="P241" s="69"/>
      <c r="Q241" s="69"/>
      <c r="R241" s="69"/>
      <c r="S241" s="69"/>
      <c r="T241" s="69"/>
      <c r="U241" s="69"/>
      <c r="V241" s="69"/>
      <c r="W241" s="69"/>
      <c r="X241" s="69"/>
      <c r="Y241" s="69"/>
      <c r="Z241" s="69"/>
      <c r="AA241" s="69"/>
      <c r="AB241" s="69"/>
      <c r="AC241" s="69"/>
      <c r="AD241" s="69"/>
      <c r="AE241" s="69"/>
      <c r="AF241" s="69"/>
      <c r="AG241" s="69"/>
      <c r="AH241" s="69"/>
      <c r="AI241" s="69"/>
      <c r="AJ241" s="69"/>
      <c r="AK241" s="69"/>
      <c r="AL241" s="69"/>
      <c r="AM241" s="69"/>
      <c r="AN241" s="69"/>
      <c r="AO241" s="69"/>
      <c r="AP241" s="69"/>
      <c r="AQ241" s="69"/>
      <c r="AR241" s="69"/>
      <c r="AS241" s="69"/>
      <c r="AT241" s="69"/>
      <c r="AU241" s="69"/>
      <c r="AV241" s="69"/>
      <c r="AW241" s="69"/>
      <c r="AX241" s="69"/>
      <c r="AY241" s="69"/>
      <c r="AZ241" s="69"/>
      <c r="BA241" s="69"/>
      <c r="BB241" s="69"/>
      <c r="BC241" s="69"/>
      <c r="BD241" s="69"/>
      <c r="BE241" s="69"/>
      <c r="BF241" s="69"/>
      <c r="BG241" s="69"/>
      <c r="BH241" s="69"/>
    </row>
    <row r="242" spans="1:60" x14ac:dyDescent="0.25">
      <c r="A242" s="69"/>
      <c r="J242" s="69"/>
      <c r="K242" s="69"/>
      <c r="L242" s="69"/>
      <c r="M242" s="69"/>
      <c r="N242" s="69"/>
      <c r="O242" s="69"/>
      <c r="P242" s="69"/>
      <c r="Q242" s="69"/>
      <c r="R242" s="69"/>
      <c r="S242" s="69"/>
      <c r="T242" s="69"/>
      <c r="U242" s="69"/>
      <c r="V242" s="69"/>
      <c r="W242" s="69"/>
      <c r="X242" s="69"/>
      <c r="Y242" s="69"/>
      <c r="Z242" s="69"/>
      <c r="AA242" s="69"/>
      <c r="AB242" s="69"/>
      <c r="AC242" s="69"/>
      <c r="AD242" s="69"/>
      <c r="AE242" s="69"/>
      <c r="AF242" s="69"/>
      <c r="AG242" s="69"/>
      <c r="AH242" s="69"/>
      <c r="AI242" s="69"/>
      <c r="AJ242" s="69"/>
      <c r="AK242" s="69"/>
      <c r="AL242" s="69"/>
      <c r="AM242" s="69"/>
      <c r="AN242" s="69"/>
      <c r="AO242" s="69"/>
      <c r="AP242" s="69"/>
      <c r="AQ242" s="69"/>
      <c r="AR242" s="69"/>
      <c r="AS242" s="69"/>
      <c r="AT242" s="69"/>
      <c r="AU242" s="69"/>
      <c r="AV242" s="69"/>
      <c r="AW242" s="69"/>
      <c r="AX242" s="69"/>
      <c r="AY242" s="69"/>
      <c r="AZ242" s="69"/>
      <c r="BA242" s="69"/>
      <c r="BB242" s="69"/>
      <c r="BC242" s="69"/>
      <c r="BD242" s="69"/>
      <c r="BE242" s="69"/>
      <c r="BF242" s="69"/>
      <c r="BG242" s="69"/>
      <c r="BH242" s="69"/>
    </row>
    <row r="243" spans="1:60" x14ac:dyDescent="0.25">
      <c r="A243" s="69"/>
      <c r="J243" s="69"/>
      <c r="K243" s="69"/>
      <c r="L243" s="69"/>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row>
    <row r="244" spans="1:60" x14ac:dyDescent="0.25">
      <c r="A244" s="69"/>
      <c r="J244" s="69"/>
      <c r="K244" s="69"/>
      <c r="L244" s="69"/>
      <c r="M244" s="69"/>
      <c r="N244" s="69"/>
      <c r="O244" s="69"/>
      <c r="P244" s="69"/>
      <c r="Q244" s="69"/>
      <c r="R244" s="69"/>
      <c r="S244" s="69"/>
      <c r="T244" s="69"/>
      <c r="U244" s="69"/>
      <c r="V244" s="69"/>
      <c r="W244" s="69"/>
      <c r="X244" s="69"/>
      <c r="Y244" s="69"/>
      <c r="Z244" s="69"/>
      <c r="AA244" s="69"/>
      <c r="AB244" s="69"/>
      <c r="AC244" s="69"/>
      <c r="AD244" s="69"/>
      <c r="AE244" s="69"/>
      <c r="AF244" s="69"/>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row>
    <row r="245" spans="1:60" x14ac:dyDescent="0.25">
      <c r="A245" s="69"/>
    </row>
    <row r="246" spans="1:60" x14ac:dyDescent="0.25">
      <c r="A246" s="69"/>
    </row>
    <row r="247" spans="1:60" x14ac:dyDescent="0.25">
      <c r="A247" s="69"/>
    </row>
    <row r="248" spans="1:60" x14ac:dyDescent="0.25">
      <c r="A248" s="69"/>
    </row>
  </sheetData>
  <mergeCells count="17">
    <mergeCell ref="E26:I35"/>
    <mergeCell ref="E16:I25"/>
    <mergeCell ref="AO6:AT15"/>
    <mergeCell ref="B2:I4"/>
    <mergeCell ref="J2:AM4"/>
    <mergeCell ref="B6:D55"/>
    <mergeCell ref="E6:I15"/>
    <mergeCell ref="E46:I55"/>
    <mergeCell ref="AO36:AT45"/>
    <mergeCell ref="E36:I45"/>
    <mergeCell ref="AO16:AT25"/>
    <mergeCell ref="AO26:AT35"/>
    <mergeCell ref="J56:O61"/>
    <mergeCell ref="P56:U61"/>
    <mergeCell ref="V56:AA61"/>
    <mergeCell ref="AB56:AG61"/>
    <mergeCell ref="AH56:AM61"/>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B0F0"/>
  </sheetPr>
  <dimension ref="A1:AK55"/>
  <sheetViews>
    <sheetView zoomScale="90" zoomScaleNormal="90" workbookViewId="0">
      <selection activeCell="C7" sqref="C7"/>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69"/>
      <c r="B1" s="482" t="s">
        <v>147</v>
      </c>
      <c r="C1" s="482"/>
      <c r="D1" s="482"/>
      <c r="E1" s="69"/>
      <c r="F1" s="69"/>
      <c r="G1" s="69"/>
      <c r="H1" s="69"/>
      <c r="I1" s="69"/>
      <c r="J1" s="69"/>
      <c r="K1" s="69"/>
      <c r="L1" s="69"/>
      <c r="M1" s="69"/>
      <c r="N1" s="69"/>
      <c r="O1" s="69"/>
      <c r="P1" s="69"/>
      <c r="Q1" s="69"/>
      <c r="R1" s="69"/>
      <c r="S1" s="69"/>
      <c r="T1" s="69"/>
      <c r="U1" s="69"/>
      <c r="V1" s="69"/>
      <c r="W1" s="69"/>
      <c r="X1" s="69"/>
      <c r="Y1" s="69"/>
      <c r="Z1" s="69"/>
      <c r="AA1" s="69"/>
      <c r="AB1" s="69"/>
      <c r="AC1" s="69"/>
      <c r="AD1" s="69"/>
      <c r="AE1" s="69"/>
    </row>
    <row r="2" spans="1:37" x14ac:dyDescent="0.25">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row>
    <row r="3" spans="1:37" ht="25.5" x14ac:dyDescent="0.25">
      <c r="A3" s="69"/>
      <c r="B3" s="3"/>
      <c r="C3" s="4" t="s">
        <v>148</v>
      </c>
      <c r="D3" s="4" t="s">
        <v>131</v>
      </c>
      <c r="E3" s="69"/>
      <c r="F3" s="69"/>
      <c r="G3" s="69"/>
      <c r="H3" s="69"/>
      <c r="I3" s="69"/>
      <c r="J3" s="69"/>
      <c r="K3" s="69"/>
      <c r="L3" s="69"/>
      <c r="M3" s="69"/>
      <c r="N3" s="69"/>
      <c r="O3" s="69"/>
      <c r="P3" s="69"/>
      <c r="Q3" s="69"/>
      <c r="R3" s="69"/>
      <c r="S3" s="69"/>
      <c r="T3" s="69"/>
      <c r="U3" s="69"/>
      <c r="V3" s="69"/>
      <c r="W3" s="69"/>
      <c r="X3" s="69"/>
      <c r="Y3" s="69"/>
      <c r="Z3" s="69"/>
      <c r="AA3" s="69"/>
      <c r="AB3" s="69"/>
      <c r="AC3" s="69"/>
      <c r="AD3" s="69"/>
      <c r="AE3" s="69"/>
    </row>
    <row r="4" spans="1:37" ht="51" x14ac:dyDescent="0.25">
      <c r="A4" s="69"/>
      <c r="B4" s="5" t="s">
        <v>149</v>
      </c>
      <c r="C4" s="6" t="s">
        <v>150</v>
      </c>
      <c r="D4" s="7">
        <v>0.2</v>
      </c>
      <c r="E4" s="69"/>
      <c r="F4" s="69"/>
      <c r="G4" s="69"/>
      <c r="H4" s="69"/>
      <c r="I4" s="69"/>
      <c r="J4" s="69"/>
      <c r="K4" s="69"/>
      <c r="L4" s="69"/>
      <c r="M4" s="69"/>
      <c r="N4" s="69"/>
      <c r="O4" s="69"/>
      <c r="P4" s="69"/>
      <c r="Q4" s="69"/>
      <c r="R4" s="69"/>
      <c r="S4" s="69"/>
      <c r="T4" s="69"/>
      <c r="U4" s="69"/>
      <c r="V4" s="69"/>
      <c r="W4" s="69"/>
      <c r="X4" s="69"/>
      <c r="Y4" s="69"/>
      <c r="Z4" s="69"/>
      <c r="AA4" s="69"/>
      <c r="AB4" s="69"/>
      <c r="AC4" s="69"/>
      <c r="AD4" s="69"/>
      <c r="AE4" s="69"/>
    </row>
    <row r="5" spans="1:37" ht="51" x14ac:dyDescent="0.25">
      <c r="A5" s="69"/>
      <c r="B5" s="8" t="s">
        <v>151</v>
      </c>
      <c r="C5" s="9" t="s">
        <v>152</v>
      </c>
      <c r="D5" s="10">
        <v>0.4</v>
      </c>
      <c r="E5" s="69"/>
      <c r="F5" s="69"/>
      <c r="G5" s="69"/>
      <c r="H5" s="69"/>
      <c r="I5" s="69"/>
      <c r="J5" s="69"/>
      <c r="K5" s="69"/>
      <c r="L5" s="69"/>
      <c r="M5" s="69"/>
      <c r="N5" s="69"/>
      <c r="O5" s="69"/>
      <c r="P5" s="69"/>
      <c r="Q5" s="69"/>
      <c r="R5" s="69"/>
      <c r="S5" s="69"/>
      <c r="T5" s="69"/>
      <c r="U5" s="69"/>
      <c r="V5" s="69"/>
      <c r="W5" s="69"/>
      <c r="X5" s="69"/>
      <c r="Y5" s="69"/>
      <c r="Z5" s="69"/>
      <c r="AA5" s="69"/>
      <c r="AB5" s="69"/>
      <c r="AC5" s="69"/>
      <c r="AD5" s="69"/>
      <c r="AE5" s="69"/>
    </row>
    <row r="6" spans="1:37" ht="51" x14ac:dyDescent="0.25">
      <c r="A6" s="69"/>
      <c r="B6" s="11" t="s">
        <v>153</v>
      </c>
      <c r="C6" s="9" t="s">
        <v>154</v>
      </c>
      <c r="D6" s="10">
        <v>0.6</v>
      </c>
      <c r="E6" s="69"/>
      <c r="F6" s="69"/>
      <c r="G6" s="69"/>
      <c r="H6" s="69"/>
      <c r="I6" s="69"/>
      <c r="J6" s="69"/>
      <c r="K6" s="69"/>
      <c r="L6" s="69"/>
      <c r="M6" s="69"/>
      <c r="N6" s="69"/>
      <c r="O6" s="69"/>
      <c r="P6" s="69"/>
      <c r="Q6" s="69"/>
      <c r="R6" s="69"/>
      <c r="S6" s="69"/>
      <c r="T6" s="69"/>
      <c r="U6" s="69"/>
      <c r="V6" s="69"/>
      <c r="W6" s="69"/>
      <c r="X6" s="69"/>
      <c r="Y6" s="69"/>
      <c r="Z6" s="69"/>
      <c r="AA6" s="69"/>
      <c r="AB6" s="69"/>
      <c r="AC6" s="69"/>
      <c r="AD6" s="69"/>
      <c r="AE6" s="69"/>
    </row>
    <row r="7" spans="1:37" ht="76.5" x14ac:dyDescent="0.25">
      <c r="A7" s="69"/>
      <c r="B7" s="12" t="s">
        <v>155</v>
      </c>
      <c r="C7" s="9" t="s">
        <v>156</v>
      </c>
      <c r="D7" s="10">
        <v>0.8</v>
      </c>
      <c r="E7" s="69"/>
      <c r="F7" s="69"/>
      <c r="G7" s="69"/>
      <c r="H7" s="69"/>
      <c r="I7" s="69"/>
      <c r="J7" s="69"/>
      <c r="K7" s="69"/>
      <c r="L7" s="69"/>
      <c r="M7" s="69"/>
      <c r="N7" s="69"/>
      <c r="O7" s="69"/>
      <c r="P7" s="69"/>
      <c r="Q7" s="69"/>
      <c r="R7" s="69"/>
      <c r="S7" s="69"/>
      <c r="T7" s="69"/>
      <c r="U7" s="69"/>
      <c r="V7" s="69"/>
      <c r="W7" s="69"/>
      <c r="X7" s="69"/>
      <c r="Y7" s="69"/>
      <c r="Z7" s="69"/>
      <c r="AA7" s="69"/>
      <c r="AB7" s="69"/>
      <c r="AC7" s="69"/>
      <c r="AD7" s="69"/>
      <c r="AE7" s="69"/>
    </row>
    <row r="8" spans="1:37" ht="51" x14ac:dyDescent="0.25">
      <c r="A8" s="69"/>
      <c r="B8" s="13" t="s">
        <v>157</v>
      </c>
      <c r="C8" s="9" t="s">
        <v>158</v>
      </c>
      <c r="D8" s="10">
        <v>1</v>
      </c>
      <c r="E8" s="69"/>
      <c r="F8" s="69"/>
      <c r="G8" s="69"/>
      <c r="H8" s="69"/>
      <c r="I8" s="69"/>
      <c r="J8" s="69"/>
      <c r="K8" s="69"/>
      <c r="L8" s="69"/>
      <c r="M8" s="69"/>
      <c r="N8" s="69"/>
      <c r="O8" s="69"/>
      <c r="P8" s="69"/>
      <c r="Q8" s="69"/>
      <c r="R8" s="69"/>
      <c r="S8" s="69"/>
      <c r="T8" s="69"/>
      <c r="U8" s="69"/>
      <c r="V8" s="69"/>
      <c r="W8" s="69"/>
      <c r="X8" s="69"/>
      <c r="Y8" s="69"/>
      <c r="Z8" s="69"/>
      <c r="AA8" s="69"/>
      <c r="AB8" s="69"/>
      <c r="AC8" s="69"/>
      <c r="AD8" s="69"/>
      <c r="AE8" s="69"/>
    </row>
    <row r="9" spans="1:37" x14ac:dyDescent="0.25">
      <c r="A9" s="69"/>
      <c r="B9" s="92"/>
      <c r="C9" s="92"/>
      <c r="D9" s="92"/>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row>
    <row r="10" spans="1:37" ht="16.5" x14ac:dyDescent="0.25">
      <c r="A10" s="69"/>
      <c r="B10" s="93"/>
      <c r="C10" s="92"/>
      <c r="D10" s="92"/>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row>
    <row r="11" spans="1:37" x14ac:dyDescent="0.25">
      <c r="A11" s="69"/>
      <c r="B11" s="92"/>
      <c r="C11" s="92"/>
      <c r="D11" s="92"/>
      <c r="E11" s="69"/>
      <c r="F11" s="69"/>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x14ac:dyDescent="0.25">
      <c r="A12" s="69"/>
      <c r="B12" s="92"/>
      <c r="C12" s="92"/>
      <c r="D12" s="92"/>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x14ac:dyDescent="0.25">
      <c r="A13" s="69"/>
      <c r="B13" s="92"/>
      <c r="C13" s="92"/>
      <c r="D13" s="92"/>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row>
    <row r="14" spans="1:37" x14ac:dyDescent="0.25">
      <c r="A14" s="69"/>
      <c r="B14" s="92"/>
      <c r="C14" s="92"/>
      <c r="D14" s="92"/>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row>
    <row r="15" spans="1:37" x14ac:dyDescent="0.25">
      <c r="A15" s="69"/>
      <c r="B15" s="92"/>
      <c r="C15" s="92"/>
      <c r="D15" s="92"/>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row>
    <row r="16" spans="1:37" x14ac:dyDescent="0.25">
      <c r="A16" s="69"/>
      <c r="B16" s="92"/>
      <c r="C16" s="92"/>
      <c r="D16" s="92"/>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1:37" x14ac:dyDescent="0.25">
      <c r="A17" s="69"/>
      <c r="B17" s="92"/>
      <c r="C17" s="92"/>
      <c r="D17" s="92"/>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1:37" x14ac:dyDescent="0.25">
      <c r="A18" s="69"/>
      <c r="B18" s="92"/>
      <c r="C18" s="92"/>
      <c r="D18" s="92"/>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row>
    <row r="19" spans="1:37"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row>
    <row r="20" spans="1:37"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row>
    <row r="21" spans="1:37"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row>
    <row r="22" spans="1:37"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row>
    <row r="23" spans="1:37"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row>
    <row r="24" spans="1:37"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row>
    <row r="25" spans="1:37"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row>
    <row r="26" spans="1:37"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row>
    <row r="27" spans="1:37"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row>
    <row r="28" spans="1:37"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row>
    <row r="29" spans="1:37"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row>
    <row r="30" spans="1:37"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row>
    <row r="31" spans="1:37"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row>
    <row r="32" spans="1:37"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row>
    <row r="33" spans="1:31" x14ac:dyDescent="0.25">
      <c r="A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row>
    <row r="34" spans="1:31" x14ac:dyDescent="0.25">
      <c r="A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row>
    <row r="35" spans="1:31" x14ac:dyDescent="0.25">
      <c r="A35" s="69"/>
    </row>
    <row r="36" spans="1:31" x14ac:dyDescent="0.25">
      <c r="A36" s="69"/>
    </row>
    <row r="37" spans="1:31" x14ac:dyDescent="0.25">
      <c r="A37" s="69"/>
    </row>
    <row r="38" spans="1:31" x14ac:dyDescent="0.25">
      <c r="A38" s="69"/>
    </row>
    <row r="39" spans="1:31" x14ac:dyDescent="0.25">
      <c r="A39" s="69"/>
    </row>
    <row r="40" spans="1:31" x14ac:dyDescent="0.25">
      <c r="A40" s="69"/>
    </row>
    <row r="41" spans="1:31" x14ac:dyDescent="0.25">
      <c r="A41" s="69"/>
    </row>
    <row r="42" spans="1:31" x14ac:dyDescent="0.25">
      <c r="A42" s="69"/>
    </row>
    <row r="43" spans="1:31" x14ac:dyDescent="0.25">
      <c r="A43" s="69"/>
    </row>
    <row r="44" spans="1:31" x14ac:dyDescent="0.25">
      <c r="A44" s="69"/>
    </row>
    <row r="45" spans="1:31" x14ac:dyDescent="0.25">
      <c r="A45" s="69"/>
    </row>
    <row r="46" spans="1:31" x14ac:dyDescent="0.25">
      <c r="A46" s="69"/>
    </row>
    <row r="47" spans="1:31" x14ac:dyDescent="0.25">
      <c r="A47" s="69"/>
    </row>
    <row r="48" spans="1:31" x14ac:dyDescent="0.25">
      <c r="A48" s="69"/>
    </row>
    <row r="49" spans="1:1" x14ac:dyDescent="0.25">
      <c r="A49" s="69"/>
    </row>
    <row r="50" spans="1:1" x14ac:dyDescent="0.25">
      <c r="A50" s="69"/>
    </row>
    <row r="51" spans="1:1" x14ac:dyDescent="0.25">
      <c r="A51" s="69"/>
    </row>
    <row r="52" spans="1:1" x14ac:dyDescent="0.25">
      <c r="A52" s="69"/>
    </row>
    <row r="53" spans="1:1" x14ac:dyDescent="0.25">
      <c r="A53" s="69"/>
    </row>
    <row r="54" spans="1:1" x14ac:dyDescent="0.25">
      <c r="A54" s="69"/>
    </row>
    <row r="55" spans="1:1" x14ac:dyDescent="0.25">
      <c r="A55" s="69"/>
    </row>
  </sheetData>
  <mergeCells count="1">
    <mergeCell ref="B1:D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3"/>
  <dimension ref="A1:BR71"/>
  <sheetViews>
    <sheetView view="pageBreakPreview" topLeftCell="A2" zoomScale="40" zoomScaleNormal="10" zoomScaleSheetLayoutView="40" workbookViewId="0">
      <selection activeCell="A10" sqref="A10:A11"/>
    </sheetView>
  </sheetViews>
  <sheetFormatPr baseColWidth="10" defaultColWidth="11.42578125" defaultRowHeight="16.5" x14ac:dyDescent="0.3"/>
  <cols>
    <col min="1" max="1" width="80.7109375" style="149" customWidth="1"/>
    <col min="2" max="2" width="20.5703125" style="149" bestFit="1" customWidth="1"/>
    <col min="3" max="4" width="90.85546875" style="149" customWidth="1"/>
    <col min="5" max="5" width="42.5703125" style="149" customWidth="1"/>
    <col min="6" max="6" width="90.85546875" style="149" customWidth="1"/>
    <col min="7" max="8" width="48" style="149" customWidth="1"/>
    <col min="9" max="10" width="90.85546875" style="149" customWidth="1"/>
    <col min="11" max="11" width="39.28515625" style="149" customWidth="1"/>
    <col min="12" max="12" width="40.14062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319" t="s">
        <v>60</v>
      </c>
      <c r="B2" s="320"/>
      <c r="C2" s="320"/>
      <c r="D2" s="332" t="s">
        <v>109</v>
      </c>
      <c r="E2" s="333"/>
      <c r="F2" s="333"/>
      <c r="G2" s="333"/>
      <c r="H2" s="333"/>
      <c r="I2" s="333"/>
      <c r="J2" s="333"/>
      <c r="K2" s="333"/>
      <c r="L2" s="334"/>
      <c r="M2" s="321" t="s">
        <v>110</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323"/>
      <c r="B3" s="324"/>
      <c r="C3" s="324"/>
      <c r="D3" s="335" t="s">
        <v>63</v>
      </c>
      <c r="E3" s="336"/>
      <c r="F3" s="336"/>
      <c r="G3" s="336"/>
      <c r="H3" s="336"/>
      <c r="I3" s="336"/>
      <c r="J3" s="336"/>
      <c r="K3" s="336"/>
      <c r="L3" s="337"/>
      <c r="M3" s="322"/>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323"/>
      <c r="B4" s="324"/>
      <c r="C4" s="324"/>
      <c r="D4" s="338"/>
      <c r="E4" s="339"/>
      <c r="F4" s="339"/>
      <c r="G4" s="339"/>
      <c r="H4" s="339"/>
      <c r="I4" s="339"/>
      <c r="J4" s="339"/>
      <c r="K4" s="339"/>
      <c r="L4" s="340"/>
      <c r="M4" s="174"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323"/>
      <c r="B5" s="324"/>
      <c r="C5" s="324"/>
      <c r="D5" s="341" t="s">
        <v>65</v>
      </c>
      <c r="E5" s="342"/>
      <c r="F5" s="342"/>
      <c r="G5" s="342"/>
      <c r="H5" s="342"/>
      <c r="I5" s="342"/>
      <c r="J5" s="342"/>
      <c r="K5" s="342"/>
      <c r="L5" s="343"/>
      <c r="M5" s="174" t="s">
        <v>111</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323"/>
      <c r="B6" s="324"/>
      <c r="C6" s="324"/>
      <c r="D6" s="344" t="s">
        <v>67</v>
      </c>
      <c r="E6" s="345"/>
      <c r="F6" s="345"/>
      <c r="G6" s="345"/>
      <c r="H6" s="345"/>
      <c r="I6" s="345"/>
      <c r="J6" s="345"/>
      <c r="K6" s="345"/>
      <c r="L6" s="346"/>
      <c r="M6" s="18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325"/>
      <c r="B7" s="326"/>
      <c r="C7" s="326"/>
      <c r="D7" s="326"/>
      <c r="E7" s="326"/>
      <c r="F7" s="326"/>
      <c r="G7" s="326"/>
      <c r="H7" s="326"/>
      <c r="I7" s="326"/>
      <c r="J7" s="326"/>
      <c r="K7" s="326"/>
      <c r="L7" s="326"/>
      <c r="M7" s="327"/>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485" t="s">
        <v>1187</v>
      </c>
      <c r="B9" s="486"/>
      <c r="C9" s="486"/>
      <c r="D9" s="486"/>
      <c r="E9" s="486"/>
      <c r="F9" s="486"/>
      <c r="G9" s="486"/>
      <c r="H9" s="486"/>
      <c r="I9" s="486"/>
      <c r="J9" s="486"/>
      <c r="K9" s="486"/>
      <c r="L9" s="486"/>
      <c r="M9" s="486"/>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9.25" customHeight="1" x14ac:dyDescent="0.35">
      <c r="A10" s="483" t="s">
        <v>112</v>
      </c>
      <c r="B10" s="483" t="s">
        <v>113</v>
      </c>
      <c r="C10" s="483"/>
      <c r="D10" s="483" t="s">
        <v>114</v>
      </c>
      <c r="E10" s="483" t="s">
        <v>115</v>
      </c>
      <c r="F10" s="483" t="s">
        <v>116</v>
      </c>
      <c r="G10" s="483"/>
      <c r="H10" s="483"/>
      <c r="I10" s="483"/>
      <c r="J10" s="483"/>
      <c r="K10" s="483"/>
      <c r="L10" s="483"/>
      <c r="M10" s="483"/>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189" customHeight="1" x14ac:dyDescent="0.35">
      <c r="A11" s="483"/>
      <c r="B11" s="155" t="s">
        <v>117</v>
      </c>
      <c r="C11" s="155" t="s">
        <v>21</v>
      </c>
      <c r="D11" s="483"/>
      <c r="E11" s="483"/>
      <c r="F11" s="155" t="s">
        <v>118</v>
      </c>
      <c r="G11" s="155" t="s">
        <v>119</v>
      </c>
      <c r="H11" s="155" t="s">
        <v>129</v>
      </c>
      <c r="I11" s="155" t="s">
        <v>159</v>
      </c>
      <c r="J11" s="155" t="s">
        <v>127</v>
      </c>
      <c r="K11" s="155" t="s">
        <v>95</v>
      </c>
      <c r="L11" s="155" t="s">
        <v>123</v>
      </c>
      <c r="M11" s="155" t="s">
        <v>124</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48.75" customHeight="1" x14ac:dyDescent="0.3">
      <c r="A12" s="484" t="str">
        <f>A9</f>
        <v>MATRIZ DE MONITOREO DE RIESGOS IV TRIMESTRE
 (OCTUBRE - DICIEMBRE)</v>
      </c>
      <c r="B12" s="317"/>
      <c r="C12" s="318"/>
      <c r="D12" s="312"/>
      <c r="E12" s="283"/>
      <c r="F12" s="280" t="str">
        <f t="shared" ref="F12:M12" si="0">IFERROR(IF($E12="","No",IF($E12="No","No"," "))," ")</f>
        <v>No</v>
      </c>
      <c r="G12" s="280" t="str">
        <f t="shared" si="0"/>
        <v>No</v>
      </c>
      <c r="H12" s="280" t="str">
        <f t="shared" si="0"/>
        <v>No</v>
      </c>
      <c r="I12" s="280" t="str">
        <f t="shared" si="0"/>
        <v>No</v>
      </c>
      <c r="J12" s="280" t="str">
        <f t="shared" si="0"/>
        <v>No</v>
      </c>
      <c r="K12" s="280" t="str">
        <f t="shared" si="0"/>
        <v>No</v>
      </c>
      <c r="L12" s="280" t="str">
        <f t="shared" si="0"/>
        <v>No</v>
      </c>
      <c r="M12" s="280"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48.75" customHeight="1" x14ac:dyDescent="0.3">
      <c r="A13" s="484"/>
      <c r="B13" s="317"/>
      <c r="C13" s="318"/>
      <c r="D13" s="312"/>
      <c r="E13" s="283"/>
      <c r="F13" s="280"/>
      <c r="G13" s="280"/>
      <c r="H13" s="280"/>
      <c r="I13" s="280"/>
      <c r="J13" s="280"/>
      <c r="K13" s="280"/>
      <c r="L13" s="280"/>
      <c r="M13" s="280"/>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48.75" customHeight="1" x14ac:dyDescent="0.3">
      <c r="A14" s="484"/>
      <c r="B14" s="317"/>
      <c r="C14" s="318"/>
      <c r="D14" s="312"/>
      <c r="E14" s="283"/>
      <c r="F14" s="280"/>
      <c r="G14" s="280"/>
      <c r="H14" s="280"/>
      <c r="I14" s="280"/>
      <c r="J14" s="280"/>
      <c r="K14" s="280"/>
      <c r="L14" s="280"/>
      <c r="M14" s="280"/>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48.75" customHeight="1" x14ac:dyDescent="0.3">
      <c r="A15" s="484"/>
      <c r="B15" s="317"/>
      <c r="C15" s="318"/>
      <c r="D15" s="312"/>
      <c r="E15" s="283"/>
      <c r="F15" s="280" t="str">
        <f t="shared" ref="F15:M39" si="1">IFERROR(IF($E15="","No",IF($E15="No","No"," "))," ")</f>
        <v>No</v>
      </c>
      <c r="G15" s="280" t="str">
        <f t="shared" si="1"/>
        <v>No</v>
      </c>
      <c r="H15" s="280" t="str">
        <f t="shared" si="1"/>
        <v>No</v>
      </c>
      <c r="I15" s="280" t="str">
        <f t="shared" si="1"/>
        <v>No</v>
      </c>
      <c r="J15" s="280" t="str">
        <f t="shared" si="1"/>
        <v>No</v>
      </c>
      <c r="K15" s="280" t="str">
        <f t="shared" si="1"/>
        <v>No</v>
      </c>
      <c r="L15" s="280" t="str">
        <f t="shared" si="1"/>
        <v>No</v>
      </c>
      <c r="M15" s="280"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48.75" customHeight="1" x14ac:dyDescent="0.3">
      <c r="A16" s="484"/>
      <c r="B16" s="317"/>
      <c r="C16" s="318"/>
      <c r="D16" s="312"/>
      <c r="E16" s="283"/>
      <c r="F16" s="280"/>
      <c r="G16" s="280"/>
      <c r="H16" s="280"/>
      <c r="I16" s="280"/>
      <c r="J16" s="280"/>
      <c r="K16" s="280"/>
      <c r="L16" s="280"/>
      <c r="M16" s="280"/>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48.75" customHeight="1" x14ac:dyDescent="0.3">
      <c r="A17" s="484"/>
      <c r="B17" s="317"/>
      <c r="C17" s="318"/>
      <c r="D17" s="312"/>
      <c r="E17" s="283"/>
      <c r="F17" s="280"/>
      <c r="G17" s="280"/>
      <c r="H17" s="280"/>
      <c r="I17" s="280"/>
      <c r="J17" s="280"/>
      <c r="K17" s="280"/>
      <c r="L17" s="280"/>
      <c r="M17" s="280"/>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48.75" customHeight="1" x14ac:dyDescent="0.3">
      <c r="A18" s="484"/>
      <c r="B18" s="317"/>
      <c r="C18" s="318"/>
      <c r="D18" s="312"/>
      <c r="E18" s="283"/>
      <c r="F18" s="280" t="str">
        <f t="shared" si="1"/>
        <v>No</v>
      </c>
      <c r="G18" s="280" t="str">
        <f t="shared" si="1"/>
        <v>No</v>
      </c>
      <c r="H18" s="280" t="str">
        <f t="shared" si="1"/>
        <v>No</v>
      </c>
      <c r="I18" s="280" t="str">
        <f t="shared" si="1"/>
        <v>No</v>
      </c>
      <c r="J18" s="280" t="str">
        <f t="shared" si="1"/>
        <v>No</v>
      </c>
      <c r="K18" s="280" t="str">
        <f t="shared" si="1"/>
        <v>No</v>
      </c>
      <c r="L18" s="280" t="str">
        <f t="shared" si="1"/>
        <v>No</v>
      </c>
      <c r="M18" s="280"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48.75" customHeight="1" x14ac:dyDescent="0.3">
      <c r="A19" s="484"/>
      <c r="B19" s="317"/>
      <c r="C19" s="318"/>
      <c r="D19" s="312"/>
      <c r="E19" s="283"/>
      <c r="F19" s="280"/>
      <c r="G19" s="280"/>
      <c r="H19" s="280"/>
      <c r="I19" s="280"/>
      <c r="J19" s="280"/>
      <c r="K19" s="280"/>
      <c r="L19" s="280"/>
      <c r="M19" s="280"/>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48.75" customHeight="1" x14ac:dyDescent="0.3">
      <c r="A20" s="484"/>
      <c r="B20" s="317"/>
      <c r="C20" s="318"/>
      <c r="D20" s="312"/>
      <c r="E20" s="283"/>
      <c r="F20" s="280"/>
      <c r="G20" s="280"/>
      <c r="H20" s="280"/>
      <c r="I20" s="280"/>
      <c r="J20" s="280"/>
      <c r="K20" s="280"/>
      <c r="L20" s="280"/>
      <c r="M20" s="280"/>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48.75" customHeight="1" x14ac:dyDescent="0.3">
      <c r="A21" s="484"/>
      <c r="B21" s="317"/>
      <c r="C21" s="318"/>
      <c r="D21" s="312"/>
      <c r="E21" s="283"/>
      <c r="F21" s="280" t="str">
        <f t="shared" si="1"/>
        <v>No</v>
      </c>
      <c r="G21" s="280" t="str">
        <f t="shared" si="1"/>
        <v>No</v>
      </c>
      <c r="H21" s="280" t="str">
        <f t="shared" si="1"/>
        <v>No</v>
      </c>
      <c r="I21" s="280" t="str">
        <f t="shared" si="1"/>
        <v>No</v>
      </c>
      <c r="J21" s="280" t="str">
        <f t="shared" si="1"/>
        <v>No</v>
      </c>
      <c r="K21" s="280" t="str">
        <f t="shared" si="1"/>
        <v>No</v>
      </c>
      <c r="L21" s="280" t="str">
        <f t="shared" si="1"/>
        <v>No</v>
      </c>
      <c r="M21" s="280"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48.75" customHeight="1" x14ac:dyDescent="0.3">
      <c r="A22" s="484"/>
      <c r="B22" s="317"/>
      <c r="C22" s="318"/>
      <c r="D22" s="312"/>
      <c r="E22" s="283"/>
      <c r="F22" s="280"/>
      <c r="G22" s="280"/>
      <c r="H22" s="280"/>
      <c r="I22" s="280"/>
      <c r="J22" s="280"/>
      <c r="K22" s="280"/>
      <c r="L22" s="280"/>
      <c r="M22" s="280"/>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48.75" customHeight="1" x14ac:dyDescent="0.3">
      <c r="A23" s="484"/>
      <c r="B23" s="317"/>
      <c r="C23" s="318"/>
      <c r="D23" s="312"/>
      <c r="E23" s="283"/>
      <c r="F23" s="280"/>
      <c r="G23" s="280"/>
      <c r="H23" s="280"/>
      <c r="I23" s="280"/>
      <c r="J23" s="280"/>
      <c r="K23" s="280"/>
      <c r="L23" s="280"/>
      <c r="M23" s="280"/>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48.75" customHeight="1" x14ac:dyDescent="0.3">
      <c r="A24" s="484"/>
      <c r="B24" s="317"/>
      <c r="C24" s="318"/>
      <c r="D24" s="312"/>
      <c r="E24" s="283"/>
      <c r="F24" s="280" t="str">
        <f t="shared" si="1"/>
        <v>No</v>
      </c>
      <c r="G24" s="280" t="str">
        <f t="shared" si="1"/>
        <v>No</v>
      </c>
      <c r="H24" s="280" t="str">
        <f t="shared" si="1"/>
        <v>No</v>
      </c>
      <c r="I24" s="280" t="str">
        <f t="shared" si="1"/>
        <v>No</v>
      </c>
      <c r="J24" s="280" t="str">
        <f t="shared" si="1"/>
        <v>No</v>
      </c>
      <c r="K24" s="280" t="str">
        <f t="shared" si="1"/>
        <v>No</v>
      </c>
      <c r="L24" s="280" t="str">
        <f t="shared" si="1"/>
        <v>No</v>
      </c>
      <c r="M24" s="280"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48.75" customHeight="1" x14ac:dyDescent="0.3">
      <c r="A25" s="484"/>
      <c r="B25" s="317"/>
      <c r="C25" s="318"/>
      <c r="D25" s="312"/>
      <c r="E25" s="283"/>
      <c r="F25" s="280"/>
      <c r="G25" s="280"/>
      <c r="H25" s="280"/>
      <c r="I25" s="280"/>
      <c r="J25" s="280"/>
      <c r="K25" s="280"/>
      <c r="L25" s="280"/>
      <c r="M25" s="280"/>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48.75" customHeight="1" x14ac:dyDescent="0.3">
      <c r="A26" s="484"/>
      <c r="B26" s="317"/>
      <c r="C26" s="318"/>
      <c r="D26" s="312"/>
      <c r="E26" s="283"/>
      <c r="F26" s="280"/>
      <c r="G26" s="280"/>
      <c r="H26" s="280"/>
      <c r="I26" s="280"/>
      <c r="J26" s="280"/>
      <c r="K26" s="280"/>
      <c r="L26" s="280"/>
      <c r="M26" s="280"/>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48.75" customHeight="1" x14ac:dyDescent="0.3">
      <c r="A27" s="484"/>
      <c r="B27" s="317"/>
      <c r="C27" s="318"/>
      <c r="D27" s="312"/>
      <c r="E27" s="283"/>
      <c r="F27" s="280" t="str">
        <f t="shared" si="1"/>
        <v>No</v>
      </c>
      <c r="G27" s="280" t="str">
        <f t="shared" si="1"/>
        <v>No</v>
      </c>
      <c r="H27" s="280" t="str">
        <f t="shared" si="1"/>
        <v>No</v>
      </c>
      <c r="I27" s="280" t="str">
        <f t="shared" si="1"/>
        <v>No</v>
      </c>
      <c r="J27" s="280" t="str">
        <f t="shared" si="1"/>
        <v>No</v>
      </c>
      <c r="K27" s="280" t="str">
        <f t="shared" si="1"/>
        <v>No</v>
      </c>
      <c r="L27" s="280" t="str">
        <f t="shared" si="1"/>
        <v>No</v>
      </c>
      <c r="M27" s="280"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48.75" customHeight="1" x14ac:dyDescent="0.3">
      <c r="A28" s="484"/>
      <c r="B28" s="317"/>
      <c r="C28" s="318"/>
      <c r="D28" s="312"/>
      <c r="E28" s="283"/>
      <c r="F28" s="280"/>
      <c r="G28" s="280"/>
      <c r="H28" s="280"/>
      <c r="I28" s="280"/>
      <c r="J28" s="280"/>
      <c r="K28" s="280"/>
      <c r="L28" s="280"/>
      <c r="M28" s="280"/>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48.75" customHeight="1" x14ac:dyDescent="0.3">
      <c r="A29" s="484"/>
      <c r="B29" s="317"/>
      <c r="C29" s="318"/>
      <c r="D29" s="312"/>
      <c r="E29" s="283"/>
      <c r="F29" s="280"/>
      <c r="G29" s="280"/>
      <c r="H29" s="280"/>
      <c r="I29" s="280"/>
      <c r="J29" s="280"/>
      <c r="K29" s="280"/>
      <c r="L29" s="280"/>
      <c r="M29" s="280"/>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48.75" customHeight="1" x14ac:dyDescent="0.3">
      <c r="A30" s="484"/>
      <c r="B30" s="317"/>
      <c r="C30" s="318"/>
      <c r="D30" s="312"/>
      <c r="E30" s="283"/>
      <c r="F30" s="280" t="str">
        <f t="shared" si="1"/>
        <v>No</v>
      </c>
      <c r="G30" s="280" t="str">
        <f t="shared" si="1"/>
        <v>No</v>
      </c>
      <c r="H30" s="280" t="str">
        <f t="shared" si="1"/>
        <v>No</v>
      </c>
      <c r="I30" s="280" t="str">
        <f t="shared" si="1"/>
        <v>No</v>
      </c>
      <c r="J30" s="280" t="str">
        <f t="shared" si="1"/>
        <v>No</v>
      </c>
      <c r="K30" s="280" t="str">
        <f t="shared" si="1"/>
        <v>No</v>
      </c>
      <c r="L30" s="280" t="str">
        <f t="shared" si="1"/>
        <v>No</v>
      </c>
      <c r="M30" s="280"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48.75" customHeight="1" x14ac:dyDescent="0.3">
      <c r="A31" s="484"/>
      <c r="B31" s="317"/>
      <c r="C31" s="318"/>
      <c r="D31" s="312"/>
      <c r="E31" s="283"/>
      <c r="F31" s="280"/>
      <c r="G31" s="280"/>
      <c r="H31" s="280"/>
      <c r="I31" s="280"/>
      <c r="J31" s="280"/>
      <c r="K31" s="280"/>
      <c r="L31" s="280"/>
      <c r="M31" s="280"/>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48.75" customHeight="1" x14ac:dyDescent="0.3">
      <c r="A32" s="484"/>
      <c r="B32" s="317"/>
      <c r="C32" s="318"/>
      <c r="D32" s="312"/>
      <c r="E32" s="283"/>
      <c r="F32" s="280"/>
      <c r="G32" s="280"/>
      <c r="H32" s="280"/>
      <c r="I32" s="280"/>
      <c r="J32" s="280"/>
      <c r="K32" s="280"/>
      <c r="L32" s="280"/>
      <c r="M32" s="280"/>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48.75" customHeight="1" x14ac:dyDescent="0.3">
      <c r="A33" s="484"/>
      <c r="B33" s="317"/>
      <c r="C33" s="318"/>
      <c r="D33" s="312"/>
      <c r="E33" s="283"/>
      <c r="F33" s="280" t="str">
        <f t="shared" si="1"/>
        <v>No</v>
      </c>
      <c r="G33" s="280" t="str">
        <f t="shared" si="1"/>
        <v>No</v>
      </c>
      <c r="H33" s="280" t="str">
        <f t="shared" si="1"/>
        <v>No</v>
      </c>
      <c r="I33" s="280" t="str">
        <f t="shared" si="1"/>
        <v>No</v>
      </c>
      <c r="J33" s="280" t="str">
        <f t="shared" si="1"/>
        <v>No</v>
      </c>
      <c r="K33" s="280" t="str">
        <f t="shared" si="1"/>
        <v>No</v>
      </c>
      <c r="L33" s="280" t="str">
        <f t="shared" si="1"/>
        <v>No</v>
      </c>
      <c r="M33" s="280"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48.75" customHeight="1" x14ac:dyDescent="0.3">
      <c r="A34" s="484"/>
      <c r="B34" s="317"/>
      <c r="C34" s="318"/>
      <c r="D34" s="312"/>
      <c r="E34" s="283"/>
      <c r="F34" s="280"/>
      <c r="G34" s="280"/>
      <c r="H34" s="280"/>
      <c r="I34" s="280"/>
      <c r="J34" s="280"/>
      <c r="K34" s="280"/>
      <c r="L34" s="280"/>
      <c r="M34" s="280"/>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48.75" customHeight="1" x14ac:dyDescent="0.3">
      <c r="A35" s="484"/>
      <c r="B35" s="317"/>
      <c r="C35" s="318"/>
      <c r="D35" s="312"/>
      <c r="E35" s="283"/>
      <c r="F35" s="280"/>
      <c r="G35" s="280"/>
      <c r="H35" s="280"/>
      <c r="I35" s="280"/>
      <c r="J35" s="280"/>
      <c r="K35" s="280"/>
      <c r="L35" s="280"/>
      <c r="M35" s="280"/>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48.75" customHeight="1" x14ac:dyDescent="0.3">
      <c r="A36" s="484"/>
      <c r="B36" s="317"/>
      <c r="C36" s="318"/>
      <c r="D36" s="312"/>
      <c r="E36" s="283"/>
      <c r="F36" s="280" t="str">
        <f t="shared" si="1"/>
        <v>No</v>
      </c>
      <c r="G36" s="280" t="str">
        <f t="shared" si="1"/>
        <v>No</v>
      </c>
      <c r="H36" s="280" t="str">
        <f t="shared" si="1"/>
        <v>No</v>
      </c>
      <c r="I36" s="280" t="str">
        <f t="shared" si="1"/>
        <v>No</v>
      </c>
      <c r="J36" s="280" t="str">
        <f t="shared" si="1"/>
        <v>No</v>
      </c>
      <c r="K36" s="280" t="str">
        <f t="shared" si="1"/>
        <v>No</v>
      </c>
      <c r="L36" s="280" t="str">
        <f t="shared" si="1"/>
        <v>No</v>
      </c>
      <c r="M36" s="280"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48.75" customHeight="1" x14ac:dyDescent="0.3">
      <c r="A37" s="484"/>
      <c r="B37" s="317"/>
      <c r="C37" s="318"/>
      <c r="D37" s="312"/>
      <c r="E37" s="283"/>
      <c r="F37" s="280"/>
      <c r="G37" s="280"/>
      <c r="H37" s="280"/>
      <c r="I37" s="280"/>
      <c r="J37" s="280"/>
      <c r="K37" s="280"/>
      <c r="L37" s="280"/>
      <c r="M37" s="280"/>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48.75" customHeight="1" x14ac:dyDescent="0.3">
      <c r="A38" s="484"/>
      <c r="B38" s="317"/>
      <c r="C38" s="318"/>
      <c r="D38" s="312"/>
      <c r="E38" s="283"/>
      <c r="F38" s="280"/>
      <c r="G38" s="280"/>
      <c r="H38" s="280"/>
      <c r="I38" s="280"/>
      <c r="J38" s="280"/>
      <c r="K38" s="280"/>
      <c r="L38" s="280"/>
      <c r="M38" s="280"/>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48.75" customHeight="1" x14ac:dyDescent="0.3">
      <c r="A39" s="484"/>
      <c r="B39" s="317"/>
      <c r="C39" s="318"/>
      <c r="D39" s="312"/>
      <c r="E39" s="283"/>
      <c r="F39" s="280" t="str">
        <f t="shared" si="1"/>
        <v>No</v>
      </c>
      <c r="G39" s="280" t="str">
        <f t="shared" si="1"/>
        <v>No</v>
      </c>
      <c r="H39" s="280" t="str">
        <f t="shared" si="1"/>
        <v>No</v>
      </c>
      <c r="I39" s="280" t="str">
        <f t="shared" si="1"/>
        <v>No</v>
      </c>
      <c r="J39" s="280" t="str">
        <f t="shared" si="1"/>
        <v>No</v>
      </c>
      <c r="K39" s="280" t="str">
        <f t="shared" si="1"/>
        <v>No</v>
      </c>
      <c r="L39" s="280" t="str">
        <f t="shared" si="1"/>
        <v>No</v>
      </c>
      <c r="M39" s="280"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48.75" customHeight="1" x14ac:dyDescent="0.3">
      <c r="A40" s="484"/>
      <c r="B40" s="317"/>
      <c r="C40" s="318"/>
      <c r="D40" s="312"/>
      <c r="E40" s="283"/>
      <c r="F40" s="280"/>
      <c r="G40" s="280"/>
      <c r="H40" s="280"/>
      <c r="I40" s="280"/>
      <c r="J40" s="280"/>
      <c r="K40" s="280"/>
      <c r="L40" s="280"/>
      <c r="M40" s="280"/>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48.75" customHeight="1" x14ac:dyDescent="0.3">
      <c r="A41" s="484"/>
      <c r="B41" s="317"/>
      <c r="C41" s="318"/>
      <c r="D41" s="312"/>
      <c r="E41" s="283"/>
      <c r="F41" s="280"/>
      <c r="G41" s="280"/>
      <c r="H41" s="280"/>
      <c r="I41" s="280"/>
      <c r="J41" s="280"/>
      <c r="K41" s="280"/>
      <c r="L41" s="280"/>
      <c r="M41" s="280"/>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484"/>
      <c r="B42" s="317"/>
      <c r="C42" s="318"/>
      <c r="D42" s="312"/>
      <c r="E42" s="283"/>
      <c r="F42" s="280" t="str">
        <f t="shared" ref="F42:M57" si="2">IFERROR(IF($E42="","No",IF($E42="No","No"," "))," ")</f>
        <v>No</v>
      </c>
      <c r="G42" s="280" t="str">
        <f t="shared" si="2"/>
        <v>No</v>
      </c>
      <c r="H42" s="280" t="str">
        <f t="shared" si="2"/>
        <v>No</v>
      </c>
      <c r="I42" s="280" t="str">
        <f t="shared" si="2"/>
        <v>No</v>
      </c>
      <c r="J42" s="280" t="str">
        <f t="shared" si="2"/>
        <v>No</v>
      </c>
      <c r="K42" s="280" t="str">
        <f t="shared" si="2"/>
        <v>No</v>
      </c>
      <c r="L42" s="280" t="str">
        <f t="shared" si="2"/>
        <v>No</v>
      </c>
      <c r="M42" s="280"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484"/>
      <c r="B43" s="317"/>
      <c r="C43" s="318"/>
      <c r="D43" s="312"/>
      <c r="E43" s="283"/>
      <c r="F43" s="280"/>
      <c r="G43" s="280"/>
      <c r="H43" s="280"/>
      <c r="I43" s="280"/>
      <c r="J43" s="280"/>
      <c r="K43" s="280"/>
      <c r="L43" s="280"/>
      <c r="M43" s="280"/>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484"/>
      <c r="B44" s="317"/>
      <c r="C44" s="318"/>
      <c r="D44" s="312"/>
      <c r="E44" s="283"/>
      <c r="F44" s="280"/>
      <c r="G44" s="280"/>
      <c r="H44" s="280"/>
      <c r="I44" s="280"/>
      <c r="J44" s="280"/>
      <c r="K44" s="280"/>
      <c r="L44" s="280"/>
      <c r="M44" s="280"/>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484"/>
      <c r="B45" s="317"/>
      <c r="C45" s="318"/>
      <c r="D45" s="312"/>
      <c r="E45" s="283"/>
      <c r="F45" s="280" t="str">
        <f t="shared" si="2"/>
        <v>No</v>
      </c>
      <c r="G45" s="280" t="str">
        <f t="shared" si="2"/>
        <v>No</v>
      </c>
      <c r="H45" s="280" t="str">
        <f t="shared" si="2"/>
        <v>No</v>
      </c>
      <c r="I45" s="280" t="str">
        <f t="shared" si="2"/>
        <v>No</v>
      </c>
      <c r="J45" s="280" t="str">
        <f t="shared" si="2"/>
        <v>No</v>
      </c>
      <c r="K45" s="280" t="str">
        <f t="shared" si="2"/>
        <v>No</v>
      </c>
      <c r="L45" s="280" t="str">
        <f t="shared" si="2"/>
        <v>No</v>
      </c>
      <c r="M45" s="280"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484"/>
      <c r="B46" s="317"/>
      <c r="C46" s="318"/>
      <c r="D46" s="312"/>
      <c r="E46" s="283"/>
      <c r="F46" s="280"/>
      <c r="G46" s="280"/>
      <c r="H46" s="280"/>
      <c r="I46" s="280"/>
      <c r="J46" s="280"/>
      <c r="K46" s="280"/>
      <c r="L46" s="280"/>
      <c r="M46" s="280"/>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484"/>
      <c r="B47" s="317"/>
      <c r="C47" s="318"/>
      <c r="D47" s="312"/>
      <c r="E47" s="283"/>
      <c r="F47" s="280"/>
      <c r="G47" s="280"/>
      <c r="H47" s="280"/>
      <c r="I47" s="280"/>
      <c r="J47" s="280"/>
      <c r="K47" s="280"/>
      <c r="L47" s="280"/>
      <c r="M47" s="280"/>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8.75" customHeight="1" x14ac:dyDescent="0.3">
      <c r="A48" s="484"/>
      <c r="B48" s="317"/>
      <c r="C48" s="318"/>
      <c r="D48" s="312"/>
      <c r="E48" s="283"/>
      <c r="F48" s="280" t="str">
        <f t="shared" si="2"/>
        <v>No</v>
      </c>
      <c r="G48" s="280" t="str">
        <f t="shared" si="2"/>
        <v>No</v>
      </c>
      <c r="H48" s="280" t="str">
        <f t="shared" si="2"/>
        <v>No</v>
      </c>
      <c r="I48" s="280" t="str">
        <f t="shared" si="2"/>
        <v>No</v>
      </c>
      <c r="J48" s="280" t="str">
        <f t="shared" si="2"/>
        <v>No</v>
      </c>
      <c r="K48" s="280" t="str">
        <f t="shared" si="2"/>
        <v>No</v>
      </c>
      <c r="L48" s="280" t="str">
        <f t="shared" si="2"/>
        <v>No</v>
      </c>
      <c r="M48" s="280" t="str">
        <f t="shared" si="2"/>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8.75" customHeight="1" x14ac:dyDescent="0.3">
      <c r="A49" s="484"/>
      <c r="B49" s="317"/>
      <c r="C49" s="318"/>
      <c r="D49" s="312"/>
      <c r="E49" s="283"/>
      <c r="F49" s="280"/>
      <c r="G49" s="280"/>
      <c r="H49" s="280"/>
      <c r="I49" s="280"/>
      <c r="J49" s="280"/>
      <c r="K49" s="280"/>
      <c r="L49" s="280"/>
      <c r="M49" s="280"/>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8.75" customHeight="1" x14ac:dyDescent="0.3">
      <c r="A50" s="484"/>
      <c r="B50" s="317"/>
      <c r="C50" s="318"/>
      <c r="D50" s="312"/>
      <c r="E50" s="283"/>
      <c r="F50" s="280"/>
      <c r="G50" s="280"/>
      <c r="H50" s="280"/>
      <c r="I50" s="280"/>
      <c r="J50" s="280"/>
      <c r="K50" s="280"/>
      <c r="L50" s="280"/>
      <c r="M50" s="280"/>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8.75" customHeight="1" x14ac:dyDescent="0.3">
      <c r="A51" s="484"/>
      <c r="B51" s="317"/>
      <c r="C51" s="318"/>
      <c r="D51" s="312"/>
      <c r="E51" s="283"/>
      <c r="F51" s="280" t="str">
        <f t="shared" si="2"/>
        <v>No</v>
      </c>
      <c r="G51" s="280" t="str">
        <f t="shared" si="2"/>
        <v>No</v>
      </c>
      <c r="H51" s="280" t="str">
        <f t="shared" si="2"/>
        <v>No</v>
      </c>
      <c r="I51" s="280" t="str">
        <f t="shared" si="2"/>
        <v>No</v>
      </c>
      <c r="J51" s="280" t="str">
        <f t="shared" si="2"/>
        <v>No</v>
      </c>
      <c r="K51" s="280" t="str">
        <f t="shared" si="2"/>
        <v>No</v>
      </c>
      <c r="L51" s="280" t="str">
        <f t="shared" si="2"/>
        <v>No</v>
      </c>
      <c r="M51" s="280" t="str">
        <f t="shared" si="2"/>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8.75" customHeight="1" x14ac:dyDescent="0.3">
      <c r="A52" s="484"/>
      <c r="B52" s="317"/>
      <c r="C52" s="318"/>
      <c r="D52" s="312"/>
      <c r="E52" s="283"/>
      <c r="F52" s="280"/>
      <c r="G52" s="280"/>
      <c r="H52" s="280"/>
      <c r="I52" s="280"/>
      <c r="J52" s="280"/>
      <c r="K52" s="280"/>
      <c r="L52" s="280"/>
      <c r="M52" s="280"/>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8.75" customHeight="1" x14ac:dyDescent="0.3">
      <c r="A53" s="484"/>
      <c r="B53" s="317"/>
      <c r="C53" s="318"/>
      <c r="D53" s="312"/>
      <c r="E53" s="283"/>
      <c r="F53" s="280"/>
      <c r="G53" s="280"/>
      <c r="H53" s="280"/>
      <c r="I53" s="280"/>
      <c r="J53" s="280"/>
      <c r="K53" s="280"/>
      <c r="L53" s="280"/>
      <c r="M53" s="280"/>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8.75" customHeight="1" x14ac:dyDescent="0.3">
      <c r="A54" s="484"/>
      <c r="B54" s="317"/>
      <c r="C54" s="318"/>
      <c r="D54" s="312"/>
      <c r="E54" s="283"/>
      <c r="F54" s="280" t="str">
        <f t="shared" si="2"/>
        <v>No</v>
      </c>
      <c r="G54" s="280" t="str">
        <f t="shared" si="2"/>
        <v>No</v>
      </c>
      <c r="H54" s="280" t="str">
        <f t="shared" si="2"/>
        <v>No</v>
      </c>
      <c r="I54" s="280" t="str">
        <f t="shared" si="2"/>
        <v>No</v>
      </c>
      <c r="J54" s="280" t="str">
        <f t="shared" si="2"/>
        <v>No</v>
      </c>
      <c r="K54" s="280" t="str">
        <f t="shared" si="2"/>
        <v>No</v>
      </c>
      <c r="L54" s="280" t="str">
        <f t="shared" si="2"/>
        <v>No</v>
      </c>
      <c r="M54" s="280" t="str">
        <f t="shared" si="2"/>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8.75" customHeight="1" x14ac:dyDescent="0.3">
      <c r="A55" s="484"/>
      <c r="B55" s="317"/>
      <c r="C55" s="318"/>
      <c r="D55" s="312"/>
      <c r="E55" s="283"/>
      <c r="F55" s="280"/>
      <c r="G55" s="280"/>
      <c r="H55" s="280"/>
      <c r="I55" s="280"/>
      <c r="J55" s="280"/>
      <c r="K55" s="280"/>
      <c r="L55" s="280"/>
      <c r="M55" s="280"/>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8.75" customHeight="1" x14ac:dyDescent="0.3">
      <c r="A56" s="484"/>
      <c r="B56" s="317"/>
      <c r="C56" s="318"/>
      <c r="D56" s="312"/>
      <c r="E56" s="283"/>
      <c r="F56" s="280"/>
      <c r="G56" s="280"/>
      <c r="H56" s="280"/>
      <c r="I56" s="280"/>
      <c r="J56" s="280"/>
      <c r="K56" s="280"/>
      <c r="L56" s="280"/>
      <c r="M56" s="280"/>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8.75" customHeight="1" x14ac:dyDescent="0.3">
      <c r="A57" s="484"/>
      <c r="B57" s="317"/>
      <c r="C57" s="318"/>
      <c r="D57" s="312"/>
      <c r="E57" s="283"/>
      <c r="F57" s="280" t="str">
        <f t="shared" si="2"/>
        <v>No</v>
      </c>
      <c r="G57" s="280" t="str">
        <f t="shared" si="2"/>
        <v>No</v>
      </c>
      <c r="H57" s="280" t="str">
        <f t="shared" si="2"/>
        <v>No</v>
      </c>
      <c r="I57" s="280" t="str">
        <f t="shared" si="2"/>
        <v>No</v>
      </c>
      <c r="J57" s="280" t="str">
        <f t="shared" si="2"/>
        <v>No</v>
      </c>
      <c r="K57" s="280" t="str">
        <f t="shared" si="2"/>
        <v>No</v>
      </c>
      <c r="L57" s="280" t="str">
        <f t="shared" si="2"/>
        <v>No</v>
      </c>
      <c r="M57" s="280" t="str">
        <f t="shared" si="2"/>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8.75" customHeight="1" x14ac:dyDescent="0.3">
      <c r="A58" s="484"/>
      <c r="B58" s="317"/>
      <c r="C58" s="318"/>
      <c r="D58" s="312"/>
      <c r="E58" s="283"/>
      <c r="F58" s="280"/>
      <c r="G58" s="280"/>
      <c r="H58" s="280"/>
      <c r="I58" s="280"/>
      <c r="J58" s="280"/>
      <c r="K58" s="280"/>
      <c r="L58" s="280"/>
      <c r="M58" s="280"/>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8.75" customHeight="1" x14ac:dyDescent="0.3">
      <c r="A59" s="484"/>
      <c r="B59" s="317"/>
      <c r="C59" s="318"/>
      <c r="D59" s="312"/>
      <c r="E59" s="283"/>
      <c r="F59" s="280"/>
      <c r="G59" s="280"/>
      <c r="H59" s="280"/>
      <c r="I59" s="280"/>
      <c r="J59" s="280"/>
      <c r="K59" s="280"/>
      <c r="L59" s="280"/>
      <c r="M59" s="280"/>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8.75" customHeight="1" x14ac:dyDescent="0.3">
      <c r="A60" s="484"/>
      <c r="B60" s="317"/>
      <c r="C60" s="318"/>
      <c r="D60" s="312"/>
      <c r="E60" s="283"/>
      <c r="F60" s="280" t="str">
        <f t="shared" ref="F60:F69" si="3">IFERROR(IF($E60="","No",IF($E60="No","No"," "))," ")</f>
        <v>No</v>
      </c>
      <c r="G60" s="280" t="str">
        <f t="shared" ref="G60:M60" si="4">IFERROR(IF($E60="","No",IF($E60="No","No"," "))," ")</f>
        <v>No</v>
      </c>
      <c r="H60" s="280" t="str">
        <f t="shared" si="4"/>
        <v>No</v>
      </c>
      <c r="I60" s="280" t="str">
        <f t="shared" si="4"/>
        <v>No</v>
      </c>
      <c r="J60" s="280" t="str">
        <f t="shared" si="4"/>
        <v>No</v>
      </c>
      <c r="K60" s="280" t="str">
        <f t="shared" si="4"/>
        <v>No</v>
      </c>
      <c r="L60" s="280" t="str">
        <f t="shared" si="4"/>
        <v>No</v>
      </c>
      <c r="M60" s="280" t="str">
        <f t="shared" si="4"/>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8.75" customHeight="1" x14ac:dyDescent="0.3">
      <c r="A61" s="484"/>
      <c r="B61" s="317"/>
      <c r="C61" s="318"/>
      <c r="D61" s="312"/>
      <c r="E61" s="283"/>
      <c r="F61" s="280"/>
      <c r="G61" s="280"/>
      <c r="H61" s="280"/>
      <c r="I61" s="280"/>
      <c r="J61" s="280"/>
      <c r="K61" s="280"/>
      <c r="L61" s="280"/>
      <c r="M61" s="280"/>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8.75" customHeight="1" x14ac:dyDescent="0.3">
      <c r="A62" s="484"/>
      <c r="B62" s="317"/>
      <c r="C62" s="318"/>
      <c r="D62" s="312"/>
      <c r="E62" s="283"/>
      <c r="F62" s="280"/>
      <c r="G62" s="280"/>
      <c r="H62" s="280"/>
      <c r="I62" s="280"/>
      <c r="J62" s="280"/>
      <c r="K62" s="280"/>
      <c r="L62" s="280"/>
      <c r="M62" s="280"/>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8.75" customHeight="1" x14ac:dyDescent="0.3">
      <c r="A63" s="484"/>
      <c r="B63" s="317"/>
      <c r="C63" s="318"/>
      <c r="D63" s="312"/>
      <c r="E63" s="283"/>
      <c r="F63" s="280" t="str">
        <f t="shared" si="3"/>
        <v>No</v>
      </c>
      <c r="G63" s="280" t="str">
        <f t="shared" ref="G63:M63" si="5">IFERROR(IF($E63="","No",IF($E63="No","No"," "))," ")</f>
        <v>No</v>
      </c>
      <c r="H63" s="280" t="str">
        <f t="shared" si="5"/>
        <v>No</v>
      </c>
      <c r="I63" s="280" t="str">
        <f t="shared" si="5"/>
        <v>No</v>
      </c>
      <c r="J63" s="280" t="str">
        <f t="shared" si="5"/>
        <v>No</v>
      </c>
      <c r="K63" s="280" t="str">
        <f t="shared" si="5"/>
        <v>No</v>
      </c>
      <c r="L63" s="280" t="str">
        <f t="shared" si="5"/>
        <v>No</v>
      </c>
      <c r="M63" s="280" t="str">
        <f t="shared" si="5"/>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8.75" customHeight="1" x14ac:dyDescent="0.3">
      <c r="A64" s="484"/>
      <c r="B64" s="317"/>
      <c r="C64" s="318"/>
      <c r="D64" s="312"/>
      <c r="E64" s="283"/>
      <c r="F64" s="280"/>
      <c r="G64" s="280"/>
      <c r="H64" s="280"/>
      <c r="I64" s="280"/>
      <c r="J64" s="280"/>
      <c r="K64" s="280"/>
      <c r="L64" s="280"/>
      <c r="M64" s="280"/>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8.75" customHeight="1" x14ac:dyDescent="0.3">
      <c r="A65" s="484"/>
      <c r="B65" s="317"/>
      <c r="C65" s="318"/>
      <c r="D65" s="312"/>
      <c r="E65" s="283"/>
      <c r="F65" s="280"/>
      <c r="G65" s="280"/>
      <c r="H65" s="280"/>
      <c r="I65" s="280"/>
      <c r="J65" s="280"/>
      <c r="K65" s="280"/>
      <c r="L65" s="280"/>
      <c r="M65" s="280"/>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8.75" customHeight="1" x14ac:dyDescent="0.3">
      <c r="A66" s="484"/>
      <c r="B66" s="317"/>
      <c r="C66" s="318"/>
      <c r="D66" s="312"/>
      <c r="E66" s="283"/>
      <c r="F66" s="280" t="str">
        <f t="shared" si="3"/>
        <v>No</v>
      </c>
      <c r="G66" s="280" t="str">
        <f t="shared" ref="G66:M66" si="6">IFERROR(IF($E66="","No",IF($E66="No","No"," "))," ")</f>
        <v>No</v>
      </c>
      <c r="H66" s="280" t="str">
        <f t="shared" si="6"/>
        <v>No</v>
      </c>
      <c r="I66" s="280" t="str">
        <f t="shared" si="6"/>
        <v>No</v>
      </c>
      <c r="J66" s="280" t="str">
        <f t="shared" si="6"/>
        <v>No</v>
      </c>
      <c r="K66" s="280" t="str">
        <f t="shared" si="6"/>
        <v>No</v>
      </c>
      <c r="L66" s="280" t="str">
        <f t="shared" si="6"/>
        <v>No</v>
      </c>
      <c r="M66" s="280" t="str">
        <f t="shared" si="6"/>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8.75" customHeight="1" x14ac:dyDescent="0.3">
      <c r="A67" s="484"/>
      <c r="B67" s="317"/>
      <c r="C67" s="318"/>
      <c r="D67" s="312"/>
      <c r="E67" s="283"/>
      <c r="F67" s="280"/>
      <c r="G67" s="280"/>
      <c r="H67" s="280"/>
      <c r="I67" s="280"/>
      <c r="J67" s="280"/>
      <c r="K67" s="280"/>
      <c r="L67" s="280"/>
      <c r="M67" s="280"/>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8.75" customHeight="1" x14ac:dyDescent="0.3">
      <c r="A68" s="484"/>
      <c r="B68" s="317"/>
      <c r="C68" s="318"/>
      <c r="D68" s="312"/>
      <c r="E68" s="283"/>
      <c r="F68" s="280"/>
      <c r="G68" s="280"/>
      <c r="H68" s="280"/>
      <c r="I68" s="280"/>
      <c r="J68" s="280"/>
      <c r="K68" s="280"/>
      <c r="L68" s="280"/>
      <c r="M68" s="280"/>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8.75" customHeight="1" x14ac:dyDescent="0.3">
      <c r="A69" s="484"/>
      <c r="B69" s="317"/>
      <c r="C69" s="318"/>
      <c r="D69" s="312"/>
      <c r="E69" s="283"/>
      <c r="F69" s="280" t="str">
        <f t="shared" si="3"/>
        <v>No</v>
      </c>
      <c r="G69" s="280" t="str">
        <f t="shared" ref="G69:M69" si="7">IFERROR(IF($E69="","No",IF($E69="No","No"," "))," ")</f>
        <v>No</v>
      </c>
      <c r="H69" s="280" t="str">
        <f t="shared" si="7"/>
        <v>No</v>
      </c>
      <c r="I69" s="280" t="str">
        <f t="shared" si="7"/>
        <v>No</v>
      </c>
      <c r="J69" s="280" t="str">
        <f t="shared" si="7"/>
        <v>No</v>
      </c>
      <c r="K69" s="280" t="str">
        <f t="shared" si="7"/>
        <v>No</v>
      </c>
      <c r="L69" s="280" t="str">
        <f t="shared" si="7"/>
        <v>No</v>
      </c>
      <c r="M69" s="280" t="str">
        <f t="shared" si="7"/>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8.75" customHeight="1" x14ac:dyDescent="0.3">
      <c r="A70" s="484"/>
      <c r="B70" s="317"/>
      <c r="C70" s="318"/>
      <c r="D70" s="312"/>
      <c r="E70" s="283"/>
      <c r="F70" s="280"/>
      <c r="G70" s="280"/>
      <c r="H70" s="280"/>
      <c r="I70" s="280"/>
      <c r="J70" s="280"/>
      <c r="K70" s="280"/>
      <c r="L70" s="280"/>
      <c r="M70" s="280"/>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8.75" customHeight="1" x14ac:dyDescent="0.3">
      <c r="A71" s="484"/>
      <c r="B71" s="317"/>
      <c r="C71" s="318"/>
      <c r="D71" s="312"/>
      <c r="E71" s="283"/>
      <c r="F71" s="280"/>
      <c r="G71" s="280"/>
      <c r="H71" s="280"/>
      <c r="I71" s="280"/>
      <c r="J71" s="280"/>
      <c r="K71" s="280"/>
      <c r="L71" s="280"/>
      <c r="M71" s="280"/>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sheetData>
  <sheetProtection algorithmName="SHA-512" hashValue="ZlqxR//h8jc8kyGV4tVnvfolZrwS2zQ1MO4aj2EtpAZEVPyRftQqcXPUYoW1RmrDk1Aro4Eb5WdiHvFiZ5M0ZQ==" saltValue="6s6IaaRM7zYuxaw+UKnfMQ==" spinCount="100000" sheet="1" objects="1" scenarios="1"/>
  <mergeCells count="255">
    <mergeCell ref="M63:M65"/>
    <mergeCell ref="B66:B68"/>
    <mergeCell ref="C66:C68"/>
    <mergeCell ref="D66:D68"/>
    <mergeCell ref="E66:E68"/>
    <mergeCell ref="F66:F68"/>
    <mergeCell ref="B63:B65"/>
    <mergeCell ref="C63:C65"/>
    <mergeCell ref="D63:D65"/>
    <mergeCell ref="E63:E65"/>
    <mergeCell ref="F63:F65"/>
    <mergeCell ref="G63:G65"/>
    <mergeCell ref="H63:H65"/>
    <mergeCell ref="I63:I65"/>
    <mergeCell ref="J63:J65"/>
    <mergeCell ref="K60:K62"/>
    <mergeCell ref="L60:L62"/>
    <mergeCell ref="M60:M62"/>
    <mergeCell ref="K69:K71"/>
    <mergeCell ref="L69:L71"/>
    <mergeCell ref="M69:M71"/>
    <mergeCell ref="M66:M68"/>
    <mergeCell ref="B69:B71"/>
    <mergeCell ref="C69:C71"/>
    <mergeCell ref="D69:D71"/>
    <mergeCell ref="E69:E71"/>
    <mergeCell ref="F69:F71"/>
    <mergeCell ref="G69:G71"/>
    <mergeCell ref="H69:H71"/>
    <mergeCell ref="I69:I71"/>
    <mergeCell ref="J69:J71"/>
    <mergeCell ref="G66:G68"/>
    <mergeCell ref="H66:H68"/>
    <mergeCell ref="I66:I68"/>
    <mergeCell ref="J66:J68"/>
    <mergeCell ref="K66:K68"/>
    <mergeCell ref="L66:L68"/>
    <mergeCell ref="K63:K65"/>
    <mergeCell ref="L63:L65"/>
    <mergeCell ref="B60:B62"/>
    <mergeCell ref="C60:C62"/>
    <mergeCell ref="D60:D62"/>
    <mergeCell ref="E60:E62"/>
    <mergeCell ref="F60:F62"/>
    <mergeCell ref="G60:G62"/>
    <mergeCell ref="H60:H62"/>
    <mergeCell ref="I60:I62"/>
    <mergeCell ref="J60:J62"/>
    <mergeCell ref="H51:H53"/>
    <mergeCell ref="I51:I53"/>
    <mergeCell ref="J51:J53"/>
    <mergeCell ref="B57:B59"/>
    <mergeCell ref="C57:C59"/>
    <mergeCell ref="D57:D59"/>
    <mergeCell ref="E57:E59"/>
    <mergeCell ref="F57:F59"/>
    <mergeCell ref="M57:M59"/>
    <mergeCell ref="G57:G59"/>
    <mergeCell ref="H57:H59"/>
    <mergeCell ref="I57:I59"/>
    <mergeCell ref="J57:J59"/>
    <mergeCell ref="K57:K59"/>
    <mergeCell ref="L57:L59"/>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K42:K44"/>
    <mergeCell ref="L42:L44"/>
    <mergeCell ref="M42:M44"/>
    <mergeCell ref="K45:K47"/>
    <mergeCell ref="L45:L47"/>
    <mergeCell ref="M45:M47"/>
    <mergeCell ref="B48:B50"/>
    <mergeCell ref="C48:C50"/>
    <mergeCell ref="D48:D50"/>
    <mergeCell ref="E48:E50"/>
    <mergeCell ref="F48:F50"/>
    <mergeCell ref="M48:M50"/>
    <mergeCell ref="G48:G50"/>
    <mergeCell ref="H48:H50"/>
    <mergeCell ref="I48:I50"/>
    <mergeCell ref="J48:J50"/>
    <mergeCell ref="K48:K50"/>
    <mergeCell ref="L48:L50"/>
    <mergeCell ref="B45:B47"/>
    <mergeCell ref="C45:C47"/>
    <mergeCell ref="D45:D47"/>
    <mergeCell ref="E45:E47"/>
    <mergeCell ref="F45:F47"/>
    <mergeCell ref="G45:G47"/>
    <mergeCell ref="B42:B44"/>
    <mergeCell ref="C42:C44"/>
    <mergeCell ref="D42:D44"/>
    <mergeCell ref="E42:E44"/>
    <mergeCell ref="F42:F44"/>
    <mergeCell ref="G42:G44"/>
    <mergeCell ref="H42:H44"/>
    <mergeCell ref="I42:I44"/>
    <mergeCell ref="J42:J44"/>
    <mergeCell ref="B39:B41"/>
    <mergeCell ref="C39:C41"/>
    <mergeCell ref="D39:D41"/>
    <mergeCell ref="E39:E41"/>
    <mergeCell ref="F39:F41"/>
    <mergeCell ref="M39:M41"/>
    <mergeCell ref="G39:G41"/>
    <mergeCell ref="H39:H41"/>
    <mergeCell ref="I39:I41"/>
    <mergeCell ref="J39:J41"/>
    <mergeCell ref="K39:K41"/>
    <mergeCell ref="L39:L41"/>
    <mergeCell ref="K33:K35"/>
    <mergeCell ref="L33:L35"/>
    <mergeCell ref="M33:M35"/>
    <mergeCell ref="B36:B38"/>
    <mergeCell ref="C36:C38"/>
    <mergeCell ref="D36:D38"/>
    <mergeCell ref="E36:E38"/>
    <mergeCell ref="F36:F38"/>
    <mergeCell ref="G36:G38"/>
    <mergeCell ref="H36:H38"/>
    <mergeCell ref="I36:I38"/>
    <mergeCell ref="J36:J38"/>
    <mergeCell ref="K36:K38"/>
    <mergeCell ref="L36:L38"/>
    <mergeCell ref="M36:M38"/>
    <mergeCell ref="B33:B35"/>
    <mergeCell ref="C33:C35"/>
    <mergeCell ref="D33:D35"/>
    <mergeCell ref="E33:E35"/>
    <mergeCell ref="F33:F35"/>
    <mergeCell ref="G33:G35"/>
    <mergeCell ref="H33:H35"/>
    <mergeCell ref="I33:I35"/>
    <mergeCell ref="J33:J35"/>
    <mergeCell ref="B27:B29"/>
    <mergeCell ref="C27:C29"/>
    <mergeCell ref="D27:D29"/>
    <mergeCell ref="E27:E29"/>
    <mergeCell ref="F27:F29"/>
    <mergeCell ref="G27:G29"/>
    <mergeCell ref="H27:H29"/>
    <mergeCell ref="I27:I29"/>
    <mergeCell ref="J27:J29"/>
    <mergeCell ref="B30:B32"/>
    <mergeCell ref="C30:C32"/>
    <mergeCell ref="D30:D32"/>
    <mergeCell ref="E30:E32"/>
    <mergeCell ref="F30:F32"/>
    <mergeCell ref="M30:M32"/>
    <mergeCell ref="G30:G32"/>
    <mergeCell ref="H30:H32"/>
    <mergeCell ref="I30:I32"/>
    <mergeCell ref="J30:J32"/>
    <mergeCell ref="K30:K32"/>
    <mergeCell ref="L30:L32"/>
    <mergeCell ref="H24:H26"/>
    <mergeCell ref="I24:I26"/>
    <mergeCell ref="J24:J26"/>
    <mergeCell ref="K24:K26"/>
    <mergeCell ref="L24:L26"/>
    <mergeCell ref="M24:M26"/>
    <mergeCell ref="K27:K29"/>
    <mergeCell ref="L27:L29"/>
    <mergeCell ref="M27:M29"/>
    <mergeCell ref="B18:B20"/>
    <mergeCell ref="C18:C20"/>
    <mergeCell ref="D18:D20"/>
    <mergeCell ref="B24:B26"/>
    <mergeCell ref="C24:C26"/>
    <mergeCell ref="D24:D26"/>
    <mergeCell ref="E24:E26"/>
    <mergeCell ref="F24:F26"/>
    <mergeCell ref="G24:G26"/>
    <mergeCell ref="K18:K20"/>
    <mergeCell ref="L18:L20"/>
    <mergeCell ref="M18:M20"/>
    <mergeCell ref="G12:G14"/>
    <mergeCell ref="B21:B23"/>
    <mergeCell ref="C21:C23"/>
    <mergeCell ref="D21:D23"/>
    <mergeCell ref="E21:E23"/>
    <mergeCell ref="F21:F23"/>
    <mergeCell ref="M21:M23"/>
    <mergeCell ref="G21:G23"/>
    <mergeCell ref="H21:H23"/>
    <mergeCell ref="I21:I23"/>
    <mergeCell ref="J21:J23"/>
    <mergeCell ref="K21:K23"/>
    <mergeCell ref="L21:L23"/>
    <mergeCell ref="B15:B17"/>
    <mergeCell ref="C15:C17"/>
    <mergeCell ref="D15:D17"/>
    <mergeCell ref="H12:H14"/>
    <mergeCell ref="I12:I14"/>
    <mergeCell ref="J12:J14"/>
    <mergeCell ref="L15:L17"/>
    <mergeCell ref="M15:M17"/>
    <mergeCell ref="A2:C2"/>
    <mergeCell ref="D2:L2"/>
    <mergeCell ref="M2:M3"/>
    <mergeCell ref="A3:C6"/>
    <mergeCell ref="D3:L4"/>
    <mergeCell ref="D5:L5"/>
    <mergeCell ref="D6:L6"/>
    <mergeCell ref="A12:A71"/>
    <mergeCell ref="B12:B14"/>
    <mergeCell ref="C12:C14"/>
    <mergeCell ref="D12:D14"/>
    <mergeCell ref="E12:E14"/>
    <mergeCell ref="F12:F14"/>
    <mergeCell ref="A7:M7"/>
    <mergeCell ref="A9:M9"/>
    <mergeCell ref="A10:A11"/>
    <mergeCell ref="B10:C10"/>
    <mergeCell ref="D10:D11"/>
    <mergeCell ref="E18:E20"/>
    <mergeCell ref="F18:F20"/>
    <mergeCell ref="G18:G20"/>
    <mergeCell ref="H18:H20"/>
    <mergeCell ref="I18:I20"/>
    <mergeCell ref="J18:J20"/>
    <mergeCell ref="E10:E11"/>
    <mergeCell ref="F10:M10"/>
    <mergeCell ref="M12:M14"/>
    <mergeCell ref="K12:K14"/>
    <mergeCell ref="L12:L14"/>
    <mergeCell ref="K15:K17"/>
    <mergeCell ref="E15:E17"/>
    <mergeCell ref="F15:F17"/>
    <mergeCell ref="G15:G17"/>
    <mergeCell ref="H15:H17"/>
    <mergeCell ref="I15:I17"/>
    <mergeCell ref="J15:J17"/>
  </mergeCells>
  <conditionalFormatting sqref="F12:M71">
    <cfRule type="containsText" dxfId="1"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Tratamiento'!$D$32:$D$33</xm:f>
          </x14:formula1>
          <xm:sqref>H12:H71</xm:sqref>
        </x14:dataValidation>
        <x14:dataValidation type="list" allowBlank="1" showInputMessage="1" showErrorMessage="1">
          <x14:formula1>
            <xm:f>'Opciones Tratamiento'!$D$27:$D$29</xm:f>
          </x14:formula1>
          <xm:sqref>E12:E71</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dimension ref="A1:BR47"/>
  <sheetViews>
    <sheetView view="pageBreakPreview" topLeftCell="A3" zoomScale="40" zoomScaleNormal="10" zoomScaleSheetLayoutView="40" workbookViewId="0">
      <selection activeCell="D10" sqref="D10:D11"/>
    </sheetView>
  </sheetViews>
  <sheetFormatPr baseColWidth="10" defaultColWidth="11.42578125" defaultRowHeight="16.5" x14ac:dyDescent="0.3"/>
  <cols>
    <col min="1" max="1" width="54.42578125" style="149" bestFit="1" customWidth="1"/>
    <col min="2" max="2" width="31.5703125" style="149" bestFit="1" customWidth="1"/>
    <col min="3" max="4" width="91.140625" style="149" customWidth="1"/>
    <col min="5" max="5" width="41.5703125" style="149" customWidth="1"/>
    <col min="6" max="6" width="90.85546875" style="149" customWidth="1"/>
    <col min="7" max="8" width="45.140625" style="149" customWidth="1"/>
    <col min="9" max="10" width="90.85546875" style="149" customWidth="1"/>
    <col min="11" max="11" width="54.42578125" style="149" customWidth="1"/>
    <col min="12" max="12" width="38.71093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319" t="s">
        <v>60</v>
      </c>
      <c r="B2" s="320"/>
      <c r="C2" s="320"/>
      <c r="D2" s="332" t="s">
        <v>109</v>
      </c>
      <c r="E2" s="333"/>
      <c r="F2" s="333"/>
      <c r="G2" s="333"/>
      <c r="H2" s="333"/>
      <c r="I2" s="333"/>
      <c r="J2" s="333"/>
      <c r="K2" s="333"/>
      <c r="L2" s="334"/>
      <c r="M2" s="321" t="s">
        <v>110</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323"/>
      <c r="B3" s="324"/>
      <c r="C3" s="324"/>
      <c r="D3" s="335" t="s">
        <v>63</v>
      </c>
      <c r="E3" s="336"/>
      <c r="F3" s="336"/>
      <c r="G3" s="336"/>
      <c r="H3" s="336"/>
      <c r="I3" s="336"/>
      <c r="J3" s="336"/>
      <c r="K3" s="336"/>
      <c r="L3" s="337"/>
      <c r="M3" s="322"/>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323"/>
      <c r="B4" s="324"/>
      <c r="C4" s="324"/>
      <c r="D4" s="338"/>
      <c r="E4" s="339"/>
      <c r="F4" s="339"/>
      <c r="G4" s="339"/>
      <c r="H4" s="339"/>
      <c r="I4" s="339"/>
      <c r="J4" s="339"/>
      <c r="K4" s="339"/>
      <c r="L4" s="340"/>
      <c r="M4" s="174"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323"/>
      <c r="B5" s="324"/>
      <c r="C5" s="324"/>
      <c r="D5" s="341" t="s">
        <v>65</v>
      </c>
      <c r="E5" s="342"/>
      <c r="F5" s="342"/>
      <c r="G5" s="342"/>
      <c r="H5" s="342"/>
      <c r="I5" s="342"/>
      <c r="J5" s="342"/>
      <c r="K5" s="342"/>
      <c r="L5" s="343"/>
      <c r="M5" s="174" t="s">
        <v>111</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323"/>
      <c r="B6" s="324"/>
      <c r="C6" s="324"/>
      <c r="D6" s="344" t="s">
        <v>67</v>
      </c>
      <c r="E6" s="345"/>
      <c r="F6" s="345"/>
      <c r="G6" s="345"/>
      <c r="H6" s="345"/>
      <c r="I6" s="345"/>
      <c r="J6" s="345"/>
      <c r="K6" s="345"/>
      <c r="L6" s="346"/>
      <c r="M6" s="18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325"/>
      <c r="B7" s="326"/>
      <c r="C7" s="326"/>
      <c r="D7" s="326"/>
      <c r="E7" s="326"/>
      <c r="F7" s="326"/>
      <c r="G7" s="326"/>
      <c r="H7" s="326"/>
      <c r="I7" s="326"/>
      <c r="J7" s="326"/>
      <c r="K7" s="326"/>
      <c r="L7" s="326"/>
      <c r="M7" s="327"/>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487" t="s">
        <v>160</v>
      </c>
      <c r="B9" s="488"/>
      <c r="C9" s="488"/>
      <c r="D9" s="488"/>
      <c r="E9" s="488"/>
      <c r="F9" s="488"/>
      <c r="G9" s="488"/>
      <c r="H9" s="488"/>
      <c r="I9" s="488"/>
      <c r="J9" s="488"/>
      <c r="K9" s="488"/>
      <c r="L9" s="488"/>
      <c r="M9" s="488"/>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99.75" customHeight="1" x14ac:dyDescent="0.35">
      <c r="A10" s="489" t="s">
        <v>161</v>
      </c>
      <c r="B10" s="490" t="s">
        <v>113</v>
      </c>
      <c r="C10" s="490"/>
      <c r="D10" s="490" t="s">
        <v>162</v>
      </c>
      <c r="E10" s="490" t="s">
        <v>115</v>
      </c>
      <c r="F10" s="490" t="s">
        <v>116</v>
      </c>
      <c r="G10" s="490"/>
      <c r="H10" s="490"/>
      <c r="I10" s="490"/>
      <c r="J10" s="490"/>
      <c r="K10" s="490"/>
      <c r="L10" s="490"/>
      <c r="M10" s="490"/>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11.5" customHeight="1" x14ac:dyDescent="0.35">
      <c r="A11" s="489"/>
      <c r="B11" s="156" t="s">
        <v>117</v>
      </c>
      <c r="C11" s="156" t="s">
        <v>21</v>
      </c>
      <c r="D11" s="490"/>
      <c r="E11" s="490"/>
      <c r="F11" s="156" t="s">
        <v>163</v>
      </c>
      <c r="G11" s="156" t="s">
        <v>119</v>
      </c>
      <c r="H11" s="156" t="s">
        <v>164</v>
      </c>
      <c r="I11" s="156" t="s">
        <v>165</v>
      </c>
      <c r="J11" s="156" t="s">
        <v>127</v>
      </c>
      <c r="K11" s="156" t="s">
        <v>95</v>
      </c>
      <c r="L11" s="156" t="s">
        <v>123</v>
      </c>
      <c r="M11" s="156" t="s">
        <v>124</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48.75" customHeight="1" x14ac:dyDescent="0.3">
      <c r="A12" s="491" t="s">
        <v>166</v>
      </c>
      <c r="B12" s="317"/>
      <c r="C12" s="318"/>
      <c r="D12" s="312"/>
      <c r="E12" s="283"/>
      <c r="F12" s="280" t="str">
        <f t="shared" ref="F12:M12" si="0">IFERROR(IF($E12="","No",IF($E12="No","No"," "))," ")</f>
        <v>No</v>
      </c>
      <c r="G12" s="280" t="str">
        <f t="shared" si="0"/>
        <v>No</v>
      </c>
      <c r="H12" s="280" t="str">
        <f t="shared" si="0"/>
        <v>No</v>
      </c>
      <c r="I12" s="280" t="str">
        <f t="shared" si="0"/>
        <v>No</v>
      </c>
      <c r="J12" s="280" t="str">
        <f t="shared" si="0"/>
        <v>No</v>
      </c>
      <c r="K12" s="280" t="str">
        <f t="shared" si="0"/>
        <v>No</v>
      </c>
      <c r="L12" s="280" t="str">
        <f t="shared" si="0"/>
        <v>No</v>
      </c>
      <c r="M12" s="280"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48.75" customHeight="1" x14ac:dyDescent="0.3">
      <c r="A13" s="491"/>
      <c r="B13" s="317"/>
      <c r="C13" s="318"/>
      <c r="D13" s="312"/>
      <c r="E13" s="283"/>
      <c r="F13" s="280"/>
      <c r="G13" s="280"/>
      <c r="H13" s="280"/>
      <c r="I13" s="280"/>
      <c r="J13" s="280"/>
      <c r="K13" s="280"/>
      <c r="L13" s="280"/>
      <c r="M13" s="280"/>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48.75" customHeight="1" x14ac:dyDescent="0.3">
      <c r="A14" s="491"/>
      <c r="B14" s="317"/>
      <c r="C14" s="318"/>
      <c r="D14" s="312"/>
      <c r="E14" s="283"/>
      <c r="F14" s="280"/>
      <c r="G14" s="280"/>
      <c r="H14" s="280"/>
      <c r="I14" s="280"/>
      <c r="J14" s="280"/>
      <c r="K14" s="280"/>
      <c r="L14" s="280"/>
      <c r="M14" s="280"/>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48.75" customHeight="1" x14ac:dyDescent="0.3">
      <c r="A15" s="491" t="s">
        <v>167</v>
      </c>
      <c r="B15" s="317"/>
      <c r="C15" s="318"/>
      <c r="D15" s="312"/>
      <c r="E15" s="283"/>
      <c r="F15" s="280" t="str">
        <f t="shared" ref="F15:M39" si="1">IFERROR(IF($E15="","No",IF($E15="No","No"," "))," ")</f>
        <v>No</v>
      </c>
      <c r="G15" s="280" t="str">
        <f t="shared" si="1"/>
        <v>No</v>
      </c>
      <c r="H15" s="280" t="str">
        <f t="shared" si="1"/>
        <v>No</v>
      </c>
      <c r="I15" s="280" t="str">
        <f t="shared" si="1"/>
        <v>No</v>
      </c>
      <c r="J15" s="280" t="str">
        <f t="shared" si="1"/>
        <v>No</v>
      </c>
      <c r="K15" s="280" t="str">
        <f t="shared" si="1"/>
        <v>No</v>
      </c>
      <c r="L15" s="280" t="str">
        <f t="shared" si="1"/>
        <v>No</v>
      </c>
      <c r="M15" s="280"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48.75" customHeight="1" x14ac:dyDescent="0.3">
      <c r="A16" s="491"/>
      <c r="B16" s="317"/>
      <c r="C16" s="318"/>
      <c r="D16" s="312"/>
      <c r="E16" s="283"/>
      <c r="F16" s="280"/>
      <c r="G16" s="280"/>
      <c r="H16" s="280"/>
      <c r="I16" s="280"/>
      <c r="J16" s="280"/>
      <c r="K16" s="280"/>
      <c r="L16" s="280"/>
      <c r="M16" s="280"/>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48.75" customHeight="1" x14ac:dyDescent="0.3">
      <c r="A17" s="491"/>
      <c r="B17" s="317"/>
      <c r="C17" s="318"/>
      <c r="D17" s="312"/>
      <c r="E17" s="283"/>
      <c r="F17" s="280"/>
      <c r="G17" s="280"/>
      <c r="H17" s="280"/>
      <c r="I17" s="280"/>
      <c r="J17" s="280"/>
      <c r="K17" s="280"/>
      <c r="L17" s="280"/>
      <c r="M17" s="280"/>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48.75" customHeight="1" x14ac:dyDescent="0.3">
      <c r="A18" s="491" t="s">
        <v>168</v>
      </c>
      <c r="B18" s="317"/>
      <c r="C18" s="318"/>
      <c r="D18" s="312"/>
      <c r="E18" s="283"/>
      <c r="F18" s="280" t="str">
        <f t="shared" si="1"/>
        <v>No</v>
      </c>
      <c r="G18" s="280" t="str">
        <f t="shared" si="1"/>
        <v>No</v>
      </c>
      <c r="H18" s="280" t="str">
        <f t="shared" si="1"/>
        <v>No</v>
      </c>
      <c r="I18" s="280" t="str">
        <f t="shared" si="1"/>
        <v>No</v>
      </c>
      <c r="J18" s="280" t="str">
        <f t="shared" si="1"/>
        <v>No</v>
      </c>
      <c r="K18" s="280" t="str">
        <f t="shared" si="1"/>
        <v>No</v>
      </c>
      <c r="L18" s="280" t="str">
        <f t="shared" si="1"/>
        <v>No</v>
      </c>
      <c r="M18" s="280"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48.75" customHeight="1" x14ac:dyDescent="0.3">
      <c r="A19" s="491"/>
      <c r="B19" s="317"/>
      <c r="C19" s="318"/>
      <c r="D19" s="312"/>
      <c r="E19" s="283"/>
      <c r="F19" s="280"/>
      <c r="G19" s="280"/>
      <c r="H19" s="280"/>
      <c r="I19" s="280"/>
      <c r="J19" s="280"/>
      <c r="K19" s="280"/>
      <c r="L19" s="280"/>
      <c r="M19" s="280"/>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48.75" customHeight="1" x14ac:dyDescent="0.3">
      <c r="A20" s="491"/>
      <c r="B20" s="317"/>
      <c r="C20" s="318"/>
      <c r="D20" s="312"/>
      <c r="E20" s="283"/>
      <c r="F20" s="280"/>
      <c r="G20" s="280"/>
      <c r="H20" s="280"/>
      <c r="I20" s="280"/>
      <c r="J20" s="280"/>
      <c r="K20" s="280"/>
      <c r="L20" s="280"/>
      <c r="M20" s="280"/>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48.75" customHeight="1" x14ac:dyDescent="0.3">
      <c r="A21" s="491" t="s">
        <v>169</v>
      </c>
      <c r="B21" s="317"/>
      <c r="C21" s="318"/>
      <c r="D21" s="312"/>
      <c r="E21" s="283"/>
      <c r="F21" s="280" t="str">
        <f t="shared" si="1"/>
        <v>No</v>
      </c>
      <c r="G21" s="280" t="str">
        <f t="shared" si="1"/>
        <v>No</v>
      </c>
      <c r="H21" s="280" t="str">
        <f t="shared" si="1"/>
        <v>No</v>
      </c>
      <c r="I21" s="280" t="str">
        <f t="shared" si="1"/>
        <v>No</v>
      </c>
      <c r="J21" s="280" t="str">
        <f t="shared" si="1"/>
        <v>No</v>
      </c>
      <c r="K21" s="280" t="str">
        <f t="shared" si="1"/>
        <v>No</v>
      </c>
      <c r="L21" s="280" t="str">
        <f t="shared" si="1"/>
        <v>No</v>
      </c>
      <c r="M21" s="280"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48.75" customHeight="1" x14ac:dyDescent="0.3">
      <c r="A22" s="491"/>
      <c r="B22" s="317"/>
      <c r="C22" s="318"/>
      <c r="D22" s="312"/>
      <c r="E22" s="283"/>
      <c r="F22" s="280"/>
      <c r="G22" s="280"/>
      <c r="H22" s="280"/>
      <c r="I22" s="280"/>
      <c r="J22" s="280"/>
      <c r="K22" s="280"/>
      <c r="L22" s="280"/>
      <c r="M22" s="280"/>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48.75" customHeight="1" x14ac:dyDescent="0.3">
      <c r="A23" s="491"/>
      <c r="B23" s="317"/>
      <c r="C23" s="318"/>
      <c r="D23" s="312"/>
      <c r="E23" s="283"/>
      <c r="F23" s="280"/>
      <c r="G23" s="280"/>
      <c r="H23" s="280"/>
      <c r="I23" s="280"/>
      <c r="J23" s="280"/>
      <c r="K23" s="280"/>
      <c r="L23" s="280"/>
      <c r="M23" s="280"/>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48.75" customHeight="1" x14ac:dyDescent="0.3">
      <c r="A24" s="491" t="s">
        <v>170</v>
      </c>
      <c r="B24" s="317"/>
      <c r="C24" s="318"/>
      <c r="D24" s="312"/>
      <c r="E24" s="283"/>
      <c r="F24" s="280" t="str">
        <f t="shared" si="1"/>
        <v>No</v>
      </c>
      <c r="G24" s="280" t="str">
        <f t="shared" si="1"/>
        <v>No</v>
      </c>
      <c r="H24" s="280" t="str">
        <f t="shared" si="1"/>
        <v>No</v>
      </c>
      <c r="I24" s="280" t="str">
        <f t="shared" si="1"/>
        <v>No</v>
      </c>
      <c r="J24" s="280" t="str">
        <f t="shared" si="1"/>
        <v>No</v>
      </c>
      <c r="K24" s="280" t="str">
        <f t="shared" si="1"/>
        <v>No</v>
      </c>
      <c r="L24" s="280" t="str">
        <f t="shared" si="1"/>
        <v>No</v>
      </c>
      <c r="M24" s="280"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48.75" customHeight="1" x14ac:dyDescent="0.3">
      <c r="A25" s="491"/>
      <c r="B25" s="317"/>
      <c r="C25" s="318"/>
      <c r="D25" s="312"/>
      <c r="E25" s="283"/>
      <c r="F25" s="280"/>
      <c r="G25" s="280"/>
      <c r="H25" s="280"/>
      <c r="I25" s="280"/>
      <c r="J25" s="280"/>
      <c r="K25" s="280"/>
      <c r="L25" s="280"/>
      <c r="M25" s="280"/>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48.75" customHeight="1" x14ac:dyDescent="0.3">
      <c r="A26" s="491"/>
      <c r="B26" s="317"/>
      <c r="C26" s="318"/>
      <c r="D26" s="312"/>
      <c r="E26" s="283"/>
      <c r="F26" s="280"/>
      <c r="G26" s="280"/>
      <c r="H26" s="280"/>
      <c r="I26" s="280"/>
      <c r="J26" s="280"/>
      <c r="K26" s="280"/>
      <c r="L26" s="280"/>
      <c r="M26" s="280"/>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48.75" customHeight="1" x14ac:dyDescent="0.3">
      <c r="A27" s="491" t="s">
        <v>171</v>
      </c>
      <c r="B27" s="317"/>
      <c r="C27" s="318"/>
      <c r="D27" s="312"/>
      <c r="E27" s="283"/>
      <c r="F27" s="280" t="str">
        <f t="shared" si="1"/>
        <v>No</v>
      </c>
      <c r="G27" s="280" t="str">
        <f t="shared" si="1"/>
        <v>No</v>
      </c>
      <c r="H27" s="280" t="str">
        <f t="shared" si="1"/>
        <v>No</v>
      </c>
      <c r="I27" s="280" t="str">
        <f t="shared" si="1"/>
        <v>No</v>
      </c>
      <c r="J27" s="280" t="str">
        <f t="shared" si="1"/>
        <v>No</v>
      </c>
      <c r="K27" s="280" t="str">
        <f t="shared" si="1"/>
        <v>No</v>
      </c>
      <c r="L27" s="280" t="str">
        <f t="shared" si="1"/>
        <v>No</v>
      </c>
      <c r="M27" s="280"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48.75" customHeight="1" x14ac:dyDescent="0.3">
      <c r="A28" s="491"/>
      <c r="B28" s="317"/>
      <c r="C28" s="318"/>
      <c r="D28" s="312"/>
      <c r="E28" s="283"/>
      <c r="F28" s="280"/>
      <c r="G28" s="280"/>
      <c r="H28" s="280"/>
      <c r="I28" s="280"/>
      <c r="J28" s="280"/>
      <c r="K28" s="280"/>
      <c r="L28" s="280"/>
      <c r="M28" s="280"/>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48.75" customHeight="1" x14ac:dyDescent="0.3">
      <c r="A29" s="491"/>
      <c r="B29" s="317"/>
      <c r="C29" s="318"/>
      <c r="D29" s="312"/>
      <c r="E29" s="283"/>
      <c r="F29" s="280"/>
      <c r="G29" s="280"/>
      <c r="H29" s="280"/>
      <c r="I29" s="280"/>
      <c r="J29" s="280"/>
      <c r="K29" s="280"/>
      <c r="L29" s="280"/>
      <c r="M29" s="280"/>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48.75" customHeight="1" x14ac:dyDescent="0.3">
      <c r="A30" s="491" t="s">
        <v>172</v>
      </c>
      <c r="B30" s="317"/>
      <c r="C30" s="318"/>
      <c r="D30" s="312"/>
      <c r="E30" s="283"/>
      <c r="F30" s="280" t="str">
        <f t="shared" si="1"/>
        <v>No</v>
      </c>
      <c r="G30" s="280" t="str">
        <f t="shared" si="1"/>
        <v>No</v>
      </c>
      <c r="H30" s="280" t="str">
        <f t="shared" si="1"/>
        <v>No</v>
      </c>
      <c r="I30" s="280" t="str">
        <f t="shared" si="1"/>
        <v>No</v>
      </c>
      <c r="J30" s="280" t="str">
        <f t="shared" si="1"/>
        <v>No</v>
      </c>
      <c r="K30" s="280" t="str">
        <f t="shared" si="1"/>
        <v>No</v>
      </c>
      <c r="L30" s="280" t="str">
        <f t="shared" si="1"/>
        <v>No</v>
      </c>
      <c r="M30" s="280"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48.75" customHeight="1" x14ac:dyDescent="0.3">
      <c r="A31" s="491"/>
      <c r="B31" s="317"/>
      <c r="C31" s="318"/>
      <c r="D31" s="312"/>
      <c r="E31" s="283"/>
      <c r="F31" s="280"/>
      <c r="G31" s="280"/>
      <c r="H31" s="280"/>
      <c r="I31" s="280"/>
      <c r="J31" s="280"/>
      <c r="K31" s="280"/>
      <c r="L31" s="280"/>
      <c r="M31" s="280"/>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48.75" customHeight="1" x14ac:dyDescent="0.3">
      <c r="A32" s="491"/>
      <c r="B32" s="317"/>
      <c r="C32" s="318"/>
      <c r="D32" s="312"/>
      <c r="E32" s="283"/>
      <c r="F32" s="280"/>
      <c r="G32" s="280"/>
      <c r="H32" s="280"/>
      <c r="I32" s="280"/>
      <c r="J32" s="280"/>
      <c r="K32" s="280"/>
      <c r="L32" s="280"/>
      <c r="M32" s="280"/>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48.75" customHeight="1" x14ac:dyDescent="0.3">
      <c r="A33" s="491" t="s">
        <v>173</v>
      </c>
      <c r="B33" s="317"/>
      <c r="C33" s="318"/>
      <c r="D33" s="312"/>
      <c r="E33" s="283"/>
      <c r="F33" s="280" t="str">
        <f t="shared" si="1"/>
        <v>No</v>
      </c>
      <c r="G33" s="280" t="str">
        <f t="shared" si="1"/>
        <v>No</v>
      </c>
      <c r="H33" s="280" t="str">
        <f t="shared" si="1"/>
        <v>No</v>
      </c>
      <c r="I33" s="280" t="str">
        <f t="shared" si="1"/>
        <v>No</v>
      </c>
      <c r="J33" s="280" t="str">
        <f t="shared" si="1"/>
        <v>No</v>
      </c>
      <c r="K33" s="280" t="str">
        <f t="shared" si="1"/>
        <v>No</v>
      </c>
      <c r="L33" s="280" t="str">
        <f t="shared" si="1"/>
        <v>No</v>
      </c>
      <c r="M33" s="280"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48.75" customHeight="1" x14ac:dyDescent="0.3">
      <c r="A34" s="491"/>
      <c r="B34" s="317"/>
      <c r="C34" s="318"/>
      <c r="D34" s="312"/>
      <c r="E34" s="283"/>
      <c r="F34" s="280"/>
      <c r="G34" s="280"/>
      <c r="H34" s="280"/>
      <c r="I34" s="280"/>
      <c r="J34" s="280"/>
      <c r="K34" s="280"/>
      <c r="L34" s="280"/>
      <c r="M34" s="280"/>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48.75" customHeight="1" x14ac:dyDescent="0.3">
      <c r="A35" s="491"/>
      <c r="B35" s="317"/>
      <c r="C35" s="318"/>
      <c r="D35" s="312"/>
      <c r="E35" s="283"/>
      <c r="F35" s="280"/>
      <c r="G35" s="280"/>
      <c r="H35" s="280"/>
      <c r="I35" s="280"/>
      <c r="J35" s="280"/>
      <c r="K35" s="280"/>
      <c r="L35" s="280"/>
      <c r="M35" s="280"/>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48.75" customHeight="1" x14ac:dyDescent="0.3">
      <c r="A36" s="491" t="s">
        <v>174</v>
      </c>
      <c r="B36" s="317"/>
      <c r="C36" s="318"/>
      <c r="D36" s="312"/>
      <c r="E36" s="283"/>
      <c r="F36" s="280" t="str">
        <f t="shared" si="1"/>
        <v>No</v>
      </c>
      <c r="G36" s="280" t="str">
        <f t="shared" si="1"/>
        <v>No</v>
      </c>
      <c r="H36" s="280" t="str">
        <f t="shared" si="1"/>
        <v>No</v>
      </c>
      <c r="I36" s="280" t="str">
        <f t="shared" si="1"/>
        <v>No</v>
      </c>
      <c r="J36" s="280" t="str">
        <f t="shared" si="1"/>
        <v>No</v>
      </c>
      <c r="K36" s="280" t="str">
        <f t="shared" si="1"/>
        <v>No</v>
      </c>
      <c r="L36" s="280" t="str">
        <f t="shared" si="1"/>
        <v>No</v>
      </c>
      <c r="M36" s="280"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48.75" customHeight="1" x14ac:dyDescent="0.3">
      <c r="A37" s="491"/>
      <c r="B37" s="317"/>
      <c r="C37" s="318"/>
      <c r="D37" s="312"/>
      <c r="E37" s="283"/>
      <c r="F37" s="280"/>
      <c r="G37" s="280"/>
      <c r="H37" s="280"/>
      <c r="I37" s="280"/>
      <c r="J37" s="280"/>
      <c r="K37" s="280"/>
      <c r="L37" s="280"/>
      <c r="M37" s="280"/>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48.75" customHeight="1" x14ac:dyDescent="0.3">
      <c r="A38" s="491"/>
      <c r="B38" s="317"/>
      <c r="C38" s="318"/>
      <c r="D38" s="312"/>
      <c r="E38" s="283"/>
      <c r="F38" s="280"/>
      <c r="G38" s="280"/>
      <c r="H38" s="280"/>
      <c r="I38" s="280"/>
      <c r="J38" s="280"/>
      <c r="K38" s="280"/>
      <c r="L38" s="280"/>
      <c r="M38" s="280"/>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48.75" customHeight="1" x14ac:dyDescent="0.3">
      <c r="A39" s="491" t="s">
        <v>175</v>
      </c>
      <c r="B39" s="317"/>
      <c r="C39" s="318"/>
      <c r="D39" s="312"/>
      <c r="E39" s="283"/>
      <c r="F39" s="280" t="str">
        <f t="shared" si="1"/>
        <v>No</v>
      </c>
      <c r="G39" s="280" t="str">
        <f t="shared" si="1"/>
        <v>No</v>
      </c>
      <c r="H39" s="280" t="str">
        <f t="shared" si="1"/>
        <v>No</v>
      </c>
      <c r="I39" s="280" t="str">
        <f t="shared" si="1"/>
        <v>No</v>
      </c>
      <c r="J39" s="280" t="str">
        <f t="shared" si="1"/>
        <v>No</v>
      </c>
      <c r="K39" s="280" t="str">
        <f t="shared" si="1"/>
        <v>No</v>
      </c>
      <c r="L39" s="280" t="str">
        <f t="shared" si="1"/>
        <v>No</v>
      </c>
      <c r="M39" s="280"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48.75" customHeight="1" x14ac:dyDescent="0.3">
      <c r="A40" s="491"/>
      <c r="B40" s="317"/>
      <c r="C40" s="318"/>
      <c r="D40" s="312"/>
      <c r="E40" s="283"/>
      <c r="F40" s="280"/>
      <c r="G40" s="280"/>
      <c r="H40" s="280"/>
      <c r="I40" s="280"/>
      <c r="J40" s="280"/>
      <c r="K40" s="280"/>
      <c r="L40" s="280"/>
      <c r="M40" s="280"/>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48.75" customHeight="1" x14ac:dyDescent="0.3">
      <c r="A41" s="491"/>
      <c r="B41" s="317"/>
      <c r="C41" s="318"/>
      <c r="D41" s="312"/>
      <c r="E41" s="283"/>
      <c r="F41" s="280"/>
      <c r="G41" s="280"/>
      <c r="H41" s="280"/>
      <c r="I41" s="280"/>
      <c r="J41" s="280"/>
      <c r="K41" s="280"/>
      <c r="L41" s="280"/>
      <c r="M41" s="280"/>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491" t="s">
        <v>176</v>
      </c>
      <c r="B42" s="317"/>
      <c r="C42" s="318"/>
      <c r="D42" s="312"/>
      <c r="E42" s="283"/>
      <c r="F42" s="280" t="str">
        <f t="shared" ref="F42:M45" si="2">IFERROR(IF($E42="","No",IF($E42="No","No"," "))," ")</f>
        <v>No</v>
      </c>
      <c r="G42" s="280" t="str">
        <f t="shared" si="2"/>
        <v>No</v>
      </c>
      <c r="H42" s="280" t="str">
        <f t="shared" si="2"/>
        <v>No</v>
      </c>
      <c r="I42" s="280" t="str">
        <f t="shared" si="2"/>
        <v>No</v>
      </c>
      <c r="J42" s="280" t="str">
        <f t="shared" si="2"/>
        <v>No</v>
      </c>
      <c r="K42" s="280" t="str">
        <f t="shared" si="2"/>
        <v>No</v>
      </c>
      <c r="L42" s="280" t="str">
        <f t="shared" si="2"/>
        <v>No</v>
      </c>
      <c r="M42" s="280"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491"/>
      <c r="B43" s="317"/>
      <c r="C43" s="318"/>
      <c r="D43" s="312"/>
      <c r="E43" s="283"/>
      <c r="F43" s="280"/>
      <c r="G43" s="280"/>
      <c r="H43" s="280"/>
      <c r="I43" s="280"/>
      <c r="J43" s="280"/>
      <c r="K43" s="280"/>
      <c r="L43" s="280"/>
      <c r="M43" s="280"/>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491"/>
      <c r="B44" s="317"/>
      <c r="C44" s="318"/>
      <c r="D44" s="312"/>
      <c r="E44" s="283"/>
      <c r="F44" s="280"/>
      <c r="G44" s="280"/>
      <c r="H44" s="280"/>
      <c r="I44" s="280"/>
      <c r="J44" s="280"/>
      <c r="K44" s="280"/>
      <c r="L44" s="280"/>
      <c r="M44" s="280"/>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491" t="s">
        <v>177</v>
      </c>
      <c r="B45" s="317"/>
      <c r="C45" s="318"/>
      <c r="D45" s="312"/>
      <c r="E45" s="283"/>
      <c r="F45" s="280" t="str">
        <f t="shared" si="2"/>
        <v>No</v>
      </c>
      <c r="G45" s="280" t="str">
        <f t="shared" si="2"/>
        <v>No</v>
      </c>
      <c r="H45" s="280" t="str">
        <f t="shared" si="2"/>
        <v>No</v>
      </c>
      <c r="I45" s="280" t="str">
        <f t="shared" si="2"/>
        <v>No</v>
      </c>
      <c r="J45" s="280" t="str">
        <f t="shared" si="2"/>
        <v>No</v>
      </c>
      <c r="K45" s="280" t="str">
        <f t="shared" si="2"/>
        <v>No</v>
      </c>
      <c r="L45" s="280" t="str">
        <f t="shared" si="2"/>
        <v>No</v>
      </c>
      <c r="M45" s="280"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491"/>
      <c r="B46" s="317"/>
      <c r="C46" s="318"/>
      <c r="D46" s="312"/>
      <c r="E46" s="283"/>
      <c r="F46" s="280"/>
      <c r="G46" s="280"/>
      <c r="H46" s="280"/>
      <c r="I46" s="280"/>
      <c r="J46" s="280"/>
      <c r="K46" s="280"/>
      <c r="L46" s="280"/>
      <c r="M46" s="280"/>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491"/>
      <c r="B47" s="317"/>
      <c r="C47" s="318"/>
      <c r="D47" s="312"/>
      <c r="E47" s="283"/>
      <c r="F47" s="280"/>
      <c r="G47" s="280"/>
      <c r="H47" s="280"/>
      <c r="I47" s="280"/>
      <c r="J47" s="280"/>
      <c r="K47" s="280"/>
      <c r="L47" s="280"/>
      <c r="M47" s="280"/>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sheetData>
  <sheetProtection algorithmName="SHA-512" hashValue="yMpX4HHAvM2bBkyX9bJo4T7uvGu7NQJYAVAUWg6eSXXQR8Cilt7zVeagnil11enHM+I8aV4cGrrerQT7pjACIw==" saltValue="p8c7T/QAIJJ7vTl4HuB9Xw==" spinCount="100000" sheet="1" objects="1" scenarios="1"/>
  <mergeCells count="170">
    <mergeCell ref="A45:A47"/>
    <mergeCell ref="A12:A14"/>
    <mergeCell ref="A15:A17"/>
    <mergeCell ref="A18:A20"/>
    <mergeCell ref="A21:A23"/>
    <mergeCell ref="A24:A26"/>
    <mergeCell ref="A27:A29"/>
    <mergeCell ref="A30:A32"/>
    <mergeCell ref="I45:I47"/>
    <mergeCell ref="I36:I38"/>
    <mergeCell ref="I27:I29"/>
    <mergeCell ref="I18:I20"/>
    <mergeCell ref="A33:A35"/>
    <mergeCell ref="A36:A38"/>
    <mergeCell ref="A39:A41"/>
    <mergeCell ref="A42:A44"/>
    <mergeCell ref="C36:C38"/>
    <mergeCell ref="D36:D38"/>
    <mergeCell ref="E36:E38"/>
    <mergeCell ref="F36:F38"/>
    <mergeCell ref="G36:G38"/>
    <mergeCell ref="H36:H38"/>
    <mergeCell ref="B18:B20"/>
    <mergeCell ref="C18:C20"/>
    <mergeCell ref="J45:J47"/>
    <mergeCell ref="K45:K47"/>
    <mergeCell ref="L45:L47"/>
    <mergeCell ref="M45:M47"/>
    <mergeCell ref="K42:K44"/>
    <mergeCell ref="L42:L44"/>
    <mergeCell ref="M42:M44"/>
    <mergeCell ref="B45:B47"/>
    <mergeCell ref="C45:C47"/>
    <mergeCell ref="D45:D47"/>
    <mergeCell ref="E45:E47"/>
    <mergeCell ref="F45:F47"/>
    <mergeCell ref="G45:G47"/>
    <mergeCell ref="H45:H47"/>
    <mergeCell ref="L36:L38"/>
    <mergeCell ref="M36:M38"/>
    <mergeCell ref="B39:B41"/>
    <mergeCell ref="C39:C41"/>
    <mergeCell ref="D39:D41"/>
    <mergeCell ref="E39:E41"/>
    <mergeCell ref="F39:F41"/>
    <mergeCell ref="M39:M41"/>
    <mergeCell ref="B42:B44"/>
    <mergeCell ref="C42:C44"/>
    <mergeCell ref="D42:D44"/>
    <mergeCell ref="E42:E44"/>
    <mergeCell ref="F42:F44"/>
    <mergeCell ref="G42:G44"/>
    <mergeCell ref="H42:H44"/>
    <mergeCell ref="I42:I44"/>
    <mergeCell ref="J42:J44"/>
    <mergeCell ref="G39:G41"/>
    <mergeCell ref="H39:H41"/>
    <mergeCell ref="I39:I41"/>
    <mergeCell ref="J39:J41"/>
    <mergeCell ref="K39:K41"/>
    <mergeCell ref="L39:L41"/>
    <mergeCell ref="B36:B38"/>
    <mergeCell ref="J36:J38"/>
    <mergeCell ref="K36:K38"/>
    <mergeCell ref="B30:B32"/>
    <mergeCell ref="C30:C32"/>
    <mergeCell ref="D30:D32"/>
    <mergeCell ref="E30:E32"/>
    <mergeCell ref="F30:F32"/>
    <mergeCell ref="M30:M32"/>
    <mergeCell ref="B33:B35"/>
    <mergeCell ref="C33:C35"/>
    <mergeCell ref="D33:D35"/>
    <mergeCell ref="E33:E35"/>
    <mergeCell ref="F33:F35"/>
    <mergeCell ref="G33:G35"/>
    <mergeCell ref="H33:H35"/>
    <mergeCell ref="I33:I35"/>
    <mergeCell ref="J33:J35"/>
    <mergeCell ref="G30:G32"/>
    <mergeCell ref="H30:H32"/>
    <mergeCell ref="I30:I32"/>
    <mergeCell ref="J30:J32"/>
    <mergeCell ref="K30:K32"/>
    <mergeCell ref="L30:L32"/>
    <mergeCell ref="K33:K35"/>
    <mergeCell ref="L33:L35"/>
    <mergeCell ref="M33:M35"/>
    <mergeCell ref="L24:L26"/>
    <mergeCell ref="M24:M26"/>
    <mergeCell ref="B27:B29"/>
    <mergeCell ref="C27:C29"/>
    <mergeCell ref="D27:D29"/>
    <mergeCell ref="E27:E29"/>
    <mergeCell ref="F27:F29"/>
    <mergeCell ref="G27:G29"/>
    <mergeCell ref="H27:H29"/>
    <mergeCell ref="J27:J29"/>
    <mergeCell ref="K27:K29"/>
    <mergeCell ref="L27:L29"/>
    <mergeCell ref="M27:M29"/>
    <mergeCell ref="L18:L20"/>
    <mergeCell ref="M18:M20"/>
    <mergeCell ref="B21:B23"/>
    <mergeCell ref="C21:C23"/>
    <mergeCell ref="D21:D23"/>
    <mergeCell ref="E21:E23"/>
    <mergeCell ref="F21:F23"/>
    <mergeCell ref="M21:M23"/>
    <mergeCell ref="B24:B26"/>
    <mergeCell ref="C24:C26"/>
    <mergeCell ref="D24:D26"/>
    <mergeCell ref="E24:E26"/>
    <mergeCell ref="F24:F26"/>
    <mergeCell ref="G24:G26"/>
    <mergeCell ref="H24:H26"/>
    <mergeCell ref="I24:I26"/>
    <mergeCell ref="J24:J26"/>
    <mergeCell ref="G21:G23"/>
    <mergeCell ref="H21:H23"/>
    <mergeCell ref="I21:I23"/>
    <mergeCell ref="J21:J23"/>
    <mergeCell ref="K21:K23"/>
    <mergeCell ref="L21:L23"/>
    <mergeCell ref="K24:K26"/>
    <mergeCell ref="D18:D20"/>
    <mergeCell ref="E18:E20"/>
    <mergeCell ref="F18:F20"/>
    <mergeCell ref="G18:G20"/>
    <mergeCell ref="H18:H20"/>
    <mergeCell ref="J18:J20"/>
    <mergeCell ref="K18:K20"/>
    <mergeCell ref="M12:M14"/>
    <mergeCell ref="B15:B17"/>
    <mergeCell ref="C15:C17"/>
    <mergeCell ref="D15:D17"/>
    <mergeCell ref="E15:E17"/>
    <mergeCell ref="F15:F17"/>
    <mergeCell ref="G15:G17"/>
    <mergeCell ref="H15:H17"/>
    <mergeCell ref="I15:I17"/>
    <mergeCell ref="J15:J17"/>
    <mergeCell ref="G12:G14"/>
    <mergeCell ref="H12:H14"/>
    <mergeCell ref="I12:I14"/>
    <mergeCell ref="J12:J14"/>
    <mergeCell ref="K12:K14"/>
    <mergeCell ref="L12:L14"/>
    <mergeCell ref="B12:B14"/>
    <mergeCell ref="K15:K17"/>
    <mergeCell ref="L15:L17"/>
    <mergeCell ref="M15:M17"/>
    <mergeCell ref="A7:M7"/>
    <mergeCell ref="A9:M9"/>
    <mergeCell ref="A10:A11"/>
    <mergeCell ref="B10:C10"/>
    <mergeCell ref="D10:D11"/>
    <mergeCell ref="E10:E11"/>
    <mergeCell ref="F10:M10"/>
    <mergeCell ref="A2:C2"/>
    <mergeCell ref="D2:L2"/>
    <mergeCell ref="M2:M3"/>
    <mergeCell ref="A3:C6"/>
    <mergeCell ref="D3:L4"/>
    <mergeCell ref="D5:L5"/>
    <mergeCell ref="D6:L6"/>
    <mergeCell ref="C12:C14"/>
    <mergeCell ref="D12:D14"/>
    <mergeCell ref="E12:E14"/>
    <mergeCell ref="F12:F14"/>
  </mergeCells>
  <conditionalFormatting sqref="F12:M47">
    <cfRule type="containsText" dxfId="0"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E12:E47</xm:sqref>
        </x14:dataValidation>
        <x14:dataValidation type="list" allowBlank="1" showInputMessage="1" showErrorMessage="1">
          <x14:formula1>
            <xm:f>'Opciones Tratamiento'!$D$32:$D$33</xm:f>
          </x14:formula1>
          <xm:sqref>H12:H47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6" tint="-0.249977111117893"/>
  </sheetPr>
  <dimension ref="A1:U232"/>
  <sheetViews>
    <sheetView zoomScale="60" zoomScaleNormal="60" workbookViewId="0">
      <selection activeCell="D15" sqref="D15"/>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69"/>
      <c r="B1" s="492" t="s">
        <v>178</v>
      </c>
      <c r="C1" s="492"/>
      <c r="D1" s="492"/>
      <c r="E1" s="69"/>
      <c r="F1" s="69"/>
      <c r="G1" s="69"/>
      <c r="H1" s="69"/>
      <c r="I1" s="69"/>
      <c r="J1" s="69"/>
      <c r="K1" s="69"/>
      <c r="L1" s="69"/>
      <c r="M1" s="69"/>
      <c r="N1" s="69"/>
      <c r="O1" s="69"/>
      <c r="P1" s="69"/>
      <c r="Q1" s="69"/>
      <c r="R1" s="69"/>
      <c r="S1" s="69"/>
      <c r="T1" s="69"/>
      <c r="U1" s="69"/>
    </row>
    <row r="2" spans="1:21" x14ac:dyDescent="0.25">
      <c r="A2" s="69"/>
      <c r="B2" s="69"/>
      <c r="C2" s="69"/>
      <c r="D2" s="69"/>
      <c r="E2" s="69"/>
      <c r="F2" s="69"/>
      <c r="G2" s="69"/>
      <c r="H2" s="69"/>
      <c r="I2" s="69"/>
      <c r="J2" s="69"/>
      <c r="K2" s="69"/>
      <c r="L2" s="69"/>
      <c r="M2" s="69"/>
      <c r="N2" s="69"/>
      <c r="O2" s="69"/>
      <c r="P2" s="69"/>
      <c r="Q2" s="69"/>
      <c r="R2" s="69"/>
      <c r="S2" s="69"/>
      <c r="T2" s="69"/>
      <c r="U2" s="69"/>
    </row>
    <row r="3" spans="1:21" x14ac:dyDescent="0.25">
      <c r="A3" s="69"/>
      <c r="E3" s="69"/>
      <c r="F3" s="69"/>
      <c r="G3" s="69"/>
      <c r="H3" s="69"/>
      <c r="I3" s="69"/>
      <c r="J3" s="69"/>
      <c r="K3" s="69"/>
      <c r="L3" s="69"/>
      <c r="M3" s="69"/>
      <c r="N3" s="69"/>
      <c r="O3" s="69"/>
      <c r="P3" s="69"/>
      <c r="Q3" s="69"/>
      <c r="R3" s="69"/>
      <c r="S3" s="69"/>
      <c r="T3" s="69"/>
      <c r="U3" s="69"/>
    </row>
    <row r="4" spans="1:21" x14ac:dyDescent="0.25">
      <c r="A4" s="89" t="s">
        <v>179</v>
      </c>
      <c r="E4" s="69"/>
      <c r="F4" s="69"/>
      <c r="G4" s="69"/>
      <c r="H4" s="69"/>
      <c r="I4" s="69"/>
      <c r="J4" s="69"/>
      <c r="K4" s="69"/>
      <c r="L4" s="69"/>
      <c r="M4" s="69"/>
      <c r="N4" s="69"/>
      <c r="O4" s="69"/>
      <c r="P4" s="69"/>
      <c r="Q4" s="69"/>
      <c r="R4" s="69"/>
      <c r="S4" s="69"/>
      <c r="T4" s="69"/>
      <c r="U4" s="69"/>
    </row>
    <row r="5" spans="1:21" x14ac:dyDescent="0.25">
      <c r="A5" s="89" t="s">
        <v>180</v>
      </c>
      <c r="E5" s="69"/>
      <c r="F5" s="69"/>
      <c r="G5" s="69"/>
      <c r="H5" s="69"/>
      <c r="I5" s="69"/>
      <c r="J5" s="69"/>
      <c r="K5" s="69"/>
      <c r="L5" s="69"/>
      <c r="M5" s="69"/>
      <c r="N5" s="69"/>
      <c r="O5" s="69"/>
      <c r="P5" s="69"/>
      <c r="Q5" s="69"/>
      <c r="R5" s="69"/>
      <c r="S5" s="69"/>
      <c r="T5" s="69"/>
      <c r="U5" s="69"/>
    </row>
    <row r="6" spans="1:21" x14ac:dyDescent="0.25">
      <c r="A6" s="89" t="s">
        <v>137</v>
      </c>
      <c r="E6" s="69"/>
      <c r="F6" s="69"/>
      <c r="G6" s="69"/>
      <c r="H6" s="69"/>
      <c r="I6" s="69"/>
      <c r="J6" s="69"/>
      <c r="K6" s="69"/>
      <c r="L6" s="69"/>
      <c r="M6" s="69"/>
      <c r="N6" s="69"/>
      <c r="O6" s="69"/>
      <c r="P6" s="69"/>
      <c r="Q6" s="69"/>
      <c r="R6" s="69"/>
      <c r="S6" s="69"/>
      <c r="T6" s="69"/>
      <c r="U6" s="69"/>
    </row>
    <row r="7" spans="1:21" x14ac:dyDescent="0.25">
      <c r="A7" s="89" t="s">
        <v>181</v>
      </c>
      <c r="E7" s="69"/>
      <c r="F7" s="69"/>
      <c r="G7" s="69"/>
      <c r="H7" s="69"/>
      <c r="I7" s="69"/>
      <c r="J7" s="69"/>
      <c r="K7" s="69"/>
      <c r="L7" s="69"/>
      <c r="M7" s="69"/>
      <c r="N7" s="69"/>
      <c r="O7" s="69"/>
      <c r="P7" s="69"/>
      <c r="Q7" s="69"/>
      <c r="R7" s="69"/>
      <c r="S7" s="69"/>
      <c r="T7" s="69"/>
      <c r="U7" s="69"/>
    </row>
    <row r="8" spans="1:21" x14ac:dyDescent="0.25">
      <c r="A8" s="89" t="s">
        <v>182</v>
      </c>
      <c r="E8" s="69"/>
      <c r="F8" s="69"/>
      <c r="G8" s="69"/>
      <c r="H8" s="69"/>
      <c r="I8" s="69"/>
      <c r="J8" s="69"/>
      <c r="K8" s="69"/>
      <c r="L8" s="69"/>
      <c r="M8" s="69"/>
      <c r="N8" s="69"/>
      <c r="O8" s="69"/>
      <c r="P8" s="69"/>
      <c r="Q8" s="69"/>
      <c r="R8" s="69"/>
      <c r="S8" s="69"/>
      <c r="T8" s="69"/>
      <c r="U8" s="69"/>
    </row>
    <row r="9" spans="1:21" ht="20.25" x14ac:dyDescent="0.25">
      <c r="A9" s="89"/>
      <c r="B9" s="89"/>
      <c r="C9" s="91"/>
      <c r="D9" s="91"/>
      <c r="E9" s="69"/>
      <c r="F9" s="69"/>
      <c r="G9" s="69"/>
      <c r="H9" s="69"/>
      <c r="I9" s="69"/>
      <c r="J9" s="69"/>
      <c r="K9" s="69"/>
      <c r="L9" s="69"/>
      <c r="M9" s="69"/>
      <c r="N9" s="69"/>
      <c r="O9" s="69"/>
      <c r="P9" s="69"/>
      <c r="Q9" s="69"/>
      <c r="R9" s="69"/>
      <c r="S9" s="69"/>
      <c r="T9" s="69"/>
      <c r="U9" s="69"/>
    </row>
    <row r="10" spans="1:21" ht="30" x14ac:dyDescent="0.25">
      <c r="A10" s="89"/>
      <c r="B10" s="90"/>
      <c r="C10" s="22" t="s">
        <v>183</v>
      </c>
      <c r="D10" s="22" t="s">
        <v>184</v>
      </c>
      <c r="E10" s="69"/>
      <c r="F10" s="69"/>
      <c r="G10" s="69"/>
      <c r="H10" s="69"/>
      <c r="I10" s="69"/>
      <c r="J10" s="69"/>
      <c r="K10" s="69"/>
      <c r="L10" s="69"/>
      <c r="M10" s="69"/>
      <c r="N10" s="69"/>
      <c r="O10" s="69"/>
      <c r="P10" s="69"/>
      <c r="Q10" s="69"/>
      <c r="R10" s="69"/>
      <c r="S10" s="69"/>
      <c r="T10" s="69"/>
      <c r="U10" s="69"/>
    </row>
    <row r="11" spans="1:21" ht="33.75" x14ac:dyDescent="0.25">
      <c r="A11" s="89"/>
      <c r="B11" s="25" t="s">
        <v>185</v>
      </c>
      <c r="C11" s="30" t="s">
        <v>186</v>
      </c>
      <c r="D11" s="23" t="s">
        <v>187</v>
      </c>
      <c r="E11" s="69"/>
      <c r="F11" s="69"/>
      <c r="G11" s="69"/>
      <c r="H11" s="69"/>
      <c r="I11" s="69"/>
      <c r="J11" s="69"/>
      <c r="K11" s="69"/>
      <c r="L11" s="69"/>
      <c r="M11" s="69"/>
      <c r="N11" s="69"/>
      <c r="O11" s="69"/>
      <c r="P11" s="69"/>
      <c r="Q11" s="69"/>
      <c r="R11" s="69"/>
      <c r="S11" s="69"/>
      <c r="T11" s="69"/>
      <c r="U11" s="69"/>
    </row>
    <row r="12" spans="1:21" ht="114" customHeight="1" x14ac:dyDescent="0.25">
      <c r="A12" s="89"/>
      <c r="B12" s="26" t="s">
        <v>188</v>
      </c>
      <c r="C12" s="31" t="s">
        <v>189</v>
      </c>
      <c r="D12" s="24" t="s">
        <v>190</v>
      </c>
      <c r="E12" s="69"/>
      <c r="F12" s="69"/>
      <c r="G12" s="69"/>
      <c r="H12" s="69"/>
      <c r="I12" s="69"/>
      <c r="J12" s="69"/>
      <c r="K12" s="69"/>
      <c r="L12" s="69"/>
      <c r="M12" s="69"/>
      <c r="N12" s="69"/>
      <c r="O12" s="69"/>
      <c r="P12" s="69"/>
      <c r="Q12" s="69"/>
      <c r="R12" s="69"/>
      <c r="S12" s="69"/>
      <c r="T12" s="69"/>
      <c r="U12" s="69"/>
    </row>
    <row r="13" spans="1:21" ht="67.5" x14ac:dyDescent="0.25">
      <c r="A13" s="89"/>
      <c r="B13" s="27" t="s">
        <v>191</v>
      </c>
      <c r="C13" s="31" t="s">
        <v>192</v>
      </c>
      <c r="D13" s="24" t="s">
        <v>193</v>
      </c>
      <c r="E13" s="69"/>
      <c r="F13" s="69"/>
      <c r="G13" s="69"/>
      <c r="H13" s="69"/>
      <c r="I13" s="69"/>
      <c r="J13" s="69"/>
      <c r="K13" s="69"/>
      <c r="L13" s="69"/>
      <c r="M13" s="69"/>
      <c r="N13" s="69"/>
      <c r="O13" s="69"/>
      <c r="P13" s="69"/>
      <c r="Q13" s="69"/>
      <c r="R13" s="69"/>
      <c r="S13" s="69"/>
      <c r="T13" s="69"/>
      <c r="U13" s="69"/>
    </row>
    <row r="14" spans="1:21" ht="101.25" x14ac:dyDescent="0.25">
      <c r="A14" s="89"/>
      <c r="B14" s="28" t="s">
        <v>194</v>
      </c>
      <c r="C14" s="31" t="s">
        <v>195</v>
      </c>
      <c r="D14" s="24" t="s">
        <v>196</v>
      </c>
      <c r="E14" s="69"/>
      <c r="F14" s="69"/>
      <c r="G14" s="69"/>
      <c r="H14" s="69"/>
      <c r="I14" s="69"/>
      <c r="J14" s="69"/>
      <c r="K14" s="69"/>
      <c r="L14" s="69"/>
      <c r="M14" s="69"/>
      <c r="N14" s="69"/>
      <c r="O14" s="69"/>
      <c r="P14" s="69"/>
      <c r="Q14" s="69"/>
      <c r="R14" s="69"/>
      <c r="S14" s="69"/>
      <c r="T14" s="69"/>
      <c r="U14" s="69"/>
    </row>
    <row r="15" spans="1:21" ht="67.5" x14ac:dyDescent="0.25">
      <c r="A15" s="89"/>
      <c r="B15" s="29" t="s">
        <v>197</v>
      </c>
      <c r="C15" s="31" t="s">
        <v>198</v>
      </c>
      <c r="D15" s="24" t="s">
        <v>199</v>
      </c>
      <c r="E15" s="69"/>
      <c r="F15" s="69"/>
      <c r="G15" s="69"/>
      <c r="H15" s="69"/>
      <c r="I15" s="69"/>
      <c r="J15" s="69"/>
      <c r="K15" s="69"/>
      <c r="L15" s="69"/>
      <c r="M15" s="69"/>
      <c r="N15" s="69"/>
      <c r="O15" s="69"/>
      <c r="P15" s="69"/>
      <c r="Q15" s="69"/>
      <c r="R15" s="69"/>
      <c r="S15" s="69"/>
      <c r="T15" s="69"/>
      <c r="U15" s="69"/>
    </row>
    <row r="16" spans="1:21" x14ac:dyDescent="0.25">
      <c r="A16" s="89"/>
      <c r="B16" s="89"/>
      <c r="C16" s="89"/>
      <c r="D16" s="89"/>
      <c r="E16" s="69"/>
      <c r="F16" s="69"/>
      <c r="G16" s="69"/>
      <c r="H16" s="69"/>
      <c r="I16" s="69"/>
      <c r="J16" s="69"/>
      <c r="K16" s="69"/>
      <c r="L16" s="69"/>
      <c r="M16" s="69"/>
      <c r="N16" s="69"/>
      <c r="O16" s="69"/>
    </row>
    <row r="17" spans="1:15" x14ac:dyDescent="0.25">
      <c r="A17" s="89"/>
      <c r="B17" s="89"/>
      <c r="C17" s="89"/>
      <c r="D17" s="89"/>
      <c r="E17" s="69"/>
      <c r="F17" s="69"/>
      <c r="G17" s="69"/>
      <c r="H17" s="69"/>
      <c r="I17" s="69"/>
      <c r="J17" s="69"/>
      <c r="K17" s="69"/>
      <c r="L17" s="69"/>
      <c r="M17" s="69"/>
      <c r="N17" s="69"/>
      <c r="O17" s="69"/>
    </row>
    <row r="18" spans="1:15" x14ac:dyDescent="0.25">
      <c r="A18" s="89"/>
      <c r="B18" s="92"/>
      <c r="C18" s="92"/>
      <c r="D18" s="92"/>
      <c r="E18" s="69"/>
      <c r="F18" s="69"/>
      <c r="G18" s="69"/>
      <c r="H18" s="69"/>
      <c r="I18" s="69"/>
      <c r="J18" s="69"/>
      <c r="K18" s="69"/>
      <c r="L18" s="69"/>
      <c r="M18" s="69"/>
      <c r="N18" s="69"/>
      <c r="O18" s="69"/>
    </row>
    <row r="19" spans="1:15" x14ac:dyDescent="0.25">
      <c r="A19" s="89"/>
      <c r="B19" s="92"/>
      <c r="C19" s="92"/>
      <c r="D19" s="92"/>
      <c r="E19" s="69"/>
      <c r="F19" s="69"/>
      <c r="G19" s="69"/>
      <c r="H19" s="69"/>
      <c r="I19" s="69"/>
      <c r="J19" s="69"/>
      <c r="K19" s="69"/>
      <c r="L19" s="69"/>
      <c r="M19" s="69"/>
      <c r="N19" s="69"/>
      <c r="O19" s="69"/>
    </row>
    <row r="20" spans="1:15" x14ac:dyDescent="0.25">
      <c r="A20" s="89"/>
      <c r="B20" s="92"/>
      <c r="C20" s="92"/>
      <c r="D20" s="92"/>
      <c r="E20" s="69"/>
      <c r="F20" s="69"/>
      <c r="G20" s="69"/>
      <c r="H20" s="69"/>
      <c r="I20" s="69"/>
      <c r="J20" s="69"/>
      <c r="K20" s="69"/>
      <c r="L20" s="69"/>
      <c r="M20" s="69"/>
      <c r="N20" s="69"/>
      <c r="O20" s="69"/>
    </row>
    <row r="21" spans="1:15" x14ac:dyDescent="0.25">
      <c r="A21" s="89"/>
      <c r="B21" s="92"/>
      <c r="C21" s="92"/>
      <c r="D21" s="92"/>
      <c r="E21" s="69"/>
      <c r="F21" s="69"/>
      <c r="G21" s="69"/>
      <c r="H21" s="69"/>
      <c r="I21" s="69"/>
      <c r="J21" s="69"/>
      <c r="K21" s="69"/>
      <c r="L21" s="69"/>
      <c r="M21" s="69"/>
      <c r="N21" s="69"/>
      <c r="O21" s="69"/>
    </row>
    <row r="22" spans="1:15" ht="20.25" x14ac:dyDescent="0.25">
      <c r="A22" s="89"/>
      <c r="B22" s="89"/>
      <c r="C22" s="91"/>
      <c r="D22" s="91"/>
      <c r="E22" s="69"/>
      <c r="F22" s="69"/>
      <c r="G22" s="69"/>
      <c r="H22" s="69"/>
      <c r="I22" s="69"/>
      <c r="J22" s="69"/>
      <c r="K22" s="69"/>
      <c r="L22" s="69"/>
      <c r="M22" s="69"/>
      <c r="N22" s="69"/>
      <c r="O22" s="69"/>
    </row>
    <row r="23" spans="1:15" ht="20.25" x14ac:dyDescent="0.25">
      <c r="A23" s="89"/>
      <c r="B23" s="89"/>
      <c r="C23" s="91"/>
      <c r="D23" s="91"/>
      <c r="E23" s="69"/>
      <c r="F23" s="69"/>
      <c r="G23" s="69"/>
      <c r="H23" s="69"/>
      <c r="I23" s="69"/>
      <c r="J23" s="69"/>
      <c r="K23" s="69"/>
      <c r="L23" s="69"/>
      <c r="M23" s="69"/>
      <c r="N23" s="69"/>
      <c r="O23" s="69"/>
    </row>
    <row r="24" spans="1:15" ht="20.25" x14ac:dyDescent="0.25">
      <c r="A24" s="89"/>
      <c r="B24" s="89"/>
      <c r="C24" s="91"/>
      <c r="D24" s="91"/>
      <c r="E24" s="69"/>
      <c r="F24" s="69"/>
      <c r="G24" s="69"/>
      <c r="H24" s="69"/>
      <c r="I24" s="69"/>
      <c r="J24" s="69"/>
      <c r="K24" s="69"/>
      <c r="L24" s="69"/>
      <c r="M24" s="69"/>
      <c r="N24" s="69"/>
      <c r="O24" s="69"/>
    </row>
    <row r="25" spans="1:15" ht="20.25" x14ac:dyDescent="0.25">
      <c r="A25" s="89"/>
      <c r="B25" s="89"/>
      <c r="C25" s="91"/>
      <c r="D25" s="91"/>
      <c r="E25" s="69"/>
      <c r="F25" s="69"/>
      <c r="G25" s="69"/>
      <c r="H25" s="69"/>
      <c r="I25" s="69"/>
      <c r="J25" s="69"/>
      <c r="K25" s="69"/>
      <c r="L25" s="69"/>
      <c r="M25" s="69"/>
      <c r="N25" s="69"/>
      <c r="O25" s="69"/>
    </row>
    <row r="26" spans="1:15" ht="20.25" x14ac:dyDescent="0.25">
      <c r="A26" s="89"/>
      <c r="B26" s="89"/>
      <c r="C26" s="91"/>
      <c r="D26" s="91"/>
      <c r="E26" s="69"/>
      <c r="F26" s="69"/>
      <c r="G26" s="69"/>
      <c r="H26" s="69"/>
      <c r="I26" s="69"/>
      <c r="J26" s="69"/>
      <c r="K26" s="69"/>
      <c r="L26" s="69"/>
      <c r="M26" s="69"/>
      <c r="N26" s="69"/>
      <c r="O26" s="69"/>
    </row>
    <row r="27" spans="1:15" ht="20.25" x14ac:dyDescent="0.25">
      <c r="A27" s="89"/>
      <c r="B27" s="89"/>
      <c r="C27" s="91"/>
      <c r="D27" s="91"/>
      <c r="E27" s="69"/>
      <c r="F27" s="69"/>
      <c r="G27" s="69"/>
      <c r="H27" s="69"/>
      <c r="I27" s="69"/>
      <c r="J27" s="69"/>
      <c r="K27" s="69"/>
      <c r="L27" s="69"/>
      <c r="M27" s="69"/>
      <c r="N27" s="69"/>
      <c r="O27" s="69"/>
    </row>
    <row r="28" spans="1:15" ht="20.25" x14ac:dyDescent="0.25">
      <c r="A28" s="89"/>
      <c r="B28" s="89"/>
      <c r="C28" s="91"/>
      <c r="D28" s="91"/>
      <c r="E28" s="69"/>
      <c r="F28" s="69"/>
      <c r="G28" s="69"/>
      <c r="H28" s="69"/>
      <c r="I28" s="69"/>
      <c r="J28" s="69"/>
      <c r="K28" s="69"/>
      <c r="L28" s="69"/>
      <c r="M28" s="69"/>
      <c r="N28" s="69"/>
      <c r="O28" s="69"/>
    </row>
    <row r="29" spans="1:15" ht="20.25" x14ac:dyDescent="0.25">
      <c r="A29" s="89"/>
      <c r="B29" s="89"/>
      <c r="C29" s="91"/>
      <c r="D29" s="91"/>
      <c r="E29" s="69"/>
      <c r="F29" s="69"/>
      <c r="G29" s="69"/>
      <c r="H29" s="69"/>
      <c r="I29" s="69"/>
      <c r="J29" s="69"/>
      <c r="K29" s="69"/>
      <c r="L29" s="69"/>
      <c r="M29" s="69"/>
      <c r="N29" s="69"/>
      <c r="O29" s="69"/>
    </row>
    <row r="30" spans="1:15" ht="20.25" x14ac:dyDescent="0.25">
      <c r="A30" s="89"/>
      <c r="B30" s="89"/>
      <c r="C30" s="91"/>
      <c r="D30" s="91"/>
      <c r="E30" s="69"/>
      <c r="F30" s="69"/>
      <c r="G30" s="69"/>
      <c r="H30" s="69"/>
      <c r="I30" s="69"/>
      <c r="J30" s="69"/>
      <c r="K30" s="69"/>
      <c r="L30" s="69"/>
      <c r="M30" s="69"/>
      <c r="N30" s="69"/>
      <c r="O30" s="69"/>
    </row>
    <row r="31" spans="1:15" ht="20.25" x14ac:dyDescent="0.25">
      <c r="A31" s="89"/>
      <c r="B31" s="89"/>
      <c r="C31" s="91"/>
      <c r="D31" s="91"/>
      <c r="E31" s="69"/>
      <c r="F31" s="69"/>
      <c r="G31" s="69"/>
      <c r="H31" s="69"/>
      <c r="I31" s="69"/>
      <c r="J31" s="69"/>
      <c r="K31" s="69"/>
      <c r="L31" s="69"/>
      <c r="M31" s="69"/>
      <c r="N31" s="69"/>
      <c r="O31" s="69"/>
    </row>
    <row r="32" spans="1:15" ht="20.25" x14ac:dyDescent="0.25">
      <c r="A32" s="89"/>
      <c r="B32" s="89"/>
      <c r="C32" s="91"/>
      <c r="D32" s="91"/>
      <c r="E32" s="69"/>
      <c r="F32" s="69"/>
      <c r="G32" s="69"/>
      <c r="H32" s="69"/>
      <c r="I32" s="69"/>
      <c r="J32" s="69"/>
      <c r="K32" s="69"/>
      <c r="L32" s="69"/>
      <c r="M32" s="69"/>
      <c r="N32" s="69"/>
      <c r="O32" s="69"/>
    </row>
    <row r="33" spans="1:15" ht="20.25" x14ac:dyDescent="0.25">
      <c r="A33" s="89"/>
      <c r="B33" s="89"/>
      <c r="C33" s="91"/>
      <c r="D33" s="91"/>
      <c r="E33" s="69"/>
      <c r="F33" s="69"/>
      <c r="G33" s="69"/>
      <c r="H33" s="69"/>
      <c r="I33" s="69"/>
      <c r="J33" s="69"/>
      <c r="K33" s="69"/>
      <c r="L33" s="69"/>
      <c r="M33" s="69"/>
      <c r="N33" s="69"/>
      <c r="O33" s="69"/>
    </row>
    <row r="34" spans="1:15" ht="20.25" x14ac:dyDescent="0.25">
      <c r="A34" s="89"/>
      <c r="B34" s="89"/>
      <c r="C34" s="91"/>
      <c r="D34" s="91"/>
      <c r="E34" s="69"/>
      <c r="F34" s="69"/>
      <c r="G34" s="69"/>
      <c r="H34" s="69"/>
      <c r="I34" s="69"/>
      <c r="J34" s="69"/>
      <c r="K34" s="69"/>
      <c r="L34" s="69"/>
      <c r="M34" s="69"/>
      <c r="N34" s="69"/>
      <c r="O34" s="69"/>
    </row>
    <row r="35" spans="1:15" ht="20.25" x14ac:dyDescent="0.25">
      <c r="A35" s="89"/>
      <c r="B35" s="89"/>
      <c r="C35" s="91"/>
      <c r="D35" s="91"/>
      <c r="E35" s="69"/>
      <c r="F35" s="69"/>
      <c r="G35" s="69"/>
      <c r="H35" s="69"/>
      <c r="I35" s="69"/>
      <c r="J35" s="69"/>
      <c r="K35" s="69"/>
      <c r="L35" s="69"/>
      <c r="M35" s="69"/>
      <c r="N35" s="69"/>
      <c r="O35" s="69"/>
    </row>
    <row r="36" spans="1:15" ht="20.25" x14ac:dyDescent="0.25">
      <c r="A36" s="89"/>
      <c r="B36" s="89"/>
      <c r="C36" s="91"/>
      <c r="D36" s="91"/>
      <c r="E36" s="69"/>
      <c r="F36" s="69"/>
      <c r="G36" s="69"/>
      <c r="H36" s="69"/>
      <c r="I36" s="69"/>
      <c r="J36" s="69"/>
      <c r="K36" s="69"/>
      <c r="L36" s="69"/>
      <c r="M36" s="69"/>
      <c r="N36" s="69"/>
      <c r="O36" s="69"/>
    </row>
    <row r="37" spans="1:15" ht="20.25" x14ac:dyDescent="0.25">
      <c r="A37" s="89"/>
      <c r="B37" s="89"/>
      <c r="C37" s="91"/>
      <c r="D37" s="91"/>
      <c r="E37" s="69"/>
      <c r="F37" s="69"/>
      <c r="G37" s="69"/>
      <c r="H37" s="69"/>
      <c r="I37" s="69"/>
      <c r="J37" s="69"/>
      <c r="K37" s="69"/>
      <c r="L37" s="69"/>
      <c r="M37" s="69"/>
      <c r="N37" s="69"/>
      <c r="O37" s="69"/>
    </row>
    <row r="38" spans="1:15" ht="20.25" x14ac:dyDescent="0.25">
      <c r="A38" s="89"/>
      <c r="B38" s="89"/>
      <c r="C38" s="91"/>
      <c r="D38" s="91"/>
      <c r="E38" s="69"/>
      <c r="F38" s="69"/>
      <c r="G38" s="69"/>
      <c r="H38" s="69"/>
      <c r="I38" s="69"/>
      <c r="J38" s="69"/>
      <c r="K38" s="69"/>
      <c r="L38" s="69"/>
      <c r="M38" s="69"/>
      <c r="N38" s="69"/>
      <c r="O38" s="69"/>
    </row>
    <row r="39" spans="1:15" ht="20.25" x14ac:dyDescent="0.25">
      <c r="A39" s="89"/>
      <c r="B39" s="89"/>
      <c r="C39" s="91"/>
      <c r="D39" s="91"/>
      <c r="E39" s="69"/>
      <c r="F39" s="69"/>
      <c r="G39" s="69"/>
      <c r="H39" s="69"/>
      <c r="I39" s="69"/>
      <c r="J39" s="69"/>
      <c r="K39" s="69"/>
      <c r="L39" s="69"/>
      <c r="M39" s="69"/>
      <c r="N39" s="69"/>
      <c r="O39" s="69"/>
    </row>
    <row r="40" spans="1:15" ht="20.25" x14ac:dyDescent="0.25">
      <c r="A40" s="89"/>
      <c r="B40" s="89"/>
      <c r="C40" s="91"/>
      <c r="D40" s="91"/>
      <c r="E40" s="69"/>
      <c r="F40" s="69"/>
      <c r="G40" s="69"/>
      <c r="H40" s="69"/>
      <c r="I40" s="69"/>
      <c r="J40" s="69"/>
      <c r="K40" s="69"/>
      <c r="L40" s="69"/>
      <c r="M40" s="69"/>
      <c r="N40" s="69"/>
      <c r="O40" s="69"/>
    </row>
    <row r="41" spans="1:15" ht="20.25" x14ac:dyDescent="0.25">
      <c r="A41" s="89"/>
      <c r="B41" s="89"/>
      <c r="C41" s="91"/>
      <c r="D41" s="91"/>
      <c r="E41" s="69"/>
      <c r="F41" s="69"/>
      <c r="G41" s="69"/>
      <c r="H41" s="69"/>
      <c r="I41" s="69"/>
      <c r="J41" s="69"/>
      <c r="K41" s="69"/>
      <c r="L41" s="69"/>
      <c r="M41" s="69"/>
      <c r="N41" s="69"/>
      <c r="O41" s="69"/>
    </row>
    <row r="42" spans="1:15" ht="20.25" x14ac:dyDescent="0.25">
      <c r="A42" s="89"/>
      <c r="B42" s="89"/>
      <c r="C42" s="91"/>
      <c r="D42" s="91"/>
      <c r="E42" s="69"/>
      <c r="F42" s="69"/>
      <c r="G42" s="69"/>
      <c r="H42" s="69"/>
      <c r="I42" s="69"/>
      <c r="J42" s="69"/>
      <c r="K42" s="69"/>
      <c r="L42" s="69"/>
      <c r="M42" s="69"/>
      <c r="N42" s="69"/>
      <c r="O42" s="69"/>
    </row>
    <row r="43" spans="1:15" ht="20.25" x14ac:dyDescent="0.25">
      <c r="A43" s="89"/>
      <c r="B43" s="89"/>
      <c r="C43" s="91"/>
      <c r="D43" s="91"/>
      <c r="E43" s="69"/>
      <c r="F43" s="69"/>
      <c r="G43" s="69"/>
      <c r="H43" s="69"/>
      <c r="I43" s="69"/>
      <c r="J43" s="69"/>
      <c r="K43" s="69"/>
      <c r="L43" s="69"/>
      <c r="M43" s="69"/>
      <c r="N43" s="69"/>
      <c r="O43" s="69"/>
    </row>
    <row r="44" spans="1:15" ht="20.25" x14ac:dyDescent="0.25">
      <c r="A44" s="89"/>
      <c r="B44" s="89"/>
      <c r="C44" s="91"/>
      <c r="D44" s="91"/>
      <c r="E44" s="69"/>
      <c r="F44" s="69"/>
      <c r="G44" s="69"/>
      <c r="H44" s="69"/>
      <c r="I44" s="69"/>
      <c r="J44" s="69"/>
      <c r="K44" s="69"/>
      <c r="L44" s="69"/>
      <c r="M44" s="69"/>
      <c r="N44" s="69"/>
      <c r="O44" s="69"/>
    </row>
    <row r="45" spans="1:15" ht="20.25" x14ac:dyDescent="0.25">
      <c r="A45" s="89"/>
      <c r="B45" s="89"/>
      <c r="C45" s="91"/>
      <c r="D45" s="91"/>
      <c r="E45" s="69"/>
      <c r="F45" s="69"/>
      <c r="G45" s="69"/>
      <c r="H45" s="69"/>
      <c r="I45" s="69"/>
      <c r="J45" s="69"/>
      <c r="K45" s="69"/>
      <c r="L45" s="69"/>
      <c r="M45" s="69"/>
      <c r="N45" s="69"/>
      <c r="O45" s="69"/>
    </row>
    <row r="46" spans="1:15" ht="20.25" x14ac:dyDescent="0.25">
      <c r="A46" s="89"/>
      <c r="B46" s="89"/>
      <c r="C46" s="91"/>
      <c r="D46" s="91"/>
      <c r="E46" s="69"/>
      <c r="F46" s="69"/>
      <c r="G46" s="69"/>
      <c r="H46" s="69"/>
      <c r="I46" s="69"/>
      <c r="J46" s="69"/>
      <c r="K46" s="69"/>
      <c r="L46" s="69"/>
      <c r="M46" s="69"/>
      <c r="N46" s="69"/>
      <c r="O46" s="69"/>
    </row>
    <row r="47" spans="1:15" ht="20.25" x14ac:dyDescent="0.25">
      <c r="A47" s="89"/>
      <c r="B47" s="89"/>
      <c r="C47" s="91"/>
      <c r="D47" s="91"/>
      <c r="E47" s="69"/>
      <c r="F47" s="69"/>
      <c r="G47" s="69"/>
      <c r="H47" s="69"/>
      <c r="I47" s="69"/>
      <c r="J47" s="69"/>
      <c r="K47" s="69"/>
      <c r="L47" s="69"/>
      <c r="M47" s="69"/>
      <c r="N47" s="69"/>
      <c r="O47" s="69"/>
    </row>
    <row r="48" spans="1:15" ht="20.25" x14ac:dyDescent="0.25">
      <c r="A48" s="89"/>
      <c r="B48" s="89"/>
      <c r="C48" s="91"/>
      <c r="D48" s="91"/>
      <c r="E48" s="69"/>
      <c r="F48" s="69"/>
      <c r="G48" s="69"/>
      <c r="H48" s="69"/>
      <c r="I48" s="69"/>
      <c r="J48" s="69"/>
      <c r="K48" s="69"/>
      <c r="L48" s="69"/>
      <c r="M48" s="69"/>
      <c r="N48" s="69"/>
      <c r="O48" s="69"/>
    </row>
    <row r="49" spans="1:15" ht="20.25" x14ac:dyDescent="0.25">
      <c r="A49" s="89"/>
      <c r="B49" s="89"/>
      <c r="C49" s="91"/>
      <c r="D49" s="91"/>
      <c r="E49" s="69"/>
      <c r="F49" s="69"/>
      <c r="G49" s="69"/>
      <c r="H49" s="69"/>
      <c r="I49" s="69"/>
      <c r="J49" s="69"/>
      <c r="K49" s="69"/>
      <c r="L49" s="69"/>
      <c r="M49" s="69"/>
      <c r="N49" s="69"/>
      <c r="O49" s="69"/>
    </row>
    <row r="50" spans="1:15" ht="20.25" x14ac:dyDescent="0.25">
      <c r="A50" s="89"/>
      <c r="B50" s="89"/>
      <c r="C50" s="91"/>
      <c r="D50" s="91"/>
      <c r="E50" s="69"/>
      <c r="F50" s="69"/>
      <c r="G50" s="69"/>
      <c r="H50" s="69"/>
      <c r="I50" s="69"/>
      <c r="J50" s="69"/>
      <c r="K50" s="69"/>
      <c r="L50" s="69"/>
      <c r="M50" s="69"/>
      <c r="N50" s="69"/>
      <c r="O50" s="69"/>
    </row>
    <row r="51" spans="1:15" ht="20.25" x14ac:dyDescent="0.25">
      <c r="A51" s="89"/>
      <c r="B51" s="89"/>
      <c r="C51" s="91"/>
      <c r="D51" s="91"/>
      <c r="E51" s="69"/>
      <c r="F51" s="69"/>
      <c r="G51" s="69"/>
      <c r="H51" s="69"/>
      <c r="I51" s="69"/>
      <c r="J51" s="69"/>
      <c r="K51" s="69"/>
      <c r="L51" s="69"/>
      <c r="M51" s="69"/>
      <c r="N51" s="69"/>
      <c r="O51" s="69"/>
    </row>
    <row r="52" spans="1:15" ht="20.25" x14ac:dyDescent="0.25">
      <c r="A52" s="89"/>
      <c r="B52" s="15"/>
      <c r="C52" s="20"/>
      <c r="D52" s="20"/>
    </row>
    <row r="53" spans="1:15" ht="20.25" x14ac:dyDescent="0.25">
      <c r="A53" s="89"/>
      <c r="B53" s="15"/>
      <c r="C53" s="20"/>
      <c r="D53" s="20"/>
    </row>
    <row r="54" spans="1:15" ht="20.25" x14ac:dyDescent="0.25">
      <c r="A54" s="89"/>
      <c r="B54" s="15"/>
      <c r="C54" s="20"/>
      <c r="D54" s="20"/>
    </row>
    <row r="55" spans="1:15" ht="20.25" x14ac:dyDescent="0.25">
      <c r="A55" s="89"/>
      <c r="B55" s="15"/>
      <c r="C55" s="20"/>
      <c r="D55" s="20"/>
    </row>
    <row r="56" spans="1:15" ht="20.25" x14ac:dyDescent="0.25">
      <c r="A56" s="89"/>
      <c r="B56" s="15"/>
      <c r="C56" s="20"/>
      <c r="D56" s="20"/>
    </row>
    <row r="57" spans="1:15" ht="20.25" x14ac:dyDescent="0.25">
      <c r="A57" s="89"/>
      <c r="B57" s="15"/>
      <c r="C57" s="20"/>
      <c r="D57" s="20"/>
    </row>
    <row r="58" spans="1:15" ht="20.25" x14ac:dyDescent="0.25">
      <c r="A58" s="89"/>
      <c r="B58" s="15"/>
      <c r="C58" s="20"/>
      <c r="D58" s="20"/>
    </row>
    <row r="59" spans="1:15" ht="20.25" x14ac:dyDescent="0.25">
      <c r="A59" s="89"/>
      <c r="B59" s="15"/>
      <c r="C59" s="20"/>
      <c r="D59" s="20"/>
    </row>
    <row r="60" spans="1:15" ht="20.25" x14ac:dyDescent="0.25">
      <c r="A60" s="89"/>
      <c r="B60" s="15"/>
      <c r="C60" s="20"/>
      <c r="D60" s="20"/>
    </row>
    <row r="61" spans="1:15" ht="20.25" x14ac:dyDescent="0.25">
      <c r="A61" s="89"/>
      <c r="B61" s="15"/>
      <c r="C61" s="20"/>
      <c r="D61" s="20"/>
    </row>
    <row r="62" spans="1:15" ht="20.25" x14ac:dyDescent="0.25">
      <c r="A62" s="89"/>
      <c r="B62" s="15"/>
      <c r="C62" s="20"/>
      <c r="D62" s="20"/>
    </row>
    <row r="63" spans="1:15" ht="20.25" x14ac:dyDescent="0.25">
      <c r="A63" s="89"/>
      <c r="B63" s="15"/>
      <c r="C63" s="20"/>
      <c r="D63" s="20"/>
    </row>
    <row r="64" spans="1:15" ht="20.25" x14ac:dyDescent="0.25">
      <c r="A64" s="89"/>
      <c r="B64" s="15"/>
      <c r="C64" s="20"/>
      <c r="D64" s="20"/>
    </row>
    <row r="65" spans="1:4" ht="20.25" x14ac:dyDescent="0.25">
      <c r="A65" s="89"/>
      <c r="B65" s="15"/>
      <c r="C65" s="20"/>
      <c r="D65" s="20"/>
    </row>
    <row r="66" spans="1:4" ht="20.25" x14ac:dyDescent="0.25">
      <c r="A66" s="89"/>
      <c r="B66" s="15"/>
      <c r="C66" s="20"/>
      <c r="D66" s="20"/>
    </row>
    <row r="67" spans="1:4" ht="20.25" x14ac:dyDescent="0.25">
      <c r="A67" s="89"/>
      <c r="B67" s="15"/>
      <c r="C67" s="20"/>
      <c r="D67" s="20"/>
    </row>
    <row r="68" spans="1:4" ht="20.25" x14ac:dyDescent="0.25">
      <c r="A68" s="89"/>
      <c r="B68" s="15"/>
      <c r="C68" s="20"/>
      <c r="D68" s="20"/>
    </row>
    <row r="69" spans="1:4" ht="20.25" x14ac:dyDescent="0.25">
      <c r="A69" s="89"/>
      <c r="B69" s="15"/>
      <c r="C69" s="20"/>
      <c r="D69" s="20"/>
    </row>
    <row r="70" spans="1:4" ht="20.25" x14ac:dyDescent="0.25">
      <c r="A70" s="89"/>
      <c r="B70" s="15"/>
      <c r="C70" s="20"/>
      <c r="D70" s="20"/>
    </row>
    <row r="71" spans="1:4" ht="20.25" x14ac:dyDescent="0.25">
      <c r="A71" s="89"/>
      <c r="B71" s="15"/>
      <c r="C71" s="20"/>
      <c r="D71" s="20"/>
    </row>
    <row r="72" spans="1:4" ht="20.25" x14ac:dyDescent="0.25">
      <c r="A72" s="89"/>
      <c r="B72" s="15"/>
      <c r="C72" s="20"/>
      <c r="D72" s="20"/>
    </row>
    <row r="73" spans="1:4" ht="20.25" x14ac:dyDescent="0.25">
      <c r="A73" s="89"/>
      <c r="B73" s="15"/>
      <c r="C73" s="20"/>
      <c r="D73" s="20"/>
    </row>
    <row r="74" spans="1:4" ht="20.25" x14ac:dyDescent="0.25">
      <c r="A74" s="89"/>
      <c r="B74" s="15"/>
      <c r="C74" s="20"/>
      <c r="D74" s="20"/>
    </row>
    <row r="75" spans="1:4" ht="20.25" x14ac:dyDescent="0.25">
      <c r="A75" s="89"/>
      <c r="B75" s="15"/>
      <c r="C75" s="20"/>
      <c r="D75" s="20"/>
    </row>
    <row r="76" spans="1:4" ht="20.25" x14ac:dyDescent="0.25">
      <c r="A76" s="89"/>
      <c r="B76" s="15"/>
      <c r="C76" s="20"/>
      <c r="D76" s="20"/>
    </row>
    <row r="77" spans="1:4" ht="20.25" x14ac:dyDescent="0.25">
      <c r="A77" s="89"/>
      <c r="B77" s="15"/>
      <c r="C77" s="20"/>
      <c r="D77" s="20"/>
    </row>
    <row r="78" spans="1:4" ht="20.25" x14ac:dyDescent="0.25">
      <c r="A78" s="89"/>
      <c r="B78" s="15"/>
      <c r="C78" s="20"/>
      <c r="D78" s="20"/>
    </row>
    <row r="79" spans="1:4" ht="20.25" x14ac:dyDescent="0.25">
      <c r="A79" s="89"/>
      <c r="B79" s="15"/>
      <c r="C79" s="20"/>
      <c r="D79" s="20"/>
    </row>
    <row r="80" spans="1:4" ht="20.25" x14ac:dyDescent="0.25">
      <c r="A80" s="89"/>
      <c r="B80" s="15"/>
      <c r="C80" s="20"/>
      <c r="D80" s="20"/>
    </row>
    <row r="81" spans="1:4" ht="20.25" x14ac:dyDescent="0.25">
      <c r="A81" s="89"/>
      <c r="B81" s="15"/>
      <c r="C81" s="20"/>
      <c r="D81" s="20"/>
    </row>
    <row r="82" spans="1:4" ht="20.25" x14ac:dyDescent="0.25">
      <c r="A82" s="89"/>
      <c r="B82" s="15"/>
      <c r="C82" s="20"/>
      <c r="D82" s="20"/>
    </row>
    <row r="83" spans="1:4" ht="20.25" x14ac:dyDescent="0.25">
      <c r="A83" s="89"/>
      <c r="B83" s="15"/>
      <c r="C83" s="20"/>
      <c r="D83" s="20"/>
    </row>
    <row r="84" spans="1:4" ht="20.25" x14ac:dyDescent="0.25">
      <c r="A84" s="89"/>
      <c r="B84" s="15"/>
      <c r="C84" s="20"/>
      <c r="D84" s="20"/>
    </row>
    <row r="85" spans="1:4" ht="20.25" x14ac:dyDescent="0.25">
      <c r="A85" s="89"/>
      <c r="B85" s="15"/>
      <c r="C85" s="20"/>
      <c r="D85" s="20"/>
    </row>
    <row r="86" spans="1:4" ht="20.25" x14ac:dyDescent="0.25">
      <c r="A86" s="89"/>
      <c r="B86" s="15"/>
      <c r="C86" s="20"/>
      <c r="D86" s="20"/>
    </row>
    <row r="87" spans="1:4" ht="20.25" x14ac:dyDescent="0.25">
      <c r="A87" s="89"/>
      <c r="B87" s="15"/>
      <c r="C87" s="20"/>
      <c r="D87" s="20"/>
    </row>
    <row r="88" spans="1:4" ht="20.25" x14ac:dyDescent="0.25">
      <c r="A88" s="89"/>
      <c r="B88" s="15"/>
      <c r="C88" s="20"/>
      <c r="D88" s="20"/>
    </row>
    <row r="89" spans="1:4" ht="20.25" x14ac:dyDescent="0.25">
      <c r="A89" s="89"/>
      <c r="B89" s="15"/>
      <c r="C89" s="20"/>
      <c r="D89" s="20"/>
    </row>
    <row r="90" spans="1:4" ht="20.25" x14ac:dyDescent="0.25">
      <c r="A90" s="89"/>
      <c r="B90" s="15"/>
      <c r="C90" s="20"/>
      <c r="D90" s="20"/>
    </row>
    <row r="91" spans="1:4" ht="20.25" x14ac:dyDescent="0.25">
      <c r="A91" s="89"/>
      <c r="B91" s="15"/>
      <c r="C91" s="20"/>
      <c r="D91" s="20"/>
    </row>
    <row r="92" spans="1:4" ht="20.25" x14ac:dyDescent="0.25">
      <c r="A92" s="89"/>
      <c r="B92" s="15"/>
      <c r="C92" s="20"/>
      <c r="D92" s="20"/>
    </row>
    <row r="93" spans="1:4" ht="20.25" x14ac:dyDescent="0.25">
      <c r="A93" s="89"/>
      <c r="B93" s="15"/>
      <c r="C93" s="20"/>
      <c r="D93" s="20"/>
    </row>
    <row r="94" spans="1:4" ht="20.25" x14ac:dyDescent="0.25">
      <c r="A94" s="89"/>
      <c r="B94" s="15"/>
      <c r="C94" s="20"/>
      <c r="D94" s="20"/>
    </row>
    <row r="95" spans="1:4" ht="20.25" x14ac:dyDescent="0.25">
      <c r="A95" s="89"/>
      <c r="B95" s="15"/>
      <c r="C95" s="20"/>
      <c r="D95" s="20"/>
    </row>
    <row r="96" spans="1:4" ht="20.25" x14ac:dyDescent="0.25">
      <c r="A96" s="89"/>
      <c r="B96" s="15"/>
      <c r="C96" s="20"/>
      <c r="D96" s="20"/>
    </row>
    <row r="97" spans="1:4" ht="20.25" x14ac:dyDescent="0.25">
      <c r="A97" s="89"/>
      <c r="B97" s="15"/>
      <c r="C97" s="20"/>
      <c r="D97" s="20"/>
    </row>
    <row r="98" spans="1:4" ht="20.25" x14ac:dyDescent="0.25">
      <c r="A98" s="89"/>
      <c r="B98" s="15"/>
      <c r="C98" s="20"/>
      <c r="D98" s="20"/>
    </row>
    <row r="99" spans="1:4" ht="20.25" x14ac:dyDescent="0.25">
      <c r="A99" s="89"/>
      <c r="B99" s="15"/>
      <c r="C99" s="20"/>
      <c r="D99" s="20"/>
    </row>
    <row r="100" spans="1:4" ht="20.25" x14ac:dyDescent="0.25">
      <c r="A100" s="89"/>
      <c r="B100" s="15"/>
      <c r="C100" s="20"/>
      <c r="D100" s="20"/>
    </row>
    <row r="101" spans="1:4" ht="20.25" x14ac:dyDescent="0.25">
      <c r="A101" s="89"/>
      <c r="B101" s="15"/>
      <c r="C101" s="20"/>
      <c r="D101" s="20"/>
    </row>
    <row r="102" spans="1:4" ht="20.25" x14ac:dyDescent="0.25">
      <c r="A102" s="89"/>
      <c r="B102" s="15"/>
      <c r="C102" s="20"/>
      <c r="D102" s="20"/>
    </row>
    <row r="103" spans="1:4" ht="20.25" x14ac:dyDescent="0.25">
      <c r="A103" s="89"/>
      <c r="B103" s="15"/>
      <c r="C103" s="20"/>
      <c r="D103" s="20"/>
    </row>
    <row r="104" spans="1:4" ht="20.25" x14ac:dyDescent="0.25">
      <c r="A104" s="89"/>
      <c r="B104" s="15"/>
      <c r="C104" s="20"/>
      <c r="D104" s="20"/>
    </row>
    <row r="105" spans="1:4" ht="20.25" x14ac:dyDescent="0.25">
      <c r="A105" s="89"/>
      <c r="B105" s="15"/>
      <c r="C105" s="20"/>
      <c r="D105" s="20"/>
    </row>
    <row r="106" spans="1:4" ht="20.25" x14ac:dyDescent="0.25">
      <c r="A106" s="89"/>
      <c r="B106" s="15"/>
      <c r="C106" s="20"/>
      <c r="D106" s="20"/>
    </row>
    <row r="107" spans="1:4" ht="20.25" x14ac:dyDescent="0.25">
      <c r="A107" s="89"/>
      <c r="B107" s="15"/>
      <c r="C107" s="20"/>
      <c r="D107" s="20"/>
    </row>
    <row r="108" spans="1:4" ht="20.25" x14ac:dyDescent="0.25">
      <c r="A108" s="89"/>
      <c r="B108" s="15"/>
      <c r="C108" s="20"/>
      <c r="D108" s="20"/>
    </row>
    <row r="109" spans="1:4" ht="20.25" x14ac:dyDescent="0.25">
      <c r="A109" s="89"/>
      <c r="B109" s="15"/>
      <c r="C109" s="20"/>
      <c r="D109" s="20"/>
    </row>
    <row r="110" spans="1:4" ht="20.25" x14ac:dyDescent="0.25">
      <c r="A110" s="89"/>
      <c r="B110" s="15"/>
      <c r="C110" s="20"/>
      <c r="D110" s="20"/>
    </row>
    <row r="111" spans="1:4" ht="20.25" x14ac:dyDescent="0.25">
      <c r="A111" s="89"/>
      <c r="B111" s="15"/>
      <c r="C111" s="20"/>
      <c r="D111" s="20"/>
    </row>
    <row r="112" spans="1:4" ht="20.25" x14ac:dyDescent="0.25">
      <c r="A112" s="89"/>
      <c r="B112" s="15"/>
      <c r="C112" s="20"/>
      <c r="D112" s="20"/>
    </row>
    <row r="113" spans="1:4" ht="20.25" x14ac:dyDescent="0.25">
      <c r="A113" s="89"/>
      <c r="B113" s="15"/>
      <c r="C113" s="20"/>
      <c r="D113" s="20"/>
    </row>
    <row r="114" spans="1:4" ht="20.25" x14ac:dyDescent="0.25">
      <c r="A114" s="89"/>
      <c r="B114" s="15"/>
      <c r="C114" s="20"/>
      <c r="D114" s="20"/>
    </row>
    <row r="115" spans="1:4" ht="20.25" x14ac:dyDescent="0.25">
      <c r="A115" s="89"/>
      <c r="B115" s="15"/>
      <c r="C115" s="20"/>
      <c r="D115" s="20"/>
    </row>
    <row r="116" spans="1:4" ht="20.25" x14ac:dyDescent="0.25">
      <c r="A116" s="89"/>
      <c r="B116" s="15"/>
      <c r="C116" s="20"/>
      <c r="D116" s="20"/>
    </row>
    <row r="117" spans="1:4" ht="20.25" x14ac:dyDescent="0.25">
      <c r="A117" s="89"/>
      <c r="B117" s="15"/>
      <c r="C117" s="20"/>
      <c r="D117" s="20"/>
    </row>
    <row r="118" spans="1:4" ht="20.25" x14ac:dyDescent="0.25">
      <c r="A118" s="89"/>
      <c r="B118" s="15"/>
      <c r="C118" s="20"/>
      <c r="D118" s="20"/>
    </row>
    <row r="119" spans="1:4" ht="20.25" x14ac:dyDescent="0.25">
      <c r="A119" s="89"/>
      <c r="B119" s="15"/>
      <c r="C119" s="20"/>
      <c r="D119" s="20"/>
    </row>
    <row r="120" spans="1:4" ht="20.25" x14ac:dyDescent="0.25">
      <c r="A120" s="89"/>
      <c r="B120" s="15"/>
      <c r="C120" s="20"/>
      <c r="D120" s="20"/>
    </row>
    <row r="121" spans="1:4" ht="20.25" x14ac:dyDescent="0.25">
      <c r="A121" s="89"/>
      <c r="B121" s="15"/>
      <c r="C121" s="20"/>
      <c r="D121" s="20"/>
    </row>
    <row r="122" spans="1:4" ht="20.25" x14ac:dyDescent="0.25">
      <c r="A122" s="89"/>
      <c r="B122" s="15"/>
      <c r="C122" s="20"/>
      <c r="D122" s="20"/>
    </row>
    <row r="123" spans="1:4" ht="20.25" x14ac:dyDescent="0.25">
      <c r="A123" s="89"/>
      <c r="B123" s="15"/>
      <c r="C123" s="20"/>
      <c r="D123" s="20"/>
    </row>
    <row r="124" spans="1:4" ht="20.25" x14ac:dyDescent="0.25">
      <c r="A124" s="89"/>
      <c r="B124" s="15"/>
      <c r="C124" s="20"/>
      <c r="D124" s="20"/>
    </row>
    <row r="125" spans="1:4" ht="20.25" x14ac:dyDescent="0.25">
      <c r="A125" s="89"/>
      <c r="B125" s="15"/>
      <c r="C125" s="20"/>
      <c r="D125" s="20"/>
    </row>
    <row r="126" spans="1:4" ht="20.25" x14ac:dyDescent="0.25">
      <c r="A126" s="89"/>
      <c r="B126" s="15"/>
      <c r="C126" s="20"/>
      <c r="D126" s="20"/>
    </row>
    <row r="127" spans="1:4" ht="20.25" x14ac:dyDescent="0.25">
      <c r="A127" s="89"/>
      <c r="B127" s="15"/>
      <c r="C127" s="20"/>
      <c r="D127" s="20"/>
    </row>
    <row r="128" spans="1:4" ht="20.25" x14ac:dyDescent="0.25">
      <c r="A128" s="89"/>
      <c r="B128" s="15"/>
      <c r="C128" s="20"/>
      <c r="D128" s="20"/>
    </row>
    <row r="129" spans="1:4" ht="20.25" x14ac:dyDescent="0.25">
      <c r="A129" s="89"/>
      <c r="B129" s="15"/>
      <c r="C129" s="20"/>
      <c r="D129" s="20"/>
    </row>
    <row r="130" spans="1:4" ht="20.25" x14ac:dyDescent="0.25">
      <c r="A130" s="89"/>
      <c r="B130" s="15"/>
      <c r="C130" s="20"/>
      <c r="D130" s="20"/>
    </row>
    <row r="131" spans="1:4" ht="20.25" x14ac:dyDescent="0.25">
      <c r="A131" s="89"/>
      <c r="B131" s="15"/>
      <c r="C131" s="20"/>
      <c r="D131" s="20"/>
    </row>
    <row r="132" spans="1:4" ht="20.25" x14ac:dyDescent="0.25">
      <c r="A132" s="89"/>
      <c r="B132" s="15"/>
      <c r="C132" s="20"/>
      <c r="D132" s="20"/>
    </row>
    <row r="133" spans="1:4" ht="20.25" x14ac:dyDescent="0.25">
      <c r="A133" s="89"/>
      <c r="B133" s="15"/>
      <c r="C133" s="20"/>
      <c r="D133" s="20"/>
    </row>
    <row r="134" spans="1:4" ht="20.25" x14ac:dyDescent="0.25">
      <c r="A134" s="89"/>
      <c r="B134" s="15"/>
      <c r="C134" s="20"/>
      <c r="D134" s="20"/>
    </row>
    <row r="135" spans="1:4" ht="20.25" x14ac:dyDescent="0.25">
      <c r="A135" s="89"/>
      <c r="B135" s="15"/>
      <c r="C135" s="20"/>
      <c r="D135" s="20"/>
    </row>
    <row r="136" spans="1:4" ht="20.25" x14ac:dyDescent="0.25">
      <c r="A136" s="89"/>
      <c r="B136" s="15"/>
      <c r="C136" s="20"/>
      <c r="D136" s="20"/>
    </row>
    <row r="137" spans="1:4" ht="20.25" x14ac:dyDescent="0.25">
      <c r="A137" s="89"/>
      <c r="B137" s="15"/>
      <c r="C137" s="20"/>
      <c r="D137" s="20"/>
    </row>
    <row r="138" spans="1:4" ht="20.25" x14ac:dyDescent="0.25">
      <c r="A138" s="89"/>
      <c r="B138" s="15"/>
      <c r="C138" s="20"/>
      <c r="D138" s="20"/>
    </row>
    <row r="139" spans="1:4" ht="20.25" x14ac:dyDescent="0.25">
      <c r="A139" s="89"/>
      <c r="B139" s="15"/>
      <c r="C139" s="20"/>
      <c r="D139" s="20"/>
    </row>
    <row r="140" spans="1:4" ht="20.25" x14ac:dyDescent="0.25">
      <c r="A140" s="89"/>
      <c r="B140" s="15"/>
      <c r="C140" s="20"/>
      <c r="D140" s="20"/>
    </row>
    <row r="141" spans="1:4" ht="20.25" x14ac:dyDescent="0.25">
      <c r="A141" s="89"/>
      <c r="B141" s="15"/>
      <c r="C141" s="20"/>
      <c r="D141" s="20"/>
    </row>
    <row r="142" spans="1:4" ht="20.25" x14ac:dyDescent="0.25">
      <c r="A142" s="89"/>
      <c r="B142" s="15"/>
      <c r="C142" s="20"/>
      <c r="D142" s="20"/>
    </row>
    <row r="143" spans="1:4" ht="20.25" x14ac:dyDescent="0.25">
      <c r="A143" s="89"/>
      <c r="B143" s="15"/>
      <c r="C143" s="20"/>
      <c r="D143" s="20"/>
    </row>
    <row r="144" spans="1:4" ht="20.25" x14ac:dyDescent="0.25">
      <c r="A144" s="89"/>
      <c r="B144" s="15"/>
      <c r="C144" s="20"/>
      <c r="D144" s="20"/>
    </row>
    <row r="145" spans="1:4" ht="20.25" x14ac:dyDescent="0.25">
      <c r="A145" s="89"/>
      <c r="B145" s="15"/>
      <c r="C145" s="20"/>
      <c r="D145" s="20"/>
    </row>
    <row r="146" spans="1:4" ht="20.25" x14ac:dyDescent="0.25">
      <c r="A146" s="89"/>
      <c r="B146" s="15"/>
      <c r="C146" s="20"/>
      <c r="D146" s="20"/>
    </row>
    <row r="147" spans="1:4" ht="20.25" x14ac:dyDescent="0.25">
      <c r="A147" s="89"/>
      <c r="B147" s="15"/>
      <c r="C147" s="20"/>
      <c r="D147" s="20"/>
    </row>
    <row r="148" spans="1:4" ht="20.25" x14ac:dyDescent="0.25">
      <c r="A148" s="89"/>
      <c r="B148" s="15"/>
      <c r="C148" s="20"/>
      <c r="D148" s="20"/>
    </row>
    <row r="149" spans="1:4" ht="20.25" x14ac:dyDescent="0.25">
      <c r="A149" s="89"/>
      <c r="B149" s="15"/>
      <c r="C149" s="20"/>
      <c r="D149" s="20"/>
    </row>
    <row r="150" spans="1:4" ht="20.25" x14ac:dyDescent="0.25">
      <c r="A150" s="89"/>
      <c r="B150" s="15"/>
      <c r="C150" s="20"/>
      <c r="D150" s="20"/>
    </row>
    <row r="151" spans="1:4" ht="20.25" x14ac:dyDescent="0.25">
      <c r="A151" s="89"/>
      <c r="B151" s="15"/>
      <c r="C151" s="20"/>
      <c r="D151" s="20"/>
    </row>
    <row r="152" spans="1:4" ht="20.25" x14ac:dyDescent="0.25">
      <c r="A152" s="89"/>
      <c r="B152" s="15"/>
      <c r="C152" s="20"/>
      <c r="D152" s="20"/>
    </row>
    <row r="153" spans="1:4" ht="20.25" x14ac:dyDescent="0.25">
      <c r="A153" s="89"/>
      <c r="B153" s="15"/>
      <c r="C153" s="20"/>
      <c r="D153" s="20"/>
    </row>
    <row r="154" spans="1:4" ht="20.25" x14ac:dyDescent="0.25">
      <c r="A154" s="89"/>
      <c r="B154" s="15"/>
      <c r="C154" s="20"/>
      <c r="D154" s="20"/>
    </row>
    <row r="155" spans="1:4" ht="20.25" x14ac:dyDescent="0.25">
      <c r="A155" s="89"/>
      <c r="B155" s="15"/>
      <c r="C155" s="20"/>
      <c r="D155" s="20"/>
    </row>
    <row r="156" spans="1:4" ht="20.25" x14ac:dyDescent="0.25">
      <c r="A156" s="89"/>
      <c r="B156" s="15"/>
      <c r="C156" s="20"/>
      <c r="D156" s="20"/>
    </row>
    <row r="157" spans="1:4" ht="20.25" x14ac:dyDescent="0.25">
      <c r="A157" s="89"/>
      <c r="B157" s="15"/>
      <c r="C157" s="20"/>
      <c r="D157" s="20"/>
    </row>
    <row r="158" spans="1:4" ht="20.25" x14ac:dyDescent="0.25">
      <c r="A158" s="89"/>
      <c r="B158" s="15"/>
      <c r="C158" s="20"/>
      <c r="D158" s="20"/>
    </row>
    <row r="159" spans="1:4" ht="20.25" x14ac:dyDescent="0.25">
      <c r="A159" s="89"/>
      <c r="B159" s="15"/>
      <c r="C159" s="20"/>
      <c r="D159" s="20"/>
    </row>
    <row r="160" spans="1:4" ht="20.25" x14ac:dyDescent="0.25">
      <c r="A160" s="89"/>
      <c r="B160" s="15"/>
      <c r="C160" s="20"/>
      <c r="D160" s="20"/>
    </row>
    <row r="161" spans="1:4" ht="20.25" x14ac:dyDescent="0.25">
      <c r="A161" s="89"/>
      <c r="B161" s="15"/>
      <c r="C161" s="20"/>
      <c r="D161" s="20"/>
    </row>
    <row r="162" spans="1:4" ht="20.25" x14ac:dyDescent="0.25">
      <c r="A162" s="89"/>
      <c r="B162" s="15"/>
      <c r="C162" s="20"/>
      <c r="D162" s="20"/>
    </row>
    <row r="163" spans="1:4" ht="20.25" x14ac:dyDescent="0.25">
      <c r="A163" s="89"/>
      <c r="B163" s="15"/>
      <c r="C163" s="20"/>
      <c r="D163" s="20"/>
    </row>
    <row r="164" spans="1:4" ht="20.25" x14ac:dyDescent="0.25">
      <c r="A164" s="89"/>
      <c r="B164" s="15"/>
      <c r="C164" s="20"/>
      <c r="D164" s="20"/>
    </row>
    <row r="165" spans="1:4" ht="20.25" x14ac:dyDescent="0.25">
      <c r="A165" s="89"/>
      <c r="B165" s="15"/>
      <c r="C165" s="20"/>
      <c r="D165" s="20"/>
    </row>
    <row r="166" spans="1:4" ht="20.25" x14ac:dyDescent="0.25">
      <c r="A166" s="89"/>
      <c r="B166" s="15"/>
      <c r="C166" s="20"/>
      <c r="D166" s="20"/>
    </row>
    <row r="167" spans="1:4" ht="20.25" x14ac:dyDescent="0.25">
      <c r="A167" s="89"/>
      <c r="B167" s="15"/>
      <c r="C167" s="20"/>
      <c r="D167" s="20"/>
    </row>
    <row r="168" spans="1:4" ht="20.25" x14ac:dyDescent="0.25">
      <c r="A168" s="89"/>
      <c r="B168" s="15"/>
      <c r="C168" s="20"/>
      <c r="D168" s="20"/>
    </row>
    <row r="169" spans="1:4" ht="20.25" x14ac:dyDescent="0.25">
      <c r="A169" s="89"/>
      <c r="B169" s="15"/>
      <c r="C169" s="20"/>
      <c r="D169" s="20"/>
    </row>
    <row r="170" spans="1:4" ht="20.25" x14ac:dyDescent="0.25">
      <c r="A170" s="89"/>
      <c r="B170" s="15"/>
      <c r="C170" s="20"/>
      <c r="D170" s="20"/>
    </row>
    <row r="171" spans="1:4" ht="20.25" x14ac:dyDescent="0.25">
      <c r="A171" s="89"/>
      <c r="B171" s="15"/>
      <c r="C171" s="20"/>
      <c r="D171" s="20"/>
    </row>
    <row r="172" spans="1:4" ht="20.25" x14ac:dyDescent="0.25">
      <c r="A172" s="89"/>
      <c r="B172" s="15"/>
      <c r="C172" s="20"/>
      <c r="D172" s="20"/>
    </row>
    <row r="173" spans="1:4" ht="20.25" x14ac:dyDescent="0.25">
      <c r="A173" s="89"/>
      <c r="B173" s="15"/>
      <c r="C173" s="20"/>
      <c r="D173" s="20"/>
    </row>
    <row r="174" spans="1:4" ht="20.25" x14ac:dyDescent="0.25">
      <c r="A174" s="89"/>
      <c r="B174" s="15"/>
      <c r="C174" s="20"/>
      <c r="D174" s="20"/>
    </row>
    <row r="175" spans="1:4" ht="20.25" x14ac:dyDescent="0.25">
      <c r="A175" s="89"/>
      <c r="B175" s="15"/>
      <c r="C175" s="20"/>
      <c r="D175" s="20"/>
    </row>
    <row r="176" spans="1:4" ht="20.25" x14ac:dyDescent="0.25">
      <c r="A176" s="89"/>
      <c r="B176" s="15"/>
      <c r="C176" s="20"/>
      <c r="D176" s="20"/>
    </row>
    <row r="177" spans="1:4" ht="20.25" x14ac:dyDescent="0.25">
      <c r="A177" s="89"/>
      <c r="B177" s="15"/>
      <c r="C177" s="20"/>
      <c r="D177" s="20"/>
    </row>
    <row r="178" spans="1:4" ht="20.25" x14ac:dyDescent="0.25">
      <c r="A178" s="89"/>
      <c r="B178" s="15"/>
      <c r="C178" s="20"/>
      <c r="D178" s="20"/>
    </row>
    <row r="179" spans="1:4" ht="20.25" x14ac:dyDescent="0.25">
      <c r="A179" s="89"/>
      <c r="B179" s="15"/>
      <c r="C179" s="20"/>
      <c r="D179" s="20"/>
    </row>
    <row r="180" spans="1:4" ht="20.25" x14ac:dyDescent="0.25">
      <c r="A180" s="89"/>
      <c r="B180" s="15"/>
      <c r="C180" s="20"/>
      <c r="D180" s="20"/>
    </row>
    <row r="181" spans="1:4" ht="20.25" x14ac:dyDescent="0.25">
      <c r="A181" s="89"/>
      <c r="B181" s="15"/>
      <c r="C181" s="20"/>
      <c r="D181" s="20"/>
    </row>
    <row r="182" spans="1:4" ht="20.25" x14ac:dyDescent="0.25">
      <c r="A182" s="89"/>
      <c r="B182" s="15"/>
      <c r="C182" s="20"/>
      <c r="D182" s="20"/>
    </row>
    <row r="183" spans="1:4" ht="20.25" x14ac:dyDescent="0.25">
      <c r="A183" s="89"/>
      <c r="B183" s="15"/>
      <c r="C183" s="20"/>
      <c r="D183" s="20"/>
    </row>
    <row r="184" spans="1:4" ht="20.25" x14ac:dyDescent="0.25">
      <c r="A184" s="89"/>
      <c r="B184" s="15"/>
      <c r="C184" s="20"/>
      <c r="D184" s="20"/>
    </row>
    <row r="185" spans="1:4" ht="20.25" x14ac:dyDescent="0.25">
      <c r="A185" s="89"/>
      <c r="B185" s="15"/>
      <c r="C185" s="20"/>
      <c r="D185" s="20"/>
    </row>
    <row r="186" spans="1:4" ht="20.25" x14ac:dyDescent="0.25">
      <c r="A186" s="89"/>
      <c r="B186" s="15"/>
      <c r="C186" s="20"/>
      <c r="D186" s="20"/>
    </row>
    <row r="187" spans="1:4" ht="20.25" x14ac:dyDescent="0.25">
      <c r="A187" s="89"/>
      <c r="B187" s="15"/>
      <c r="C187" s="20"/>
      <c r="D187" s="20"/>
    </row>
    <row r="188" spans="1:4" ht="20.25" x14ac:dyDescent="0.25">
      <c r="A188" s="89"/>
      <c r="B188" s="15"/>
      <c r="C188" s="20"/>
      <c r="D188" s="20"/>
    </row>
    <row r="189" spans="1:4" ht="20.25" x14ac:dyDescent="0.25">
      <c r="A189" s="89"/>
      <c r="B189" s="15"/>
      <c r="C189" s="20"/>
      <c r="D189" s="20"/>
    </row>
    <row r="190" spans="1:4" ht="20.25" x14ac:dyDescent="0.25">
      <c r="A190" s="89"/>
      <c r="B190" s="15"/>
      <c r="C190" s="20"/>
      <c r="D190" s="20"/>
    </row>
    <row r="191" spans="1:4" ht="20.25" x14ac:dyDescent="0.25">
      <c r="A191" s="89"/>
      <c r="B191" s="15"/>
      <c r="C191" s="20"/>
      <c r="D191" s="20"/>
    </row>
    <row r="192" spans="1:4" ht="20.25" x14ac:dyDescent="0.25">
      <c r="A192" s="89"/>
      <c r="B192" s="15"/>
      <c r="C192" s="20"/>
      <c r="D192" s="20"/>
    </row>
    <row r="193" spans="1:4" ht="20.25" x14ac:dyDescent="0.25">
      <c r="A193" s="89"/>
      <c r="B193" s="15"/>
      <c r="C193" s="20"/>
      <c r="D193" s="20"/>
    </row>
    <row r="194" spans="1:4" ht="20.25" x14ac:dyDescent="0.25">
      <c r="A194" s="89"/>
      <c r="B194" s="15"/>
      <c r="C194" s="20"/>
      <c r="D194" s="20"/>
    </row>
    <row r="195" spans="1:4" ht="20.25" x14ac:dyDescent="0.25">
      <c r="A195" s="89"/>
      <c r="B195" s="15"/>
      <c r="C195" s="20"/>
      <c r="D195" s="20"/>
    </row>
    <row r="196" spans="1:4" ht="20.25" x14ac:dyDescent="0.25">
      <c r="A196" s="89"/>
      <c r="B196" s="15"/>
      <c r="C196" s="20"/>
      <c r="D196" s="20"/>
    </row>
    <row r="197" spans="1:4" ht="20.25" x14ac:dyDescent="0.25">
      <c r="A197" s="89"/>
      <c r="B197" s="15"/>
      <c r="C197" s="20"/>
      <c r="D197" s="20"/>
    </row>
    <row r="198" spans="1:4" ht="20.25" x14ac:dyDescent="0.25">
      <c r="A198" s="89"/>
      <c r="B198" s="15"/>
      <c r="C198" s="20"/>
      <c r="D198" s="20"/>
    </row>
    <row r="199" spans="1:4" ht="20.25" x14ac:dyDescent="0.25">
      <c r="A199" s="89"/>
      <c r="B199" s="15"/>
      <c r="C199" s="20"/>
      <c r="D199" s="20"/>
    </row>
    <row r="200" spans="1:4" ht="20.25" x14ac:dyDescent="0.25">
      <c r="A200" s="89"/>
      <c r="B200" s="15"/>
      <c r="C200" s="20"/>
      <c r="D200" s="20"/>
    </row>
    <row r="201" spans="1:4" ht="20.25" x14ac:dyDescent="0.25">
      <c r="A201" s="89"/>
      <c r="B201" s="15"/>
      <c r="C201" s="20"/>
      <c r="D201" s="20"/>
    </row>
    <row r="202" spans="1:4" ht="20.25" x14ac:dyDescent="0.25">
      <c r="A202" s="89"/>
      <c r="B202" s="15"/>
      <c r="C202" s="20"/>
      <c r="D202" s="20"/>
    </row>
    <row r="203" spans="1:4" ht="20.25" x14ac:dyDescent="0.25">
      <c r="A203" s="89"/>
      <c r="B203" s="15"/>
      <c r="C203" s="20"/>
      <c r="D203" s="20"/>
    </row>
    <row r="204" spans="1:4" ht="20.25" x14ac:dyDescent="0.25">
      <c r="A204" s="89"/>
      <c r="B204" s="15"/>
      <c r="C204" s="20"/>
      <c r="D204" s="20"/>
    </row>
    <row r="205" spans="1:4" ht="20.25" x14ac:dyDescent="0.25">
      <c r="A205" s="89"/>
      <c r="B205" s="15"/>
      <c r="C205" s="20"/>
      <c r="D205" s="20"/>
    </row>
    <row r="206" spans="1:4" ht="20.25" x14ac:dyDescent="0.25">
      <c r="A206" s="89"/>
      <c r="B206" s="15"/>
      <c r="C206" s="20"/>
      <c r="D206" s="20"/>
    </row>
    <row r="207" spans="1:4" ht="20.25" x14ac:dyDescent="0.25">
      <c r="A207" s="89"/>
      <c r="B207" s="15"/>
      <c r="C207" s="20"/>
      <c r="D207" s="20"/>
    </row>
    <row r="208" spans="1:4" x14ac:dyDescent="0.25">
      <c r="A208" s="69"/>
      <c r="B208" s="15"/>
      <c r="C208" s="15"/>
      <c r="D208" s="15"/>
    </row>
    <row r="209" spans="1:8" ht="20.25" x14ac:dyDescent="0.25">
      <c r="A209" s="69"/>
      <c r="B209" s="16" t="s">
        <v>200</v>
      </c>
      <c r="C209" s="16" t="s">
        <v>201</v>
      </c>
      <c r="D209" s="19" t="s">
        <v>200</v>
      </c>
      <c r="E209" s="19" t="s">
        <v>201</v>
      </c>
    </row>
    <row r="210" spans="1:8" ht="21" x14ac:dyDescent="0.35">
      <c r="A210" s="69"/>
      <c r="B210" s="17" t="s">
        <v>202</v>
      </c>
      <c r="C210" s="17" t="s">
        <v>203</v>
      </c>
      <c r="D210" t="s">
        <v>202</v>
      </c>
      <c r="F210" t="str">
        <f>IF(NOT(ISBLANK(D210)),D210,IF(NOT(ISBLANK(E210)),"     "&amp;E210,FALSE))</f>
        <v>Afectación Económica o presupuestal</v>
      </c>
      <c r="G210" t="s">
        <v>202</v>
      </c>
      <c r="H210" t="str">
        <f ca="1">IF(NOT(ISERROR(MATCH(G210,_xlfn.ANCHORARRAY(B221),0))),F223&amp;"Por favor no seleccionar los criterios de impacto",G210)</f>
        <v>Afectación Económica o presupuestal</v>
      </c>
    </row>
    <row r="211" spans="1:8" ht="21" x14ac:dyDescent="0.35">
      <c r="A211" s="69"/>
      <c r="B211" s="17" t="s">
        <v>202</v>
      </c>
      <c r="C211" s="17" t="s">
        <v>189</v>
      </c>
      <c r="E211" t="s">
        <v>203</v>
      </c>
      <c r="F211" t="str">
        <f t="shared" ref="F211:F221" si="0">IF(NOT(ISBLANK(D211)),D211,IF(NOT(ISBLANK(E211)),"     "&amp;E211,FALSE))</f>
        <v xml:space="preserve">     Afectación menor a 10 SMLMV .</v>
      </c>
    </row>
    <row r="212" spans="1:8" ht="21" x14ac:dyDescent="0.35">
      <c r="A212" s="69"/>
      <c r="B212" s="17" t="s">
        <v>202</v>
      </c>
      <c r="C212" s="17" t="s">
        <v>192</v>
      </c>
      <c r="E212" t="s">
        <v>189</v>
      </c>
      <c r="F212" t="str">
        <f t="shared" si="0"/>
        <v xml:space="preserve">     Entre 10 y 50 SMLMV </v>
      </c>
    </row>
    <row r="213" spans="1:8" ht="21" x14ac:dyDescent="0.35">
      <c r="A213" s="69"/>
      <c r="B213" s="17" t="s">
        <v>202</v>
      </c>
      <c r="C213" s="17" t="s">
        <v>195</v>
      </c>
      <c r="E213" t="s">
        <v>192</v>
      </c>
      <c r="F213" t="str">
        <f t="shared" si="0"/>
        <v xml:space="preserve">     Entre 50 y 100 SMLMV </v>
      </c>
    </row>
    <row r="214" spans="1:8" ht="21" x14ac:dyDescent="0.35">
      <c r="A214" s="69"/>
      <c r="B214" s="17" t="s">
        <v>202</v>
      </c>
      <c r="C214" s="17" t="s">
        <v>198</v>
      </c>
      <c r="E214" t="s">
        <v>195</v>
      </c>
      <c r="F214" t="str">
        <f t="shared" si="0"/>
        <v xml:space="preserve">     Entre 100 y 500 SMLMV </v>
      </c>
    </row>
    <row r="215" spans="1:8" ht="21" x14ac:dyDescent="0.35">
      <c r="A215" s="69"/>
      <c r="B215" s="17" t="s">
        <v>184</v>
      </c>
      <c r="C215" s="17" t="s">
        <v>187</v>
      </c>
      <c r="E215" t="s">
        <v>198</v>
      </c>
      <c r="F215" t="str">
        <f t="shared" si="0"/>
        <v xml:space="preserve">     Mayor a 500 SMLMV </v>
      </c>
    </row>
    <row r="216" spans="1:8" ht="21" x14ac:dyDescent="0.35">
      <c r="A216" s="69"/>
      <c r="B216" s="17" t="s">
        <v>184</v>
      </c>
      <c r="C216" s="17" t="s">
        <v>190</v>
      </c>
      <c r="D216" t="s">
        <v>184</v>
      </c>
      <c r="F216" t="str">
        <f t="shared" si="0"/>
        <v>Pérdida Reputacional</v>
      </c>
    </row>
    <row r="217" spans="1:8" ht="21" x14ac:dyDescent="0.35">
      <c r="A217" s="69"/>
      <c r="B217" s="17" t="s">
        <v>184</v>
      </c>
      <c r="C217" s="17" t="s">
        <v>193</v>
      </c>
      <c r="E217" t="s">
        <v>187</v>
      </c>
      <c r="F217" t="str">
        <f t="shared" si="0"/>
        <v xml:space="preserve">     El riesgo afecta la imagen de alguna área de la organización</v>
      </c>
    </row>
    <row r="218" spans="1:8" ht="21" x14ac:dyDescent="0.35">
      <c r="A218" s="69"/>
      <c r="B218" s="17" t="s">
        <v>184</v>
      </c>
      <c r="C218" s="17" t="s">
        <v>196</v>
      </c>
      <c r="E218" t="s">
        <v>190</v>
      </c>
      <c r="F218" t="str">
        <f t="shared" si="0"/>
        <v xml:space="preserve">     El riesgo afecta la imagen de la entidad internamente, de conocimiento general, nivel interno, de junta dircetiva y accionistas y/o de provedores</v>
      </c>
    </row>
    <row r="219" spans="1:8" ht="21" x14ac:dyDescent="0.35">
      <c r="A219" s="69"/>
      <c r="B219" s="17" t="s">
        <v>184</v>
      </c>
      <c r="C219" s="17" t="s">
        <v>199</v>
      </c>
      <c r="E219" t="s">
        <v>193</v>
      </c>
      <c r="F219" t="str">
        <f t="shared" si="0"/>
        <v xml:space="preserve">     El riesgo afecta la imagen de la entidad con algunos usuarios de relevancia frente al logro de los objetivos</v>
      </c>
    </row>
    <row r="220" spans="1:8" x14ac:dyDescent="0.25">
      <c r="A220" s="69"/>
      <c r="B220" s="18"/>
      <c r="C220" s="18"/>
      <c r="E220" t="s">
        <v>196</v>
      </c>
      <c r="F220" t="str">
        <f t="shared" si="0"/>
        <v xml:space="preserve">     El riesgo afecta la imagen de de la entidad con efecto publicitario sostenido a nivel de sector administrativo, nivel departamental o municipal</v>
      </c>
    </row>
    <row r="221" spans="1:8" x14ac:dyDescent="0.25">
      <c r="A221" s="69"/>
      <c r="B221" s="18" t="e">
        <f t="array" aca="1" ref="B221:B223" ca="1">_xlfn.UNIQUE('Tabla Impacto'!$B$209:$B$219)</f>
        <v>#NAME?</v>
      </c>
      <c r="C221" s="18"/>
      <c r="E221" t="s">
        <v>199</v>
      </c>
      <c r="F221" t="str">
        <f t="shared" si="0"/>
        <v xml:space="preserve">     El riesgo afecta la imagen de la entidad a nivel nacional, con efecto publicitarios sostenible a nivel país</v>
      </c>
    </row>
    <row r="222" spans="1:8" x14ac:dyDescent="0.25">
      <c r="A222" s="69"/>
      <c r="B222" s="18" t="e">
        <f ca="1"/>
        <v>#NAME?</v>
      </c>
      <c r="C222" s="18"/>
    </row>
    <row r="223" spans="1:8" x14ac:dyDescent="0.25">
      <c r="B223" s="18" t="e">
        <f ca="1"/>
        <v>#NAME?</v>
      </c>
      <c r="C223" s="18"/>
      <c r="F223" s="21" t="s">
        <v>204</v>
      </c>
    </row>
    <row r="224" spans="1:8" x14ac:dyDescent="0.25">
      <c r="B224" s="14"/>
      <c r="C224" s="14"/>
      <c r="F224" s="21" t="s">
        <v>205</v>
      </c>
    </row>
    <row r="225" spans="2:4" x14ac:dyDescent="0.25">
      <c r="B225" s="14"/>
      <c r="C225" s="14"/>
    </row>
    <row r="226" spans="2:4" x14ac:dyDescent="0.25">
      <c r="B226" s="14"/>
      <c r="C226" s="14"/>
    </row>
    <row r="227" spans="2:4" x14ac:dyDescent="0.25">
      <c r="B227" s="14"/>
      <c r="C227" s="14"/>
      <c r="D227" s="14"/>
    </row>
    <row r="228" spans="2:4" x14ac:dyDescent="0.25">
      <c r="B228" s="14"/>
      <c r="C228" s="14"/>
      <c r="D228" s="14"/>
    </row>
    <row r="229" spans="2:4" x14ac:dyDescent="0.25">
      <c r="B229" s="14"/>
      <c r="C229" s="14"/>
      <c r="D229" s="14"/>
    </row>
    <row r="230" spans="2:4" x14ac:dyDescent="0.25">
      <c r="B230" s="14"/>
      <c r="C230" s="14"/>
      <c r="D230" s="14"/>
    </row>
    <row r="231" spans="2:4" x14ac:dyDescent="0.25">
      <c r="B231" s="14"/>
      <c r="C231" s="14"/>
      <c r="D231" s="14"/>
    </row>
    <row r="232" spans="2:4" x14ac:dyDescent="0.25">
      <c r="B232" s="14"/>
      <c r="C232" s="14"/>
      <c r="D232" s="14"/>
    </row>
  </sheetData>
  <mergeCells count="1">
    <mergeCell ref="B1:D1"/>
  </mergeCells>
  <dataValidations disablePrompts="1" count="1">
    <dataValidation type="list" allowBlank="1" showInputMessage="1" showErrorMessage="1" sqref="G210">
      <formula1>$F$210:$F$221</formula1>
    </dataValidation>
  </dataValidations>
  <pageMargins left="0.7" right="0.7" top="0.75" bottom="0.75" header="0.3" footer="0.3"/>
  <pageSetup orientation="portrait"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7" tint="-0.249977111117893"/>
  </sheetPr>
  <dimension ref="B1:F16"/>
  <sheetViews>
    <sheetView workbookViewId="0">
      <selection activeCell="D12" sqref="D12"/>
    </sheetView>
  </sheetViews>
  <sheetFormatPr baseColWidth="10" defaultColWidth="14.28515625" defaultRowHeight="12.75" x14ac:dyDescent="0.2"/>
  <cols>
    <col min="1" max="2" width="14.28515625" style="74"/>
    <col min="3" max="3" width="17" style="74" customWidth="1"/>
    <col min="4" max="4" width="14.28515625" style="74"/>
    <col min="5" max="5" width="46" style="74" customWidth="1"/>
    <col min="6" max="16384" width="14.28515625" style="74"/>
  </cols>
  <sheetData>
    <row r="1" spans="2:6" ht="24" customHeight="1" thickBot="1" x14ac:dyDescent="0.25">
      <c r="B1" s="493" t="s">
        <v>206</v>
      </c>
      <c r="C1" s="494"/>
      <c r="D1" s="494"/>
      <c r="E1" s="494"/>
      <c r="F1" s="495"/>
    </row>
    <row r="2" spans="2:6" ht="16.5" thickBot="1" x14ac:dyDescent="0.3">
      <c r="B2" s="75"/>
      <c r="C2" s="75"/>
      <c r="D2" s="75"/>
      <c r="E2" s="75"/>
      <c r="F2" s="75"/>
    </row>
    <row r="3" spans="2:6" ht="16.5" thickBot="1" x14ac:dyDescent="0.25">
      <c r="B3" s="497" t="s">
        <v>207</v>
      </c>
      <c r="C3" s="498"/>
      <c r="D3" s="498"/>
      <c r="E3" s="87" t="s">
        <v>208</v>
      </c>
      <c r="F3" s="88" t="s">
        <v>209</v>
      </c>
    </row>
    <row r="4" spans="2:6" ht="31.5" x14ac:dyDescent="0.2">
      <c r="B4" s="499" t="s">
        <v>210</v>
      </c>
      <c r="C4" s="501" t="s">
        <v>103</v>
      </c>
      <c r="D4" s="76" t="s">
        <v>211</v>
      </c>
      <c r="E4" s="77" t="s">
        <v>212</v>
      </c>
      <c r="F4" s="78">
        <v>0.25</v>
      </c>
    </row>
    <row r="5" spans="2:6" ht="47.25" x14ac:dyDescent="0.2">
      <c r="B5" s="500"/>
      <c r="C5" s="502"/>
      <c r="D5" s="79" t="s">
        <v>213</v>
      </c>
      <c r="E5" s="80" t="s">
        <v>214</v>
      </c>
      <c r="F5" s="81">
        <v>0.15</v>
      </c>
    </row>
    <row r="6" spans="2:6" ht="47.25" x14ac:dyDescent="0.2">
      <c r="B6" s="500"/>
      <c r="C6" s="502"/>
      <c r="D6" s="79" t="s">
        <v>215</v>
      </c>
      <c r="E6" s="80" t="s">
        <v>216</v>
      </c>
      <c r="F6" s="81">
        <v>0.1</v>
      </c>
    </row>
    <row r="7" spans="2:6" ht="63" x14ac:dyDescent="0.2">
      <c r="B7" s="500"/>
      <c r="C7" s="502" t="s">
        <v>104</v>
      </c>
      <c r="D7" s="79" t="s">
        <v>217</v>
      </c>
      <c r="E7" s="80" t="s">
        <v>218</v>
      </c>
      <c r="F7" s="81">
        <v>0.25</v>
      </c>
    </row>
    <row r="8" spans="2:6" ht="31.5" x14ac:dyDescent="0.2">
      <c r="B8" s="500"/>
      <c r="C8" s="502"/>
      <c r="D8" s="79" t="s">
        <v>219</v>
      </c>
      <c r="E8" s="80" t="s">
        <v>220</v>
      </c>
      <c r="F8" s="81">
        <v>0.15</v>
      </c>
    </row>
    <row r="9" spans="2:6" ht="47.25" x14ac:dyDescent="0.2">
      <c r="B9" s="500" t="s">
        <v>221</v>
      </c>
      <c r="C9" s="502" t="s">
        <v>106</v>
      </c>
      <c r="D9" s="79" t="s">
        <v>222</v>
      </c>
      <c r="E9" s="80" t="s">
        <v>223</v>
      </c>
      <c r="F9" s="82" t="s">
        <v>224</v>
      </c>
    </row>
    <row r="10" spans="2:6" ht="63" x14ac:dyDescent="0.2">
      <c r="B10" s="500"/>
      <c r="C10" s="502"/>
      <c r="D10" s="79" t="s">
        <v>225</v>
      </c>
      <c r="E10" s="80" t="s">
        <v>226</v>
      </c>
      <c r="F10" s="82" t="s">
        <v>224</v>
      </c>
    </row>
    <row r="11" spans="2:6" ht="47.25" x14ac:dyDescent="0.2">
      <c r="B11" s="500"/>
      <c r="C11" s="502" t="s">
        <v>107</v>
      </c>
      <c r="D11" s="79" t="s">
        <v>227</v>
      </c>
      <c r="E11" s="80" t="s">
        <v>228</v>
      </c>
      <c r="F11" s="82" t="s">
        <v>224</v>
      </c>
    </row>
    <row r="12" spans="2:6" ht="47.25" x14ac:dyDescent="0.2">
      <c r="B12" s="500"/>
      <c r="C12" s="502"/>
      <c r="D12" s="79" t="s">
        <v>229</v>
      </c>
      <c r="E12" s="80" t="s">
        <v>230</v>
      </c>
      <c r="F12" s="82" t="s">
        <v>224</v>
      </c>
    </row>
    <row r="13" spans="2:6" ht="31.5" x14ac:dyDescent="0.2">
      <c r="B13" s="500"/>
      <c r="C13" s="502" t="s">
        <v>108</v>
      </c>
      <c r="D13" s="79" t="s">
        <v>231</v>
      </c>
      <c r="E13" s="80" t="s">
        <v>232</v>
      </c>
      <c r="F13" s="82" t="s">
        <v>224</v>
      </c>
    </row>
    <row r="14" spans="2:6" ht="32.25" thickBot="1" x14ac:dyDescent="0.25">
      <c r="B14" s="503"/>
      <c r="C14" s="504"/>
      <c r="D14" s="83" t="s">
        <v>233</v>
      </c>
      <c r="E14" s="84" t="s">
        <v>234</v>
      </c>
      <c r="F14" s="85" t="s">
        <v>224</v>
      </c>
    </row>
    <row r="15" spans="2:6" ht="49.5" customHeight="1" x14ac:dyDescent="0.2">
      <c r="B15" s="496" t="s">
        <v>235</v>
      </c>
      <c r="C15" s="496"/>
      <c r="D15" s="496"/>
      <c r="E15" s="496"/>
      <c r="F15" s="496"/>
    </row>
    <row r="16" spans="2:6" ht="27" customHeight="1" x14ac:dyDescent="0.25">
      <c r="B16" s="86"/>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B2:U49"/>
  <sheetViews>
    <sheetView zoomScale="70" zoomScaleNormal="70" workbookViewId="0">
      <selection activeCell="B49" sqref="B49"/>
    </sheetView>
  </sheetViews>
  <sheetFormatPr baseColWidth="10" defaultColWidth="11.42578125" defaultRowHeight="15" x14ac:dyDescent="0.25"/>
  <cols>
    <col min="2" max="2" width="37.85546875" bestFit="1" customWidth="1"/>
    <col min="3" max="3" width="48" bestFit="1" customWidth="1"/>
    <col min="4" max="4" width="140.28515625" bestFit="1" customWidth="1"/>
  </cols>
  <sheetData>
    <row r="2" spans="2:4" ht="15.75" thickBot="1" x14ac:dyDescent="0.3"/>
    <row r="3" spans="2:4" ht="15.75" thickBot="1" x14ac:dyDescent="0.3">
      <c r="B3" s="183" t="s">
        <v>236</v>
      </c>
      <c r="C3" s="183" t="s">
        <v>237</v>
      </c>
      <c r="D3" s="183" t="s">
        <v>238</v>
      </c>
    </row>
    <row r="4" spans="2:4" x14ac:dyDescent="0.25">
      <c r="B4" s="110"/>
      <c r="C4" s="151"/>
      <c r="D4" s="152"/>
    </row>
    <row r="5" spans="2:4" x14ac:dyDescent="0.25">
      <c r="B5" s="110" t="s">
        <v>239</v>
      </c>
      <c r="C5" s="108" t="s">
        <v>242</v>
      </c>
      <c r="D5" s="152" t="s">
        <v>183</v>
      </c>
    </row>
    <row r="6" spans="2:4" x14ac:dyDescent="0.25">
      <c r="B6" s="110" t="s">
        <v>241</v>
      </c>
      <c r="C6" s="108" t="s">
        <v>246</v>
      </c>
      <c r="D6" s="152" t="s">
        <v>186</v>
      </c>
    </row>
    <row r="7" spans="2:4" ht="15.75" thickBot="1" x14ac:dyDescent="0.3">
      <c r="B7" s="111" t="s">
        <v>243</v>
      </c>
      <c r="C7" s="108" t="s">
        <v>247</v>
      </c>
      <c r="D7" s="152" t="s">
        <v>189</v>
      </c>
    </row>
    <row r="8" spans="2:4" ht="30" x14ac:dyDescent="0.25">
      <c r="C8" s="112" t="s">
        <v>244</v>
      </c>
      <c r="D8" s="152" t="s">
        <v>192</v>
      </c>
    </row>
    <row r="9" spans="2:4" x14ac:dyDescent="0.25">
      <c r="C9" s="108" t="s">
        <v>245</v>
      </c>
      <c r="D9" s="152" t="s">
        <v>195</v>
      </c>
    </row>
    <row r="10" spans="2:4" x14ac:dyDescent="0.25">
      <c r="C10" s="108" t="s">
        <v>248</v>
      </c>
      <c r="D10" s="152" t="s">
        <v>198</v>
      </c>
    </row>
    <row r="11" spans="2:4" x14ac:dyDescent="0.25">
      <c r="C11" s="108" t="s">
        <v>249</v>
      </c>
      <c r="D11" s="152"/>
    </row>
    <row r="12" spans="2:4" x14ac:dyDescent="0.25">
      <c r="C12" s="108" t="s">
        <v>240</v>
      </c>
      <c r="D12" s="152" t="s">
        <v>250</v>
      </c>
    </row>
    <row r="13" spans="2:4" x14ac:dyDescent="0.25">
      <c r="C13" s="182" t="s">
        <v>468</v>
      </c>
      <c r="D13" s="152" t="s">
        <v>187</v>
      </c>
    </row>
    <row r="14" spans="2:4" x14ac:dyDescent="0.25">
      <c r="C14" s="182" t="s">
        <v>469</v>
      </c>
      <c r="D14" s="152" t="s">
        <v>190</v>
      </c>
    </row>
    <row r="15" spans="2:4" x14ac:dyDescent="0.25">
      <c r="C15" s="182" t="s">
        <v>470</v>
      </c>
      <c r="D15" s="152" t="s">
        <v>193</v>
      </c>
    </row>
    <row r="16" spans="2:4" x14ac:dyDescent="0.25">
      <c r="C16" s="182" t="s">
        <v>471</v>
      </c>
      <c r="D16" s="152" t="s">
        <v>196</v>
      </c>
    </row>
    <row r="17" spans="2:21" ht="15.75" thickBot="1" x14ac:dyDescent="0.3">
      <c r="C17" s="182" t="s">
        <v>472</v>
      </c>
      <c r="D17" s="153" t="s">
        <v>199</v>
      </c>
    </row>
    <row r="18" spans="2:21" x14ac:dyDescent="0.25">
      <c r="C18" s="182" t="s">
        <v>473</v>
      </c>
    </row>
    <row r="19" spans="2:21" ht="15.75" thickBot="1" x14ac:dyDescent="0.3">
      <c r="C19" s="108"/>
    </row>
    <row r="20" spans="2:21" ht="15.75" thickBot="1" x14ac:dyDescent="0.3">
      <c r="C20" s="183" t="s">
        <v>251</v>
      </c>
    </row>
    <row r="21" spans="2:21" x14ac:dyDescent="0.25">
      <c r="C21" s="108" t="s">
        <v>252</v>
      </c>
    </row>
    <row r="22" spans="2:21" x14ac:dyDescent="0.25">
      <c r="C22" s="108" t="s">
        <v>253</v>
      </c>
    </row>
    <row r="23" spans="2:21" ht="15.75" thickBot="1" x14ac:dyDescent="0.3">
      <c r="C23" s="109" t="s">
        <v>254</v>
      </c>
    </row>
    <row r="25" spans="2:21" ht="15.75" thickBot="1" x14ac:dyDescent="0.3"/>
    <row r="26" spans="2:21" ht="15.75" thickBot="1" x14ac:dyDescent="0.3">
      <c r="B26" s="183" t="s">
        <v>255</v>
      </c>
      <c r="C26" s="184" t="s">
        <v>256</v>
      </c>
      <c r="D26" s="183" t="s">
        <v>257</v>
      </c>
      <c r="R26" t="s">
        <v>258</v>
      </c>
      <c r="U26" t="s">
        <v>239</v>
      </c>
    </row>
    <row r="27" spans="2:21" x14ac:dyDescent="0.25">
      <c r="B27" s="108"/>
      <c r="C27" s="108"/>
      <c r="D27" s="108"/>
      <c r="R27" t="s">
        <v>261</v>
      </c>
      <c r="U27" t="s">
        <v>241</v>
      </c>
    </row>
    <row r="28" spans="2:21" x14ac:dyDescent="0.25">
      <c r="B28" s="108" t="s">
        <v>258</v>
      </c>
      <c r="C28" s="112" t="s">
        <v>259</v>
      </c>
      <c r="D28" s="108" t="s">
        <v>260</v>
      </c>
      <c r="R28" t="s">
        <v>264</v>
      </c>
      <c r="U28" t="s">
        <v>243</v>
      </c>
    </row>
    <row r="29" spans="2:21" ht="15.75" thickBot="1" x14ac:dyDescent="0.3">
      <c r="B29" s="108" t="s">
        <v>261</v>
      </c>
      <c r="C29" s="113" t="s">
        <v>262</v>
      </c>
      <c r="D29" s="109" t="s">
        <v>263</v>
      </c>
      <c r="R29" t="s">
        <v>265</v>
      </c>
    </row>
    <row r="30" spans="2:21" ht="15.75" thickBot="1" x14ac:dyDescent="0.3">
      <c r="B30" s="108" t="s">
        <v>264</v>
      </c>
    </row>
    <row r="31" spans="2:21" ht="15.75" thickBot="1" x14ac:dyDescent="0.3">
      <c r="B31" s="109" t="s">
        <v>265</v>
      </c>
      <c r="D31" s="183" t="s">
        <v>266</v>
      </c>
    </row>
    <row r="32" spans="2:21" ht="15.75" thickBot="1" x14ac:dyDescent="0.3">
      <c r="D32" s="108" t="s">
        <v>260</v>
      </c>
      <c r="R32" t="s">
        <v>273</v>
      </c>
    </row>
    <row r="33" spans="2:18" ht="16.5" thickBot="1" x14ac:dyDescent="0.3">
      <c r="B33" s="140" t="s">
        <v>267</v>
      </c>
      <c r="D33" s="109" t="s">
        <v>263</v>
      </c>
      <c r="R33" t="s">
        <v>259</v>
      </c>
    </row>
    <row r="34" spans="2:18" ht="15.75" x14ac:dyDescent="0.25">
      <c r="B34" s="114"/>
      <c r="R34" t="s">
        <v>262</v>
      </c>
    </row>
    <row r="35" spans="2:18" ht="15.75" x14ac:dyDescent="0.25">
      <c r="B35" s="114" t="s">
        <v>268</v>
      </c>
    </row>
    <row r="36" spans="2:18" ht="15.75" x14ac:dyDescent="0.25">
      <c r="B36" s="114" t="s">
        <v>269</v>
      </c>
    </row>
    <row r="37" spans="2:18" ht="15.75" x14ac:dyDescent="0.25">
      <c r="B37" s="114" t="s">
        <v>270</v>
      </c>
      <c r="R37" t="s">
        <v>240</v>
      </c>
    </row>
    <row r="38" spans="2:18" ht="15.75" x14ac:dyDescent="0.25">
      <c r="B38" s="114" t="s">
        <v>271</v>
      </c>
      <c r="R38" t="s">
        <v>242</v>
      </c>
    </row>
    <row r="39" spans="2:18" ht="15.75" x14ac:dyDescent="0.25">
      <c r="B39" s="114" t="s">
        <v>272</v>
      </c>
      <c r="R39" t="s">
        <v>245</v>
      </c>
    </row>
    <row r="40" spans="2:18" ht="15.75" x14ac:dyDescent="0.25">
      <c r="B40" s="114" t="s">
        <v>274</v>
      </c>
      <c r="R40" t="s">
        <v>246</v>
      </c>
    </row>
    <row r="41" spans="2:18" ht="15.75" x14ac:dyDescent="0.25">
      <c r="B41" s="114" t="s">
        <v>275</v>
      </c>
      <c r="R41" t="s">
        <v>247</v>
      </c>
    </row>
    <row r="42" spans="2:18" ht="15.75" x14ac:dyDescent="0.25">
      <c r="B42" s="114" t="s">
        <v>276</v>
      </c>
      <c r="R42" t="s">
        <v>248</v>
      </c>
    </row>
    <row r="43" spans="2:18" ht="15.75" x14ac:dyDescent="0.25">
      <c r="B43" s="114" t="s">
        <v>277</v>
      </c>
      <c r="R43" t="s">
        <v>249</v>
      </c>
    </row>
    <row r="44" spans="2:18" ht="15.75" x14ac:dyDescent="0.25">
      <c r="B44" s="114" t="s">
        <v>278</v>
      </c>
    </row>
    <row r="45" spans="2:18" ht="15.75" x14ac:dyDescent="0.25">
      <c r="B45" s="114" t="s">
        <v>279</v>
      </c>
    </row>
    <row r="46" spans="2:18" ht="15.75" x14ac:dyDescent="0.25">
      <c r="B46" s="114" t="s">
        <v>280</v>
      </c>
    </row>
    <row r="47" spans="2:18" ht="15.75" x14ac:dyDescent="0.25">
      <c r="B47" s="114" t="s">
        <v>281</v>
      </c>
    </row>
    <row r="48" spans="2:18" ht="15.75" x14ac:dyDescent="0.25">
      <c r="B48" s="114" t="s">
        <v>282</v>
      </c>
    </row>
    <row r="49" spans="2:2" ht="16.5" thickBot="1" x14ac:dyDescent="0.3">
      <c r="B49" s="115" t="s">
        <v>283</v>
      </c>
    </row>
  </sheetData>
  <pageMargins left="0.7" right="0.7" top="0.75" bottom="0.75" header="0.3" footer="0.3"/>
  <pageSetup paperSize="142" orientation="portrait" r:id="rId1"/>
  <extLst>
    <ext xmlns:x14="http://schemas.microsoft.com/office/spreadsheetml/2009/9/main" uri="{78C0D931-6437-407d-A8EE-F0AAD7539E65}">
      <x14:conditionalFormattings>
        <x14:conditionalFormatting xmlns:xm="http://schemas.microsoft.com/office/excel/2006/main">
          <x14:cfRule type="expression" priority="1299" id="{526052F2-078D-433C-B8C6-4A6B7F2F8B9E}">
            <xm:f>'Mapa final'!$M$13=$C$6</xm:f>
            <x14:dxf/>
          </x14:cfRule>
          <xm:sqref>J13:J18</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211</v>
      </c>
    </row>
    <row r="4" spans="1:1" x14ac:dyDescent="0.2">
      <c r="A4" s="2" t="s">
        <v>213</v>
      </c>
    </row>
    <row r="5" spans="1:1" x14ac:dyDescent="0.2">
      <c r="A5" s="2" t="s">
        <v>215</v>
      </c>
    </row>
    <row r="6" spans="1:1" x14ac:dyDescent="0.2">
      <c r="A6" s="2" t="s">
        <v>217</v>
      </c>
    </row>
    <row r="7" spans="1:1" x14ac:dyDescent="0.2">
      <c r="A7" s="2" t="s">
        <v>219</v>
      </c>
    </row>
    <row r="8" spans="1:1" x14ac:dyDescent="0.2">
      <c r="A8" s="2" t="s">
        <v>222</v>
      </c>
    </row>
    <row r="9" spans="1:1" x14ac:dyDescent="0.2">
      <c r="A9" s="2" t="s">
        <v>225</v>
      </c>
    </row>
    <row r="10" spans="1:1" x14ac:dyDescent="0.2">
      <c r="A10" s="2" t="s">
        <v>227</v>
      </c>
    </row>
    <row r="11" spans="1:1" x14ac:dyDescent="0.2">
      <c r="A11" s="2" t="s">
        <v>229</v>
      </c>
    </row>
    <row r="12" spans="1:1" x14ac:dyDescent="0.2">
      <c r="A12" s="2" t="s">
        <v>284</v>
      </c>
    </row>
    <row r="13" spans="1:1" x14ac:dyDescent="0.2">
      <c r="A13" s="2" t="s">
        <v>285</v>
      </c>
    </row>
    <row r="14" spans="1:1" x14ac:dyDescent="0.2">
      <c r="A14" s="2" t="s">
        <v>286</v>
      </c>
    </row>
    <row r="16" spans="1:1" x14ac:dyDescent="0.2">
      <c r="A16" s="2" t="s">
        <v>287</v>
      </c>
    </row>
    <row r="17" spans="1:1" x14ac:dyDescent="0.2">
      <c r="A17" s="2" t="s">
        <v>258</v>
      </c>
    </row>
    <row r="18" spans="1:1" x14ac:dyDescent="0.2">
      <c r="A18" s="2" t="s">
        <v>261</v>
      </c>
    </row>
    <row r="20" spans="1:1" x14ac:dyDescent="0.2">
      <c r="A20" s="2" t="s">
        <v>259</v>
      </c>
    </row>
    <row r="21" spans="1:1" x14ac:dyDescent="0.2">
      <c r="A21" s="2" t="s">
        <v>262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dimension ref="B1:F202"/>
  <sheetViews>
    <sheetView showGridLines="0" workbookViewId="0"/>
  </sheetViews>
  <sheetFormatPr baseColWidth="10" defaultColWidth="11.42578125"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16" t="s">
        <v>288</v>
      </c>
      <c r="C1" s="116"/>
      <c r="D1" s="125"/>
      <c r="E1" s="125"/>
      <c r="F1" s="125"/>
    </row>
    <row r="2" spans="2:6" x14ac:dyDescent="0.25">
      <c r="B2" s="116" t="s">
        <v>289</v>
      </c>
      <c r="C2" s="116"/>
      <c r="D2" s="125"/>
      <c r="E2" s="125"/>
      <c r="F2" s="125"/>
    </row>
    <row r="3" spans="2:6" x14ac:dyDescent="0.25">
      <c r="B3" s="117"/>
      <c r="C3" s="117"/>
      <c r="D3" s="126"/>
      <c r="E3" s="126"/>
      <c r="F3" s="126"/>
    </row>
    <row r="4" spans="2:6" ht="45" x14ac:dyDescent="0.25">
      <c r="B4" s="117" t="s">
        <v>290</v>
      </c>
      <c r="C4" s="117"/>
      <c r="D4" s="126"/>
      <c r="E4" s="126"/>
      <c r="F4" s="126"/>
    </row>
    <row r="5" spans="2:6" x14ac:dyDescent="0.25">
      <c r="B5" s="117"/>
      <c r="C5" s="117"/>
      <c r="D5" s="126"/>
      <c r="E5" s="126"/>
      <c r="F5" s="126"/>
    </row>
    <row r="6" spans="2:6" ht="30" x14ac:dyDescent="0.25">
      <c r="B6" s="116" t="s">
        <v>291</v>
      </c>
      <c r="C6" s="116"/>
      <c r="D6" s="125"/>
      <c r="E6" s="125" t="s">
        <v>292</v>
      </c>
      <c r="F6" s="125" t="s">
        <v>293</v>
      </c>
    </row>
    <row r="7" spans="2:6" ht="15.75" thickBot="1" x14ac:dyDescent="0.3">
      <c r="B7" s="117"/>
      <c r="C7" s="117"/>
      <c r="D7" s="126"/>
      <c r="E7" s="126"/>
      <c r="F7" s="126"/>
    </row>
    <row r="8" spans="2:6" ht="60" x14ac:dyDescent="0.25">
      <c r="B8" s="118" t="s">
        <v>294</v>
      </c>
      <c r="C8" s="119"/>
      <c r="D8" s="127"/>
      <c r="E8" s="127">
        <v>300</v>
      </c>
      <c r="F8" s="128"/>
    </row>
    <row r="9" spans="2:6" ht="30" x14ac:dyDescent="0.25">
      <c r="B9" s="120"/>
      <c r="C9" s="117"/>
      <c r="D9" s="126"/>
      <c r="E9" s="129" t="s">
        <v>295</v>
      </c>
      <c r="F9" s="130" t="s">
        <v>296</v>
      </c>
    </row>
    <row r="10" spans="2:6" ht="30" x14ac:dyDescent="0.25">
      <c r="B10" s="120"/>
      <c r="C10" s="117"/>
      <c r="D10" s="126"/>
      <c r="E10" s="129" t="s">
        <v>297</v>
      </c>
      <c r="F10" s="130"/>
    </row>
    <row r="11" spans="2:6" ht="30" x14ac:dyDescent="0.25">
      <c r="B11" s="120"/>
      <c r="C11" s="117"/>
      <c r="D11" s="126"/>
      <c r="E11" s="129" t="s">
        <v>298</v>
      </c>
      <c r="F11" s="130"/>
    </row>
    <row r="12" spans="2:6" ht="30" x14ac:dyDescent="0.25">
      <c r="B12" s="120"/>
      <c r="C12" s="117"/>
      <c r="D12" s="126"/>
      <c r="E12" s="129" t="s">
        <v>299</v>
      </c>
      <c r="F12" s="130"/>
    </row>
    <row r="13" spans="2:6" ht="30" x14ac:dyDescent="0.25">
      <c r="B13" s="120"/>
      <c r="C13" s="117"/>
      <c r="D13" s="126"/>
      <c r="E13" s="129" t="s">
        <v>300</v>
      </c>
      <c r="F13" s="130"/>
    </row>
    <row r="14" spans="2:6" ht="30" x14ac:dyDescent="0.25">
      <c r="B14" s="120"/>
      <c r="C14" s="117"/>
      <c r="D14" s="126"/>
      <c r="E14" s="129" t="s">
        <v>301</v>
      </c>
      <c r="F14" s="130"/>
    </row>
    <row r="15" spans="2:6" ht="30" x14ac:dyDescent="0.25">
      <c r="B15" s="120"/>
      <c r="C15" s="117"/>
      <c r="D15" s="126"/>
      <c r="E15" s="129" t="s">
        <v>302</v>
      </c>
      <c r="F15" s="130"/>
    </row>
    <row r="16" spans="2:6" ht="30" x14ac:dyDescent="0.25">
      <c r="B16" s="120"/>
      <c r="C16" s="117"/>
      <c r="D16" s="126"/>
      <c r="E16" s="129" t="s">
        <v>303</v>
      </c>
      <c r="F16" s="130"/>
    </row>
    <row r="17" spans="2:6" ht="30" x14ac:dyDescent="0.25">
      <c r="B17" s="120"/>
      <c r="C17" s="117"/>
      <c r="D17" s="126"/>
      <c r="E17" s="129" t="s">
        <v>304</v>
      </c>
      <c r="F17" s="130"/>
    </row>
    <row r="18" spans="2:6" ht="30" x14ac:dyDescent="0.25">
      <c r="B18" s="120"/>
      <c r="C18" s="117"/>
      <c r="D18" s="126"/>
      <c r="E18" s="129" t="s">
        <v>305</v>
      </c>
      <c r="F18" s="130"/>
    </row>
    <row r="19" spans="2:6" ht="30" x14ac:dyDescent="0.25">
      <c r="B19" s="120"/>
      <c r="C19" s="117"/>
      <c r="D19" s="126"/>
      <c r="E19" s="129" t="s">
        <v>306</v>
      </c>
      <c r="F19" s="130"/>
    </row>
    <row r="20" spans="2:6" ht="30" x14ac:dyDescent="0.25">
      <c r="B20" s="120"/>
      <c r="C20" s="117"/>
      <c r="D20" s="126"/>
      <c r="E20" s="129" t="s">
        <v>307</v>
      </c>
      <c r="F20" s="130"/>
    </row>
    <row r="21" spans="2:6" ht="30" x14ac:dyDescent="0.25">
      <c r="B21" s="120"/>
      <c r="C21" s="117"/>
      <c r="D21" s="126"/>
      <c r="E21" s="129" t="s">
        <v>308</v>
      </c>
      <c r="F21" s="130"/>
    </row>
    <row r="22" spans="2:6" ht="30" x14ac:dyDescent="0.25">
      <c r="B22" s="120"/>
      <c r="C22" s="117"/>
      <c r="D22" s="126"/>
      <c r="E22" s="129" t="s">
        <v>309</v>
      </c>
      <c r="F22" s="130"/>
    </row>
    <row r="23" spans="2:6" ht="30" x14ac:dyDescent="0.25">
      <c r="B23" s="120"/>
      <c r="C23" s="117"/>
      <c r="D23" s="126"/>
      <c r="E23" s="129" t="s">
        <v>310</v>
      </c>
      <c r="F23" s="130"/>
    </row>
    <row r="24" spans="2:6" ht="30" x14ac:dyDescent="0.25">
      <c r="B24" s="120"/>
      <c r="C24" s="117"/>
      <c r="D24" s="126"/>
      <c r="E24" s="129" t="s">
        <v>311</v>
      </c>
      <c r="F24" s="130"/>
    </row>
    <row r="25" spans="2:6" ht="30" x14ac:dyDescent="0.25">
      <c r="B25" s="120"/>
      <c r="C25" s="117"/>
      <c r="D25" s="126"/>
      <c r="E25" s="129" t="s">
        <v>312</v>
      </c>
      <c r="F25" s="130"/>
    </row>
    <row r="26" spans="2:6" ht="30" x14ac:dyDescent="0.25">
      <c r="B26" s="120"/>
      <c r="C26" s="117"/>
      <c r="D26" s="126"/>
      <c r="E26" s="129" t="s">
        <v>313</v>
      </c>
      <c r="F26" s="130"/>
    </row>
    <row r="27" spans="2:6" ht="30" x14ac:dyDescent="0.25">
      <c r="B27" s="120"/>
      <c r="C27" s="117"/>
      <c r="D27" s="126"/>
      <c r="E27" s="129" t="s">
        <v>314</v>
      </c>
      <c r="F27" s="130"/>
    </row>
    <row r="28" spans="2:6" ht="30" x14ac:dyDescent="0.25">
      <c r="B28" s="120"/>
      <c r="C28" s="117"/>
      <c r="D28" s="126"/>
      <c r="E28" s="129" t="s">
        <v>315</v>
      </c>
      <c r="F28" s="130"/>
    </row>
    <row r="29" spans="2:6" ht="30" x14ac:dyDescent="0.25">
      <c r="B29" s="120"/>
      <c r="C29" s="117"/>
      <c r="D29" s="126"/>
      <c r="E29" s="129" t="s">
        <v>316</v>
      </c>
      <c r="F29" s="130"/>
    </row>
    <row r="30" spans="2:6" ht="30" x14ac:dyDescent="0.25">
      <c r="B30" s="120"/>
      <c r="C30" s="117"/>
      <c r="D30" s="126"/>
      <c r="E30" s="129" t="s">
        <v>317</v>
      </c>
      <c r="F30" s="130"/>
    </row>
    <row r="31" spans="2:6" ht="30" x14ac:dyDescent="0.25">
      <c r="B31" s="120"/>
      <c r="C31" s="117"/>
      <c r="D31" s="126"/>
      <c r="E31" s="129" t="s">
        <v>318</v>
      </c>
      <c r="F31" s="130"/>
    </row>
    <row r="32" spans="2:6" ht="30" x14ac:dyDescent="0.25">
      <c r="B32" s="120"/>
      <c r="C32" s="117"/>
      <c r="D32" s="126"/>
      <c r="E32" s="129" t="s">
        <v>319</v>
      </c>
      <c r="F32" s="130"/>
    </row>
    <row r="33" spans="2:6" ht="30" x14ac:dyDescent="0.25">
      <c r="B33" s="120"/>
      <c r="C33" s="117"/>
      <c r="D33" s="126"/>
      <c r="E33" s="129" t="s">
        <v>320</v>
      </c>
      <c r="F33" s="130"/>
    </row>
    <row r="34" spans="2:6" ht="30" x14ac:dyDescent="0.25">
      <c r="B34" s="120"/>
      <c r="C34" s="117"/>
      <c r="D34" s="126"/>
      <c r="E34" s="129" t="s">
        <v>321</v>
      </c>
      <c r="F34" s="130"/>
    </row>
    <row r="35" spans="2:6" ht="30" x14ac:dyDescent="0.25">
      <c r="B35" s="120"/>
      <c r="C35" s="117"/>
      <c r="D35" s="126"/>
      <c r="E35" s="129" t="s">
        <v>322</v>
      </c>
      <c r="F35" s="130"/>
    </row>
    <row r="36" spans="2:6" ht="30" x14ac:dyDescent="0.25">
      <c r="B36" s="120"/>
      <c r="C36" s="117"/>
      <c r="D36" s="126"/>
      <c r="E36" s="129" t="s">
        <v>323</v>
      </c>
      <c r="F36" s="130"/>
    </row>
    <row r="37" spans="2:6" ht="30" x14ac:dyDescent="0.25">
      <c r="B37" s="120"/>
      <c r="C37" s="117"/>
      <c r="D37" s="126"/>
      <c r="E37" s="129" t="s">
        <v>324</v>
      </c>
      <c r="F37" s="130"/>
    </row>
    <row r="38" spans="2:6" ht="30" x14ac:dyDescent="0.25">
      <c r="B38" s="120"/>
      <c r="C38" s="117"/>
      <c r="D38" s="126"/>
      <c r="E38" s="129" t="s">
        <v>325</v>
      </c>
      <c r="F38" s="130"/>
    </row>
    <row r="39" spans="2:6" ht="30" x14ac:dyDescent="0.25">
      <c r="B39" s="120"/>
      <c r="C39" s="117"/>
      <c r="D39" s="126"/>
      <c r="E39" s="129" t="s">
        <v>326</v>
      </c>
      <c r="F39" s="130"/>
    </row>
    <row r="40" spans="2:6" ht="30" x14ac:dyDescent="0.25">
      <c r="B40" s="120"/>
      <c r="C40" s="117"/>
      <c r="D40" s="126"/>
      <c r="E40" s="129" t="s">
        <v>327</v>
      </c>
      <c r="F40" s="130"/>
    </row>
    <row r="41" spans="2:6" ht="30" x14ac:dyDescent="0.25">
      <c r="B41" s="120"/>
      <c r="C41" s="117"/>
      <c r="D41" s="126"/>
      <c r="E41" s="129" t="s">
        <v>328</v>
      </c>
      <c r="F41" s="130"/>
    </row>
    <row r="42" spans="2:6" ht="30" x14ac:dyDescent="0.25">
      <c r="B42" s="120"/>
      <c r="C42" s="117"/>
      <c r="D42" s="126"/>
      <c r="E42" s="129" t="s">
        <v>329</v>
      </c>
      <c r="F42" s="130"/>
    </row>
    <row r="43" spans="2:6" ht="30" x14ac:dyDescent="0.25">
      <c r="B43" s="120"/>
      <c r="C43" s="117"/>
      <c r="D43" s="126"/>
      <c r="E43" s="129" t="s">
        <v>330</v>
      </c>
      <c r="F43" s="130"/>
    </row>
    <row r="44" spans="2:6" ht="30" x14ac:dyDescent="0.25">
      <c r="B44" s="120"/>
      <c r="C44" s="117"/>
      <c r="D44" s="126"/>
      <c r="E44" s="129" t="s">
        <v>331</v>
      </c>
      <c r="F44" s="130"/>
    </row>
    <row r="45" spans="2:6" ht="30" x14ac:dyDescent="0.25">
      <c r="B45" s="120"/>
      <c r="C45" s="117"/>
      <c r="D45" s="126"/>
      <c r="E45" s="129" t="s">
        <v>332</v>
      </c>
      <c r="F45" s="130"/>
    </row>
    <row r="46" spans="2:6" ht="30" x14ac:dyDescent="0.25">
      <c r="B46" s="120"/>
      <c r="C46" s="117"/>
      <c r="D46" s="126"/>
      <c r="E46" s="129" t="s">
        <v>333</v>
      </c>
      <c r="F46" s="130"/>
    </row>
    <row r="47" spans="2:6" ht="30" x14ac:dyDescent="0.25">
      <c r="B47" s="120"/>
      <c r="C47" s="117"/>
      <c r="D47" s="126"/>
      <c r="E47" s="129" t="s">
        <v>334</v>
      </c>
      <c r="F47" s="130"/>
    </row>
    <row r="48" spans="2:6" ht="30" x14ac:dyDescent="0.25">
      <c r="B48" s="120"/>
      <c r="C48" s="117"/>
      <c r="D48" s="126"/>
      <c r="E48" s="129" t="s">
        <v>335</v>
      </c>
      <c r="F48" s="130"/>
    </row>
    <row r="49" spans="2:6" ht="30" x14ac:dyDescent="0.25">
      <c r="B49" s="120"/>
      <c r="C49" s="117"/>
      <c r="D49" s="126"/>
      <c r="E49" s="129" t="s">
        <v>336</v>
      </c>
      <c r="F49" s="130"/>
    </row>
    <row r="50" spans="2:6" ht="30" x14ac:dyDescent="0.25">
      <c r="B50" s="120"/>
      <c r="C50" s="117"/>
      <c r="D50" s="126"/>
      <c r="E50" s="129" t="s">
        <v>337</v>
      </c>
      <c r="F50" s="130"/>
    </row>
    <row r="51" spans="2:6" ht="30" x14ac:dyDescent="0.25">
      <c r="B51" s="120"/>
      <c r="C51" s="117"/>
      <c r="D51" s="126"/>
      <c r="E51" s="129" t="s">
        <v>338</v>
      </c>
      <c r="F51" s="130"/>
    </row>
    <row r="52" spans="2:6" ht="30" x14ac:dyDescent="0.25">
      <c r="B52" s="120"/>
      <c r="C52" s="117"/>
      <c r="D52" s="126"/>
      <c r="E52" s="129" t="s">
        <v>339</v>
      </c>
      <c r="F52" s="130"/>
    </row>
    <row r="53" spans="2:6" ht="30" x14ac:dyDescent="0.25">
      <c r="B53" s="120"/>
      <c r="C53" s="117"/>
      <c r="D53" s="126"/>
      <c r="E53" s="129" t="s">
        <v>340</v>
      </c>
      <c r="F53" s="130"/>
    </row>
    <row r="54" spans="2:6" ht="30" x14ac:dyDescent="0.25">
      <c r="B54" s="120"/>
      <c r="C54" s="117"/>
      <c r="D54" s="126"/>
      <c r="E54" s="129" t="s">
        <v>341</v>
      </c>
      <c r="F54" s="130"/>
    </row>
    <row r="55" spans="2:6" ht="30" x14ac:dyDescent="0.25">
      <c r="B55" s="120"/>
      <c r="C55" s="117"/>
      <c r="D55" s="126"/>
      <c r="E55" s="129" t="s">
        <v>342</v>
      </c>
      <c r="F55" s="130"/>
    </row>
    <row r="56" spans="2:6" ht="30" x14ac:dyDescent="0.25">
      <c r="B56" s="120"/>
      <c r="C56" s="117"/>
      <c r="D56" s="126"/>
      <c r="E56" s="129" t="s">
        <v>343</v>
      </c>
      <c r="F56" s="130"/>
    </row>
    <row r="57" spans="2:6" ht="30" x14ac:dyDescent="0.25">
      <c r="B57" s="120"/>
      <c r="C57" s="117"/>
      <c r="D57" s="126"/>
      <c r="E57" s="129" t="s">
        <v>344</v>
      </c>
      <c r="F57" s="130"/>
    </row>
    <row r="58" spans="2:6" ht="30" x14ac:dyDescent="0.25">
      <c r="B58" s="120"/>
      <c r="C58" s="117"/>
      <c r="D58" s="126"/>
      <c r="E58" s="129" t="s">
        <v>345</v>
      </c>
      <c r="F58" s="130"/>
    </row>
    <row r="59" spans="2:6" ht="30" x14ac:dyDescent="0.25">
      <c r="B59" s="120"/>
      <c r="C59" s="117"/>
      <c r="D59" s="126"/>
      <c r="E59" s="129" t="s">
        <v>346</v>
      </c>
      <c r="F59" s="130"/>
    </row>
    <row r="60" spans="2:6" ht="30" x14ac:dyDescent="0.25">
      <c r="B60" s="120"/>
      <c r="C60" s="117"/>
      <c r="D60" s="126"/>
      <c r="E60" s="129" t="s">
        <v>347</v>
      </c>
      <c r="F60" s="130"/>
    </row>
    <row r="61" spans="2:6" ht="30" x14ac:dyDescent="0.25">
      <c r="B61" s="120"/>
      <c r="C61" s="117"/>
      <c r="D61" s="126"/>
      <c r="E61" s="129" t="s">
        <v>348</v>
      </c>
      <c r="F61" s="130"/>
    </row>
    <row r="62" spans="2:6" ht="30" x14ac:dyDescent="0.25">
      <c r="B62" s="120"/>
      <c r="C62" s="117"/>
      <c r="D62" s="126"/>
      <c r="E62" s="129" t="s">
        <v>349</v>
      </c>
      <c r="F62" s="130"/>
    </row>
    <row r="63" spans="2:6" ht="30" x14ac:dyDescent="0.25">
      <c r="B63" s="120"/>
      <c r="C63" s="117"/>
      <c r="D63" s="126"/>
      <c r="E63" s="129" t="s">
        <v>350</v>
      </c>
      <c r="F63" s="130"/>
    </row>
    <row r="64" spans="2:6" ht="30" x14ac:dyDescent="0.25">
      <c r="B64" s="120"/>
      <c r="C64" s="117"/>
      <c r="D64" s="126"/>
      <c r="E64" s="129" t="s">
        <v>351</v>
      </c>
      <c r="F64" s="130"/>
    </row>
    <row r="65" spans="2:6" ht="30" x14ac:dyDescent="0.25">
      <c r="B65" s="120"/>
      <c r="C65" s="117"/>
      <c r="D65" s="126"/>
      <c r="E65" s="129" t="s">
        <v>352</v>
      </c>
      <c r="F65" s="130"/>
    </row>
    <row r="66" spans="2:6" ht="30" x14ac:dyDescent="0.25">
      <c r="B66" s="120"/>
      <c r="C66" s="117"/>
      <c r="D66" s="126"/>
      <c r="E66" s="129" t="s">
        <v>353</v>
      </c>
      <c r="F66" s="130"/>
    </row>
    <row r="67" spans="2:6" ht="30" x14ac:dyDescent="0.25">
      <c r="B67" s="120"/>
      <c r="C67" s="117"/>
      <c r="D67" s="126"/>
      <c r="E67" s="129" t="s">
        <v>354</v>
      </c>
      <c r="F67" s="130"/>
    </row>
    <row r="68" spans="2:6" ht="30" x14ac:dyDescent="0.25">
      <c r="B68" s="120"/>
      <c r="C68" s="117"/>
      <c r="D68" s="126"/>
      <c r="E68" s="129" t="s">
        <v>355</v>
      </c>
      <c r="F68" s="130"/>
    </row>
    <row r="69" spans="2:6" ht="30" x14ac:dyDescent="0.25">
      <c r="B69" s="120"/>
      <c r="C69" s="117"/>
      <c r="D69" s="126"/>
      <c r="E69" s="129" t="s">
        <v>356</v>
      </c>
      <c r="F69" s="130"/>
    </row>
    <row r="70" spans="2:6" ht="30" x14ac:dyDescent="0.25">
      <c r="B70" s="120"/>
      <c r="C70" s="117"/>
      <c r="D70" s="126"/>
      <c r="E70" s="129" t="s">
        <v>357</v>
      </c>
      <c r="F70" s="130"/>
    </row>
    <row r="71" spans="2:6" ht="30" x14ac:dyDescent="0.25">
      <c r="B71" s="120"/>
      <c r="C71" s="117"/>
      <c r="D71" s="126"/>
      <c r="E71" s="129" t="s">
        <v>358</v>
      </c>
      <c r="F71" s="130"/>
    </row>
    <row r="72" spans="2:6" ht="30" x14ac:dyDescent="0.25">
      <c r="B72" s="120"/>
      <c r="C72" s="117"/>
      <c r="D72" s="126"/>
      <c r="E72" s="129" t="s">
        <v>359</v>
      </c>
      <c r="F72" s="130"/>
    </row>
    <row r="73" spans="2:6" ht="30" x14ac:dyDescent="0.25">
      <c r="B73" s="120"/>
      <c r="C73" s="117"/>
      <c r="D73" s="126"/>
      <c r="E73" s="129" t="s">
        <v>360</v>
      </c>
      <c r="F73" s="130"/>
    </row>
    <row r="74" spans="2:6" ht="30" x14ac:dyDescent="0.25">
      <c r="B74" s="120"/>
      <c r="C74" s="117"/>
      <c r="D74" s="126"/>
      <c r="E74" s="129" t="s">
        <v>361</v>
      </c>
      <c r="F74" s="130"/>
    </row>
    <row r="75" spans="2:6" ht="30" x14ac:dyDescent="0.25">
      <c r="B75" s="120"/>
      <c r="C75" s="117"/>
      <c r="D75" s="126"/>
      <c r="E75" s="129" t="s">
        <v>362</v>
      </c>
      <c r="F75" s="130"/>
    </row>
    <row r="76" spans="2:6" ht="30" x14ac:dyDescent="0.25">
      <c r="B76" s="120"/>
      <c r="C76" s="117"/>
      <c r="D76" s="126"/>
      <c r="E76" s="129" t="s">
        <v>363</v>
      </c>
      <c r="F76" s="130"/>
    </row>
    <row r="77" spans="2:6" ht="30" x14ac:dyDescent="0.25">
      <c r="B77" s="120"/>
      <c r="C77" s="117"/>
      <c r="D77" s="126"/>
      <c r="E77" s="129" t="s">
        <v>364</v>
      </c>
      <c r="F77" s="130"/>
    </row>
    <row r="78" spans="2:6" ht="30" x14ac:dyDescent="0.25">
      <c r="B78" s="120"/>
      <c r="C78" s="117"/>
      <c r="D78" s="126"/>
      <c r="E78" s="129" t="s">
        <v>365</v>
      </c>
      <c r="F78" s="130"/>
    </row>
    <row r="79" spans="2:6" ht="30" x14ac:dyDescent="0.25">
      <c r="B79" s="120"/>
      <c r="C79" s="117"/>
      <c r="D79" s="126"/>
      <c r="E79" s="129" t="s">
        <v>366</v>
      </c>
      <c r="F79" s="130"/>
    </row>
    <row r="80" spans="2:6" ht="30" x14ac:dyDescent="0.25">
      <c r="B80" s="120"/>
      <c r="C80" s="117"/>
      <c r="D80" s="126"/>
      <c r="E80" s="129" t="s">
        <v>367</v>
      </c>
      <c r="F80" s="130"/>
    </row>
    <row r="81" spans="2:6" ht="30" x14ac:dyDescent="0.25">
      <c r="B81" s="120"/>
      <c r="C81" s="117"/>
      <c r="D81" s="126"/>
      <c r="E81" s="129" t="s">
        <v>368</v>
      </c>
      <c r="F81" s="130"/>
    </row>
    <row r="82" spans="2:6" ht="30" x14ac:dyDescent="0.25">
      <c r="B82" s="120"/>
      <c r="C82" s="117"/>
      <c r="D82" s="126"/>
      <c r="E82" s="129" t="s">
        <v>369</v>
      </c>
      <c r="F82" s="130"/>
    </row>
    <row r="83" spans="2:6" ht="30" x14ac:dyDescent="0.25">
      <c r="B83" s="120"/>
      <c r="C83" s="117"/>
      <c r="D83" s="126"/>
      <c r="E83" s="129" t="s">
        <v>370</v>
      </c>
      <c r="F83" s="130"/>
    </row>
    <row r="84" spans="2:6" ht="30" x14ac:dyDescent="0.25">
      <c r="B84" s="120"/>
      <c r="C84" s="117"/>
      <c r="D84" s="126"/>
      <c r="E84" s="129" t="s">
        <v>371</v>
      </c>
      <c r="F84" s="130"/>
    </row>
    <row r="85" spans="2:6" ht="30" x14ac:dyDescent="0.25">
      <c r="B85" s="120"/>
      <c r="C85" s="117"/>
      <c r="D85" s="126"/>
      <c r="E85" s="129" t="s">
        <v>372</v>
      </c>
      <c r="F85" s="130"/>
    </row>
    <row r="86" spans="2:6" ht="30" x14ac:dyDescent="0.25">
      <c r="B86" s="120"/>
      <c r="C86" s="117"/>
      <c r="D86" s="126"/>
      <c r="E86" s="129" t="s">
        <v>373</v>
      </c>
      <c r="F86" s="130"/>
    </row>
    <row r="87" spans="2:6" ht="30" x14ac:dyDescent="0.25">
      <c r="B87" s="120"/>
      <c r="C87" s="117"/>
      <c r="D87" s="126"/>
      <c r="E87" s="129" t="s">
        <v>374</v>
      </c>
      <c r="F87" s="130"/>
    </row>
    <row r="88" spans="2:6" ht="30" x14ac:dyDescent="0.25">
      <c r="B88" s="120"/>
      <c r="C88" s="117"/>
      <c r="D88" s="126"/>
      <c r="E88" s="129" t="s">
        <v>375</v>
      </c>
      <c r="F88" s="130"/>
    </row>
    <row r="89" spans="2:6" ht="30" x14ac:dyDescent="0.25">
      <c r="B89" s="120"/>
      <c r="C89" s="117"/>
      <c r="D89" s="126"/>
      <c r="E89" s="129" t="s">
        <v>376</v>
      </c>
      <c r="F89" s="130"/>
    </row>
    <row r="90" spans="2:6" ht="30" x14ac:dyDescent="0.25">
      <c r="B90" s="120"/>
      <c r="C90" s="117"/>
      <c r="D90" s="126"/>
      <c r="E90" s="129" t="s">
        <v>377</v>
      </c>
      <c r="F90" s="130"/>
    </row>
    <row r="91" spans="2:6" ht="30" x14ac:dyDescent="0.25">
      <c r="B91" s="120"/>
      <c r="C91" s="117"/>
      <c r="D91" s="126"/>
      <c r="E91" s="129" t="s">
        <v>378</v>
      </c>
      <c r="F91" s="130"/>
    </row>
    <row r="92" spans="2:6" ht="30" x14ac:dyDescent="0.25">
      <c r="B92" s="120"/>
      <c r="C92" s="117"/>
      <c r="D92" s="126"/>
      <c r="E92" s="129" t="s">
        <v>379</v>
      </c>
      <c r="F92" s="130"/>
    </row>
    <row r="93" spans="2:6" ht="30" x14ac:dyDescent="0.25">
      <c r="B93" s="120"/>
      <c r="C93" s="117"/>
      <c r="D93" s="126"/>
      <c r="E93" s="129" t="s">
        <v>380</v>
      </c>
      <c r="F93" s="130"/>
    </row>
    <row r="94" spans="2:6" ht="30" x14ac:dyDescent="0.25">
      <c r="B94" s="120"/>
      <c r="C94" s="117"/>
      <c r="D94" s="126"/>
      <c r="E94" s="129" t="s">
        <v>381</v>
      </c>
      <c r="F94" s="130"/>
    </row>
    <row r="95" spans="2:6" ht="30" x14ac:dyDescent="0.25">
      <c r="B95" s="120"/>
      <c r="C95" s="117"/>
      <c r="D95" s="126"/>
      <c r="E95" s="129" t="s">
        <v>382</v>
      </c>
      <c r="F95" s="130"/>
    </row>
    <row r="96" spans="2:6" ht="30" x14ac:dyDescent="0.25">
      <c r="B96" s="120"/>
      <c r="C96" s="117"/>
      <c r="D96" s="126"/>
      <c r="E96" s="129" t="s">
        <v>383</v>
      </c>
      <c r="F96" s="130"/>
    </row>
    <row r="97" spans="2:6" ht="30" x14ac:dyDescent="0.25">
      <c r="B97" s="120"/>
      <c r="C97" s="117"/>
      <c r="D97" s="126"/>
      <c r="E97" s="129" t="s">
        <v>384</v>
      </c>
      <c r="F97" s="130"/>
    </row>
    <row r="98" spans="2:6" ht="30" x14ac:dyDescent="0.25">
      <c r="B98" s="120"/>
      <c r="C98" s="117"/>
      <c r="D98" s="126"/>
      <c r="E98" s="129" t="s">
        <v>385</v>
      </c>
      <c r="F98" s="130"/>
    </row>
    <row r="99" spans="2:6" ht="30" x14ac:dyDescent="0.25">
      <c r="B99" s="120"/>
      <c r="C99" s="117"/>
      <c r="D99" s="126"/>
      <c r="E99" s="129" t="s">
        <v>386</v>
      </c>
      <c r="F99" s="130"/>
    </row>
    <row r="100" spans="2:6" ht="30" x14ac:dyDescent="0.25">
      <c r="B100" s="120"/>
      <c r="C100" s="117"/>
      <c r="D100" s="126"/>
      <c r="E100" s="129" t="s">
        <v>387</v>
      </c>
      <c r="F100" s="130"/>
    </row>
    <row r="101" spans="2:6" ht="30" x14ac:dyDescent="0.25">
      <c r="B101" s="120"/>
      <c r="C101" s="117"/>
      <c r="D101" s="126"/>
      <c r="E101" s="129" t="s">
        <v>388</v>
      </c>
      <c r="F101" s="130"/>
    </row>
    <row r="102" spans="2:6" ht="30" x14ac:dyDescent="0.25">
      <c r="B102" s="120"/>
      <c r="C102" s="117"/>
      <c r="D102" s="126"/>
      <c r="E102" s="129" t="s">
        <v>389</v>
      </c>
      <c r="F102" s="130"/>
    </row>
    <row r="103" spans="2:6" ht="30" x14ac:dyDescent="0.25">
      <c r="B103" s="120"/>
      <c r="C103" s="117"/>
      <c r="D103" s="126"/>
      <c r="E103" s="129" t="s">
        <v>390</v>
      </c>
      <c r="F103" s="130"/>
    </row>
    <row r="104" spans="2:6" ht="30" x14ac:dyDescent="0.25">
      <c r="B104" s="120"/>
      <c r="C104" s="117"/>
      <c r="D104" s="126"/>
      <c r="E104" s="129" t="s">
        <v>391</v>
      </c>
      <c r="F104" s="130"/>
    </row>
    <row r="105" spans="2:6" ht="30" x14ac:dyDescent="0.25">
      <c r="B105" s="120"/>
      <c r="C105" s="117"/>
      <c r="D105" s="126"/>
      <c r="E105" s="129" t="s">
        <v>392</v>
      </c>
      <c r="F105" s="130"/>
    </row>
    <row r="106" spans="2:6" ht="30" x14ac:dyDescent="0.25">
      <c r="B106" s="120"/>
      <c r="C106" s="117"/>
      <c r="D106" s="126"/>
      <c r="E106" s="129" t="s">
        <v>393</v>
      </c>
      <c r="F106" s="130"/>
    </row>
    <row r="107" spans="2:6" ht="30" x14ac:dyDescent="0.25">
      <c r="B107" s="120"/>
      <c r="C107" s="117"/>
      <c r="D107" s="126"/>
      <c r="E107" s="129" t="s">
        <v>394</v>
      </c>
      <c r="F107" s="130"/>
    </row>
    <row r="108" spans="2:6" ht="30" x14ac:dyDescent="0.25">
      <c r="B108" s="120"/>
      <c r="C108" s="117"/>
      <c r="D108" s="126"/>
      <c r="E108" s="129" t="s">
        <v>395</v>
      </c>
      <c r="F108" s="130"/>
    </row>
    <row r="109" spans="2:6" ht="30" x14ac:dyDescent="0.25">
      <c r="B109" s="120"/>
      <c r="C109" s="117"/>
      <c r="D109" s="126"/>
      <c r="E109" s="129" t="s">
        <v>396</v>
      </c>
      <c r="F109" s="130"/>
    </row>
    <row r="110" spans="2:6" ht="30" x14ac:dyDescent="0.25">
      <c r="B110" s="120"/>
      <c r="C110" s="117"/>
      <c r="D110" s="126"/>
      <c r="E110" s="129" t="s">
        <v>397</v>
      </c>
      <c r="F110" s="130"/>
    </row>
    <row r="111" spans="2:6" ht="30" x14ac:dyDescent="0.25">
      <c r="B111" s="120"/>
      <c r="C111" s="117"/>
      <c r="D111" s="126"/>
      <c r="E111" s="129" t="s">
        <v>398</v>
      </c>
      <c r="F111" s="130"/>
    </row>
    <row r="112" spans="2:6" ht="30" x14ac:dyDescent="0.25">
      <c r="B112" s="120"/>
      <c r="C112" s="117"/>
      <c r="D112" s="126"/>
      <c r="E112" s="129" t="s">
        <v>399</v>
      </c>
      <c r="F112" s="130"/>
    </row>
    <row r="113" spans="2:6" ht="30" x14ac:dyDescent="0.25">
      <c r="B113" s="120"/>
      <c r="C113" s="117"/>
      <c r="D113" s="126"/>
      <c r="E113" s="129" t="s">
        <v>400</v>
      </c>
      <c r="F113" s="130"/>
    </row>
    <row r="114" spans="2:6" ht="30" x14ac:dyDescent="0.25">
      <c r="B114" s="120"/>
      <c r="C114" s="117"/>
      <c r="D114" s="126"/>
      <c r="E114" s="129" t="s">
        <v>401</v>
      </c>
      <c r="F114" s="130"/>
    </row>
    <row r="115" spans="2:6" ht="30" x14ac:dyDescent="0.25">
      <c r="B115" s="120"/>
      <c r="C115" s="117"/>
      <c r="D115" s="126"/>
      <c r="E115" s="129" t="s">
        <v>402</v>
      </c>
      <c r="F115" s="130"/>
    </row>
    <row r="116" spans="2:6" ht="30" x14ac:dyDescent="0.25">
      <c r="B116" s="120"/>
      <c r="C116" s="117"/>
      <c r="D116" s="126"/>
      <c r="E116" s="129" t="s">
        <v>403</v>
      </c>
      <c r="F116" s="130"/>
    </row>
    <row r="117" spans="2:6" ht="30" x14ac:dyDescent="0.25">
      <c r="B117" s="120"/>
      <c r="C117" s="117"/>
      <c r="D117" s="126"/>
      <c r="E117" s="129" t="s">
        <v>404</v>
      </c>
      <c r="F117" s="130"/>
    </row>
    <row r="118" spans="2:6" ht="30" x14ac:dyDescent="0.25">
      <c r="B118" s="120"/>
      <c r="C118" s="117"/>
      <c r="D118" s="126"/>
      <c r="E118" s="129" t="s">
        <v>405</v>
      </c>
      <c r="F118" s="130"/>
    </row>
    <row r="119" spans="2:6" ht="30" x14ac:dyDescent="0.25">
      <c r="B119" s="120"/>
      <c r="C119" s="117"/>
      <c r="D119" s="126"/>
      <c r="E119" s="129" t="s">
        <v>406</v>
      </c>
      <c r="F119" s="130"/>
    </row>
    <row r="120" spans="2:6" ht="30" x14ac:dyDescent="0.25">
      <c r="B120" s="120"/>
      <c r="C120" s="117"/>
      <c r="D120" s="126"/>
      <c r="E120" s="129" t="s">
        <v>407</v>
      </c>
      <c r="F120" s="130"/>
    </row>
    <row r="121" spans="2:6" ht="30" x14ac:dyDescent="0.25">
      <c r="B121" s="120"/>
      <c r="C121" s="117"/>
      <c r="D121" s="126"/>
      <c r="E121" s="129" t="s">
        <v>408</v>
      </c>
      <c r="F121" s="130"/>
    </row>
    <row r="122" spans="2:6" ht="30" x14ac:dyDescent="0.25">
      <c r="B122" s="120"/>
      <c r="C122" s="117"/>
      <c r="D122" s="126"/>
      <c r="E122" s="129" t="s">
        <v>409</v>
      </c>
      <c r="F122" s="130"/>
    </row>
    <row r="123" spans="2:6" ht="30" x14ac:dyDescent="0.25">
      <c r="B123" s="120"/>
      <c r="C123" s="117"/>
      <c r="D123" s="126"/>
      <c r="E123" s="129" t="s">
        <v>410</v>
      </c>
      <c r="F123" s="130"/>
    </row>
    <row r="124" spans="2:6" ht="30" x14ac:dyDescent="0.25">
      <c r="B124" s="120"/>
      <c r="C124" s="117"/>
      <c r="D124" s="126"/>
      <c r="E124" s="129" t="s">
        <v>411</v>
      </c>
      <c r="F124" s="130"/>
    </row>
    <row r="125" spans="2:6" ht="30" x14ac:dyDescent="0.25">
      <c r="B125" s="120"/>
      <c r="C125" s="117"/>
      <c r="D125" s="126"/>
      <c r="E125" s="129" t="s">
        <v>412</v>
      </c>
      <c r="F125" s="130"/>
    </row>
    <row r="126" spans="2:6" ht="30" x14ac:dyDescent="0.25">
      <c r="B126" s="120"/>
      <c r="C126" s="117"/>
      <c r="D126" s="126"/>
      <c r="E126" s="129" t="s">
        <v>413</v>
      </c>
      <c r="F126" s="130"/>
    </row>
    <row r="127" spans="2:6" ht="30" x14ac:dyDescent="0.25">
      <c r="B127" s="120"/>
      <c r="C127" s="117"/>
      <c r="D127" s="126"/>
      <c r="E127" s="129" t="s">
        <v>414</v>
      </c>
      <c r="F127" s="130"/>
    </row>
    <row r="128" spans="2:6" ht="30.75" thickBot="1" x14ac:dyDescent="0.3">
      <c r="B128" s="121"/>
      <c r="C128" s="122"/>
      <c r="D128" s="131"/>
      <c r="E128" s="132" t="s">
        <v>415</v>
      </c>
      <c r="F128" s="133"/>
    </row>
    <row r="129" spans="2:6" ht="15.75" thickBot="1" x14ac:dyDescent="0.3">
      <c r="B129" s="117"/>
      <c r="C129" s="117"/>
      <c r="D129" s="126"/>
      <c r="E129" s="126"/>
      <c r="F129" s="126"/>
    </row>
    <row r="130" spans="2:6" ht="60" x14ac:dyDescent="0.25">
      <c r="B130" s="118" t="s">
        <v>416</v>
      </c>
      <c r="C130" s="119"/>
      <c r="D130" s="127"/>
      <c r="E130" s="127">
        <v>33</v>
      </c>
      <c r="F130" s="128"/>
    </row>
    <row r="131" spans="2:6" x14ac:dyDescent="0.25">
      <c r="B131" s="120"/>
      <c r="C131" s="117"/>
      <c r="D131" s="126"/>
      <c r="E131" s="129" t="s">
        <v>417</v>
      </c>
      <c r="F131" s="130" t="s">
        <v>296</v>
      </c>
    </row>
    <row r="132" spans="2:6" x14ac:dyDescent="0.25">
      <c r="B132" s="120"/>
      <c r="C132" s="117"/>
      <c r="D132" s="126"/>
      <c r="E132" s="129" t="s">
        <v>418</v>
      </c>
      <c r="F132" s="130"/>
    </row>
    <row r="133" spans="2:6" x14ac:dyDescent="0.25">
      <c r="B133" s="120"/>
      <c r="C133" s="117"/>
      <c r="D133" s="126"/>
      <c r="E133" s="129" t="s">
        <v>419</v>
      </c>
      <c r="F133" s="130"/>
    </row>
    <row r="134" spans="2:6" x14ac:dyDescent="0.25">
      <c r="B134" s="120"/>
      <c r="C134" s="117"/>
      <c r="D134" s="126"/>
      <c r="E134" s="129" t="s">
        <v>420</v>
      </c>
      <c r="F134" s="130"/>
    </row>
    <row r="135" spans="2:6" x14ac:dyDescent="0.25">
      <c r="B135" s="120"/>
      <c r="C135" s="117"/>
      <c r="D135" s="126"/>
      <c r="E135" s="129" t="s">
        <v>421</v>
      </c>
      <c r="F135" s="130"/>
    </row>
    <row r="136" spans="2:6" x14ac:dyDescent="0.25">
      <c r="B136" s="120"/>
      <c r="C136" s="117"/>
      <c r="D136" s="126"/>
      <c r="E136" s="129" t="s">
        <v>422</v>
      </c>
      <c r="F136" s="130"/>
    </row>
    <row r="137" spans="2:6" x14ac:dyDescent="0.25">
      <c r="B137" s="120"/>
      <c r="C137" s="117"/>
      <c r="D137" s="126"/>
      <c r="E137" s="129" t="s">
        <v>423</v>
      </c>
      <c r="F137" s="130"/>
    </row>
    <row r="138" spans="2:6" x14ac:dyDescent="0.25">
      <c r="B138" s="120"/>
      <c r="C138" s="117"/>
      <c r="D138" s="126"/>
      <c r="E138" s="129" t="s">
        <v>424</v>
      </c>
      <c r="F138" s="130"/>
    </row>
    <row r="139" spans="2:6" x14ac:dyDescent="0.25">
      <c r="B139" s="120"/>
      <c r="C139" s="117"/>
      <c r="D139" s="126"/>
      <c r="E139" s="129" t="s">
        <v>425</v>
      </c>
      <c r="F139" s="130"/>
    </row>
    <row r="140" spans="2:6" x14ac:dyDescent="0.25">
      <c r="B140" s="120"/>
      <c r="C140" s="117"/>
      <c r="D140" s="126"/>
      <c r="E140" s="129" t="s">
        <v>426</v>
      </c>
      <c r="F140" s="130"/>
    </row>
    <row r="141" spans="2:6" x14ac:dyDescent="0.25">
      <c r="B141" s="120"/>
      <c r="C141" s="117"/>
      <c r="D141" s="126"/>
      <c r="E141" s="129" t="s">
        <v>427</v>
      </c>
      <c r="F141" s="130"/>
    </row>
    <row r="142" spans="2:6" x14ac:dyDescent="0.25">
      <c r="B142" s="120"/>
      <c r="C142" s="117"/>
      <c r="D142" s="126"/>
      <c r="E142" s="129" t="s">
        <v>428</v>
      </c>
      <c r="F142" s="130"/>
    </row>
    <row r="143" spans="2:6" x14ac:dyDescent="0.25">
      <c r="B143" s="120"/>
      <c r="C143" s="117"/>
      <c r="D143" s="126"/>
      <c r="E143" s="129" t="s">
        <v>429</v>
      </c>
      <c r="F143" s="130"/>
    </row>
    <row r="144" spans="2:6" x14ac:dyDescent="0.25">
      <c r="B144" s="120"/>
      <c r="C144" s="117"/>
      <c r="D144" s="126"/>
      <c r="E144" s="129" t="s">
        <v>430</v>
      </c>
      <c r="F144" s="130"/>
    </row>
    <row r="145" spans="2:6" x14ac:dyDescent="0.25">
      <c r="B145" s="120"/>
      <c r="C145" s="117"/>
      <c r="D145" s="126"/>
      <c r="E145" s="129" t="s">
        <v>431</v>
      </c>
      <c r="F145" s="130"/>
    </row>
    <row r="146" spans="2:6" x14ac:dyDescent="0.25">
      <c r="B146" s="120"/>
      <c r="C146" s="117"/>
      <c r="D146" s="126"/>
      <c r="E146" s="129" t="s">
        <v>432</v>
      </c>
      <c r="F146" s="130"/>
    </row>
    <row r="147" spans="2:6" x14ac:dyDescent="0.25">
      <c r="B147" s="120"/>
      <c r="C147" s="117"/>
      <c r="D147" s="126"/>
      <c r="E147" s="129" t="s">
        <v>433</v>
      </c>
      <c r="F147" s="130"/>
    </row>
    <row r="148" spans="2:6" x14ac:dyDescent="0.25">
      <c r="B148" s="120"/>
      <c r="C148" s="117"/>
      <c r="D148" s="126"/>
      <c r="E148" s="129" t="s">
        <v>434</v>
      </c>
      <c r="F148" s="130"/>
    </row>
    <row r="149" spans="2:6" x14ac:dyDescent="0.25">
      <c r="B149" s="120"/>
      <c r="C149" s="117"/>
      <c r="D149" s="126"/>
      <c r="E149" s="129" t="s">
        <v>435</v>
      </c>
      <c r="F149" s="130"/>
    </row>
    <row r="150" spans="2:6" x14ac:dyDescent="0.25">
      <c r="B150" s="120"/>
      <c r="C150" s="117"/>
      <c r="D150" s="126"/>
      <c r="E150" s="129" t="s">
        <v>436</v>
      </c>
      <c r="F150" s="130"/>
    </row>
    <row r="151" spans="2:6" x14ac:dyDescent="0.25">
      <c r="B151" s="120"/>
      <c r="C151" s="117"/>
      <c r="D151" s="126"/>
      <c r="E151" s="129" t="s">
        <v>437</v>
      </c>
      <c r="F151" s="130"/>
    </row>
    <row r="152" spans="2:6" x14ac:dyDescent="0.25">
      <c r="B152" s="120"/>
      <c r="C152" s="117"/>
      <c r="D152" s="126"/>
      <c r="E152" s="129" t="s">
        <v>438</v>
      </c>
      <c r="F152" s="130"/>
    </row>
    <row r="153" spans="2:6" ht="30" x14ac:dyDescent="0.25">
      <c r="B153" s="120"/>
      <c r="C153" s="117"/>
      <c r="D153" s="126"/>
      <c r="E153" s="129" t="s">
        <v>439</v>
      </c>
      <c r="F153" s="130"/>
    </row>
    <row r="154" spans="2:6" ht="30" x14ac:dyDescent="0.25">
      <c r="B154" s="120"/>
      <c r="C154" s="117"/>
      <c r="D154" s="126"/>
      <c r="E154" s="129" t="s">
        <v>440</v>
      </c>
      <c r="F154" s="130"/>
    </row>
    <row r="155" spans="2:6" ht="30" x14ac:dyDescent="0.25">
      <c r="B155" s="120"/>
      <c r="C155" s="117"/>
      <c r="D155" s="126"/>
      <c r="E155" s="129" t="s">
        <v>441</v>
      </c>
      <c r="F155" s="130"/>
    </row>
    <row r="156" spans="2:6" x14ac:dyDescent="0.25">
      <c r="B156" s="120"/>
      <c r="C156" s="117"/>
      <c r="D156" s="126"/>
      <c r="E156" s="129" t="s">
        <v>442</v>
      </c>
      <c r="F156" s="130"/>
    </row>
    <row r="157" spans="2:6" x14ac:dyDescent="0.25">
      <c r="B157" s="120"/>
      <c r="C157" s="117"/>
      <c r="D157" s="126"/>
      <c r="E157" s="129" t="s">
        <v>443</v>
      </c>
      <c r="F157" s="130"/>
    </row>
    <row r="158" spans="2:6" x14ac:dyDescent="0.25">
      <c r="B158" s="120"/>
      <c r="C158" s="117"/>
      <c r="D158" s="126"/>
      <c r="E158" s="129" t="s">
        <v>444</v>
      </c>
      <c r="F158" s="130"/>
    </row>
    <row r="159" spans="2:6" x14ac:dyDescent="0.25">
      <c r="B159" s="120"/>
      <c r="C159" s="117"/>
      <c r="D159" s="126"/>
      <c r="E159" s="129" t="s">
        <v>445</v>
      </c>
      <c r="F159" s="130"/>
    </row>
    <row r="160" spans="2:6" x14ac:dyDescent="0.25">
      <c r="B160" s="120"/>
      <c r="C160" s="117"/>
      <c r="D160" s="126"/>
      <c r="E160" s="129" t="s">
        <v>446</v>
      </c>
      <c r="F160" s="130"/>
    </row>
    <row r="161" spans="2:6" x14ac:dyDescent="0.25">
      <c r="B161" s="120"/>
      <c r="C161" s="117"/>
      <c r="D161" s="126"/>
      <c r="E161" s="129" t="s">
        <v>447</v>
      </c>
      <c r="F161" s="130"/>
    </row>
    <row r="162" spans="2:6" x14ac:dyDescent="0.25">
      <c r="B162" s="120"/>
      <c r="C162" s="117"/>
      <c r="D162" s="126"/>
      <c r="E162" s="129" t="s">
        <v>448</v>
      </c>
      <c r="F162" s="130"/>
    </row>
    <row r="163" spans="2:6" ht="15.75" thickBot="1" x14ac:dyDescent="0.3">
      <c r="B163" s="121"/>
      <c r="C163" s="122"/>
      <c r="D163" s="131"/>
      <c r="E163" s="132" t="s">
        <v>449</v>
      </c>
      <c r="F163" s="133"/>
    </row>
    <row r="164" spans="2:6" ht="15.75" thickBot="1" x14ac:dyDescent="0.3">
      <c r="B164" s="117"/>
      <c r="C164" s="117"/>
      <c r="D164" s="126"/>
      <c r="E164" s="126"/>
      <c r="F164" s="126"/>
    </row>
    <row r="165" spans="2:6" ht="60" x14ac:dyDescent="0.25">
      <c r="B165" s="118" t="s">
        <v>450</v>
      </c>
      <c r="C165" s="119"/>
      <c r="D165" s="127"/>
      <c r="E165" s="127">
        <v>69</v>
      </c>
      <c r="F165" s="128"/>
    </row>
    <row r="166" spans="2:6" ht="30" x14ac:dyDescent="0.25">
      <c r="B166" s="120"/>
      <c r="C166" s="117"/>
      <c r="D166" s="126"/>
      <c r="E166" s="129" t="s">
        <v>451</v>
      </c>
      <c r="F166" s="130" t="s">
        <v>296</v>
      </c>
    </row>
    <row r="167" spans="2:6" ht="30" x14ac:dyDescent="0.25">
      <c r="B167" s="120"/>
      <c r="C167" s="117"/>
      <c r="D167" s="126"/>
      <c r="E167" s="129" t="s">
        <v>452</v>
      </c>
      <c r="F167" s="130"/>
    </row>
    <row r="168" spans="2:6" ht="30" x14ac:dyDescent="0.25">
      <c r="B168" s="120"/>
      <c r="C168" s="117"/>
      <c r="D168" s="126"/>
      <c r="E168" s="129" t="s">
        <v>453</v>
      </c>
      <c r="F168" s="130"/>
    </row>
    <row r="169" spans="2:6" ht="30" x14ac:dyDescent="0.25">
      <c r="B169" s="120"/>
      <c r="C169" s="117"/>
      <c r="D169" s="126"/>
      <c r="E169" s="129" t="s">
        <v>439</v>
      </c>
      <c r="F169" s="130"/>
    </row>
    <row r="170" spans="2:6" ht="30" x14ac:dyDescent="0.25">
      <c r="B170" s="120"/>
      <c r="C170" s="117"/>
      <c r="D170" s="126"/>
      <c r="E170" s="129" t="s">
        <v>440</v>
      </c>
      <c r="F170" s="130"/>
    </row>
    <row r="171" spans="2:6" ht="30" x14ac:dyDescent="0.25">
      <c r="B171" s="120"/>
      <c r="C171" s="117"/>
      <c r="D171" s="126"/>
      <c r="E171" s="129" t="s">
        <v>441</v>
      </c>
      <c r="F171" s="130"/>
    </row>
    <row r="172" spans="2:6" x14ac:dyDescent="0.25">
      <c r="B172" s="120"/>
      <c r="C172" s="117"/>
      <c r="D172" s="126"/>
      <c r="E172" s="129" t="s">
        <v>442</v>
      </c>
      <c r="F172" s="130"/>
    </row>
    <row r="173" spans="2:6" x14ac:dyDescent="0.25">
      <c r="B173" s="120"/>
      <c r="C173" s="117"/>
      <c r="D173" s="126"/>
      <c r="E173" s="129" t="s">
        <v>443</v>
      </c>
      <c r="F173" s="130"/>
    </row>
    <row r="174" spans="2:6" x14ac:dyDescent="0.25">
      <c r="B174" s="120"/>
      <c r="C174" s="117"/>
      <c r="D174" s="126"/>
      <c r="E174" s="129" t="s">
        <v>444</v>
      </c>
      <c r="F174" s="130"/>
    </row>
    <row r="175" spans="2:6" x14ac:dyDescent="0.25">
      <c r="B175" s="120"/>
      <c r="C175" s="117"/>
      <c r="D175" s="126"/>
      <c r="E175" s="129" t="s">
        <v>445</v>
      </c>
      <c r="F175" s="130"/>
    </row>
    <row r="176" spans="2:6" x14ac:dyDescent="0.25">
      <c r="B176" s="120"/>
      <c r="C176" s="117"/>
      <c r="D176" s="126"/>
      <c r="E176" s="129" t="s">
        <v>446</v>
      </c>
      <c r="F176" s="130"/>
    </row>
    <row r="177" spans="2:6" x14ac:dyDescent="0.25">
      <c r="B177" s="120"/>
      <c r="C177" s="117"/>
      <c r="D177" s="126"/>
      <c r="E177" s="129" t="s">
        <v>447</v>
      </c>
      <c r="F177" s="130"/>
    </row>
    <row r="178" spans="2:6" x14ac:dyDescent="0.25">
      <c r="B178" s="120"/>
      <c r="C178" s="117"/>
      <c r="D178" s="126"/>
      <c r="E178" s="129" t="s">
        <v>448</v>
      </c>
      <c r="F178" s="130"/>
    </row>
    <row r="179" spans="2:6" x14ac:dyDescent="0.25">
      <c r="B179" s="120"/>
      <c r="C179" s="117"/>
      <c r="D179" s="126"/>
      <c r="E179" s="129" t="s">
        <v>449</v>
      </c>
      <c r="F179" s="130"/>
    </row>
    <row r="180" spans="2:6" ht="30.75" thickBot="1" x14ac:dyDescent="0.3">
      <c r="B180" s="121"/>
      <c r="C180" s="122"/>
      <c r="D180" s="131"/>
      <c r="E180" s="132" t="s">
        <v>454</v>
      </c>
      <c r="F180" s="133"/>
    </row>
    <row r="181" spans="2:6" ht="15.75" thickBot="1" x14ac:dyDescent="0.3">
      <c r="B181" s="117"/>
      <c r="C181" s="117"/>
      <c r="D181" s="126"/>
      <c r="E181" s="126"/>
      <c r="F181" s="126"/>
    </row>
    <row r="182" spans="2:6" ht="45" x14ac:dyDescent="0.25">
      <c r="B182" s="118" t="s">
        <v>455</v>
      </c>
      <c r="C182" s="119"/>
      <c r="D182" s="127"/>
      <c r="E182" s="127">
        <v>5</v>
      </c>
      <c r="F182" s="128"/>
    </row>
    <row r="183" spans="2:6" ht="30" x14ac:dyDescent="0.25">
      <c r="B183" s="120"/>
      <c r="C183" s="117"/>
      <c r="D183" s="126"/>
      <c r="E183" s="129" t="s">
        <v>456</v>
      </c>
      <c r="F183" s="130" t="s">
        <v>296</v>
      </c>
    </row>
    <row r="184" spans="2:6" ht="30" x14ac:dyDescent="0.25">
      <c r="B184" s="120"/>
      <c r="C184" s="117"/>
      <c r="D184" s="126"/>
      <c r="E184" s="129" t="s">
        <v>457</v>
      </c>
      <c r="F184" s="130"/>
    </row>
    <row r="185" spans="2:6" ht="30" x14ac:dyDescent="0.25">
      <c r="B185" s="120"/>
      <c r="C185" s="117"/>
      <c r="D185" s="126"/>
      <c r="E185" s="129" t="s">
        <v>458</v>
      </c>
      <c r="F185" s="130"/>
    </row>
    <row r="186" spans="2:6" ht="30" x14ac:dyDescent="0.25">
      <c r="B186" s="120"/>
      <c r="C186" s="117"/>
      <c r="D186" s="126"/>
      <c r="E186" s="129" t="s">
        <v>459</v>
      </c>
      <c r="F186" s="130"/>
    </row>
    <row r="187" spans="2:6" ht="30.75" thickBot="1" x14ac:dyDescent="0.3">
      <c r="B187" s="121"/>
      <c r="C187" s="122"/>
      <c r="D187" s="131"/>
      <c r="E187" s="132" t="s">
        <v>460</v>
      </c>
      <c r="F187" s="133" t="s">
        <v>296</v>
      </c>
    </row>
    <row r="188" spans="2:6" x14ac:dyDescent="0.25">
      <c r="B188" s="117"/>
      <c r="C188" s="117"/>
      <c r="D188" s="126"/>
      <c r="E188" s="126"/>
      <c r="F188" s="126"/>
    </row>
    <row r="189" spans="2:6" x14ac:dyDescent="0.25">
      <c r="B189" s="117"/>
      <c r="C189" s="117"/>
      <c r="D189" s="126"/>
      <c r="E189" s="126"/>
      <c r="F189" s="126"/>
    </row>
    <row r="190" spans="2:6" x14ac:dyDescent="0.25">
      <c r="B190" s="116" t="s">
        <v>461</v>
      </c>
      <c r="C190" s="116"/>
      <c r="D190" s="125"/>
      <c r="E190" s="125"/>
      <c r="F190" s="125"/>
    </row>
    <row r="191" spans="2:6" ht="15.75" thickBot="1" x14ac:dyDescent="0.3">
      <c r="B191" s="117"/>
      <c r="C191" s="117"/>
      <c r="D191" s="126"/>
      <c r="E191" s="126"/>
      <c r="F191" s="126"/>
    </row>
    <row r="192" spans="2:6" ht="30" x14ac:dyDescent="0.25">
      <c r="B192" s="118" t="s">
        <v>462</v>
      </c>
      <c r="C192" s="119"/>
      <c r="D192" s="127"/>
      <c r="E192" s="127">
        <v>1</v>
      </c>
      <c r="F192" s="128"/>
    </row>
    <row r="193" spans="2:6" ht="45.75" thickBot="1" x14ac:dyDescent="0.3">
      <c r="B193" s="121"/>
      <c r="C193" s="122"/>
      <c r="D193" s="131"/>
      <c r="E193" s="132" t="s">
        <v>463</v>
      </c>
      <c r="F193" s="133" t="s">
        <v>296</v>
      </c>
    </row>
    <row r="194" spans="2:6" ht="15.75" thickBot="1" x14ac:dyDescent="0.3">
      <c r="B194" s="117"/>
      <c r="C194" s="117"/>
      <c r="D194" s="126"/>
      <c r="E194" s="126"/>
      <c r="F194" s="126"/>
    </row>
    <row r="195" spans="2:6" ht="45" x14ac:dyDescent="0.25">
      <c r="B195" s="118" t="s">
        <v>464</v>
      </c>
      <c r="C195" s="119"/>
      <c r="D195" s="127"/>
      <c r="E195" s="127">
        <v>1</v>
      </c>
      <c r="F195" s="128"/>
    </row>
    <row r="196" spans="2:6" ht="45.75" thickBot="1" x14ac:dyDescent="0.3">
      <c r="B196" s="121"/>
      <c r="C196" s="122"/>
      <c r="D196" s="131"/>
      <c r="E196" s="132" t="s">
        <v>465</v>
      </c>
      <c r="F196" s="133" t="s">
        <v>296</v>
      </c>
    </row>
    <row r="197" spans="2:6" ht="15.75" thickBot="1" x14ac:dyDescent="0.3">
      <c r="B197" s="117"/>
      <c r="C197" s="117"/>
      <c r="D197" s="126"/>
      <c r="E197" s="126"/>
      <c r="F197" s="126"/>
    </row>
    <row r="198" spans="2:6" ht="60" x14ac:dyDescent="0.25">
      <c r="B198" s="118" t="s">
        <v>466</v>
      </c>
      <c r="C198" s="119"/>
      <c r="D198" s="127"/>
      <c r="E198" s="127">
        <v>1</v>
      </c>
      <c r="F198" s="128"/>
    </row>
    <row r="199" spans="2:6" ht="45.75" thickBot="1" x14ac:dyDescent="0.3">
      <c r="B199" s="121"/>
      <c r="C199" s="122"/>
      <c r="D199" s="131"/>
      <c r="E199" s="132" t="s">
        <v>465</v>
      </c>
      <c r="F199" s="133" t="s">
        <v>296</v>
      </c>
    </row>
    <row r="200" spans="2:6" ht="15.75" thickBot="1" x14ac:dyDescent="0.3">
      <c r="B200" s="117"/>
      <c r="C200" s="117"/>
      <c r="D200" s="126"/>
      <c r="E200" s="126"/>
      <c r="F200" s="126"/>
    </row>
    <row r="201" spans="2:6" ht="45.75" thickBot="1" x14ac:dyDescent="0.3">
      <c r="B201" s="123" t="s">
        <v>467</v>
      </c>
      <c r="C201" s="124"/>
      <c r="D201" s="134"/>
      <c r="E201" s="134">
        <v>163</v>
      </c>
      <c r="F201" s="135" t="s">
        <v>296</v>
      </c>
    </row>
    <row r="202" spans="2:6" x14ac:dyDescent="0.25">
      <c r="B202" s="117"/>
      <c r="C202" s="117"/>
      <c r="D202" s="126"/>
      <c r="E202" s="126"/>
      <c r="F202" s="126"/>
    </row>
  </sheetData>
  <hyperlinks>
    <hyperlink ref="E9" location="'Mapa final'!Z10:AA10" display="'Mapa final'!Z10:AA10"/>
    <hyperlink ref="E10" location="'Mapa final'!AC10:AE10" display="'Mapa final'!AC10:AE10"/>
    <hyperlink ref="E11" location="'Mapa final'!Z11:AA11" display="'Mapa final'!Z11:AA11"/>
    <hyperlink ref="E12" location="'Mapa final'!AC11:AE11" display="'Mapa final'!AC11:AE11"/>
    <hyperlink ref="E13" location="'Mapa final'!Z12:AA12" display="'Mapa final'!Z12:AA12"/>
    <hyperlink ref="E14" location="'Mapa final'!AC12:AE12" display="'Mapa final'!AC12:AE12"/>
    <hyperlink ref="E15" location="'Mapa final'!Z13:AA13" display="'Mapa final'!Z13:AA13"/>
    <hyperlink ref="E16" location="'Mapa final'!AC13:AE13" display="'Mapa final'!AC13:AE13"/>
    <hyperlink ref="E17" location="'Mapa final'!Z14:AA14" display="'Mapa final'!Z14:AA14"/>
    <hyperlink ref="E18" location="'Mapa final'!AC14:AE14" display="'Mapa final'!AC14:AE14"/>
    <hyperlink ref="E19" location="'Mapa final'!Z15:AA15" display="'Mapa final'!Z15:AA15"/>
    <hyperlink ref="E20" location="'Mapa final'!AC15:AE15" display="'Mapa final'!AC15:AE15"/>
    <hyperlink ref="E21" location="'Mapa final'!Z16:AA16" display="'Mapa final'!Z16:AA16"/>
    <hyperlink ref="E22" location="'Mapa final'!AC16:AE16" display="'Mapa final'!AC16:AE16"/>
    <hyperlink ref="E23" location="'Mapa final'!Z17:AA17" display="'Mapa final'!Z17:AA17"/>
    <hyperlink ref="E24" location="'Mapa final'!AC17:AE17" display="'Mapa final'!AC17:AE17"/>
    <hyperlink ref="E25" location="'Mapa final'!Z18:AA18" display="'Mapa final'!Z18:AA18"/>
    <hyperlink ref="E26" location="'Mapa final'!AC18:AE18" display="'Mapa final'!AC18:AE18"/>
    <hyperlink ref="E27" location="'Mapa final'!Z19:AA19" display="'Mapa final'!Z19:AA19"/>
    <hyperlink ref="E28" location="'Mapa final'!AC19:AE19" display="'Mapa final'!AC19:AE19"/>
    <hyperlink ref="E29" location="'Mapa final'!Z20:AA20" display="'Mapa final'!Z20:AA20"/>
    <hyperlink ref="E30" location="'Mapa final'!AC20:AE20" display="'Mapa final'!AC20:AE20"/>
    <hyperlink ref="E31" location="'Mapa final'!Z21:AA21" display="'Mapa final'!Z21:AA21"/>
    <hyperlink ref="E32" location="'Mapa final'!AC21:AE21" display="'Mapa final'!AC21:AE21"/>
    <hyperlink ref="E33" location="'Mapa final'!Z22:AA22" display="'Mapa final'!Z22:AA22"/>
    <hyperlink ref="E34" location="'Mapa final'!AC22:AE22" display="'Mapa final'!AC22:AE22"/>
    <hyperlink ref="E35" location="'Mapa final'!Z23:AA23" display="'Mapa final'!Z23:AA23"/>
    <hyperlink ref="E36" location="'Mapa final'!AC23:AE23" display="'Mapa final'!AC23:AE23"/>
    <hyperlink ref="E37" location="'Mapa final'!Z24:AA24" display="'Mapa final'!Z24:AA24"/>
    <hyperlink ref="E38" location="'Mapa final'!AC24:AE24" display="'Mapa final'!AC24:AE24"/>
    <hyperlink ref="E39" location="'Mapa final'!Z25:AA25" display="'Mapa final'!Z25:AA25"/>
    <hyperlink ref="E40" location="'Mapa final'!AC25:AE25" display="'Mapa final'!AC25:AE25"/>
    <hyperlink ref="E41" location="'Mapa final'!Z26:AA26" display="'Mapa final'!Z26:AA26"/>
    <hyperlink ref="E42" location="'Mapa final'!AC26:AE26" display="'Mapa final'!AC26:AE26"/>
    <hyperlink ref="E43" location="'Mapa final'!Z27:AA27" display="'Mapa final'!Z27:AA27"/>
    <hyperlink ref="E44" location="'Mapa final'!AC27:AE27" display="'Mapa final'!AC27:AE27"/>
    <hyperlink ref="E45" location="'Mapa final'!Z28:AA28" display="'Mapa final'!Z28:AA28"/>
    <hyperlink ref="E46" location="'Mapa final'!AC28:AE28" display="'Mapa final'!AC28:AE28"/>
    <hyperlink ref="E47" location="'Mapa final'!Z29:AA29" display="'Mapa final'!Z29:AA29"/>
    <hyperlink ref="E48" location="'Mapa final'!AC29:AE29" display="'Mapa final'!AC29:AE29"/>
    <hyperlink ref="E49" location="'Mapa final'!Z30:AA30" display="'Mapa final'!Z30:AA30"/>
    <hyperlink ref="E50" location="'Mapa final'!AC30:AE30" display="'Mapa final'!AC30:AE30"/>
    <hyperlink ref="E51" location="'Mapa final'!Z31:AA31" display="'Mapa final'!Z31:AA31"/>
    <hyperlink ref="E52" location="'Mapa final'!AC31:AE31" display="'Mapa final'!AC31:AE31"/>
    <hyperlink ref="E53" location="'Mapa final'!Z32:AA32" display="'Mapa final'!Z32:AA32"/>
    <hyperlink ref="E54" location="'Mapa final'!AC32:AE32" display="'Mapa final'!AC32:AE32"/>
    <hyperlink ref="E55" location="'Mapa final'!Z33:AA33" display="'Mapa final'!Z33:AA33"/>
    <hyperlink ref="E56" location="'Mapa final'!AC33:AE33" display="'Mapa final'!AC33:AE33"/>
    <hyperlink ref="E57" location="'Mapa final'!Z34:AA34" display="'Mapa final'!Z34:AA34"/>
    <hyperlink ref="E58" location="'Mapa final'!AC34:AE34" display="'Mapa final'!AC34:AE34"/>
    <hyperlink ref="E59" location="'Mapa final'!Z35:AA35" display="'Mapa final'!Z35:AA35"/>
    <hyperlink ref="E60" location="'Mapa final'!AC35:AE35" display="'Mapa final'!AC35:AE35"/>
    <hyperlink ref="E61" location="'Mapa final'!Z36:AA36" display="'Mapa final'!Z36:AA36"/>
    <hyperlink ref="E62" location="'Mapa final'!AC36:AE36" display="'Mapa final'!AC36:AE36"/>
    <hyperlink ref="E63" location="'Mapa final'!Z37:AA37" display="'Mapa final'!Z37:AA37"/>
    <hyperlink ref="E64" location="'Mapa final'!AC37:AE37" display="'Mapa final'!AC37:AE37"/>
    <hyperlink ref="E65" location="'Mapa final'!Z38:AA38" display="'Mapa final'!Z38:AA38"/>
    <hyperlink ref="E66" location="'Mapa final'!AC38:AE38" display="'Mapa final'!AC38:AE38"/>
    <hyperlink ref="E67" location="'Mapa final'!Z39:AA39" display="'Mapa final'!Z39:AA39"/>
    <hyperlink ref="E68" location="'Mapa final'!AC39:AE39" display="'Mapa final'!AC39:AE39"/>
    <hyperlink ref="E69" location="'Mapa final'!Z40:AA40" display="'Mapa final'!Z40:AA40"/>
    <hyperlink ref="E70" location="'Mapa final'!AC40:AE40" display="'Mapa final'!AC40:AE40"/>
    <hyperlink ref="E71" location="'Mapa final'!Z41:AA41" display="'Mapa final'!Z41:AA41"/>
    <hyperlink ref="E72" location="'Mapa final'!AC41:AE41" display="'Mapa final'!AC41:AE41"/>
    <hyperlink ref="E73" location="'Mapa final'!Z42:AA42" display="'Mapa final'!Z42:AA42"/>
    <hyperlink ref="E74" location="'Mapa final'!AC42:AE42" display="'Mapa final'!AC42:AE42"/>
    <hyperlink ref="E75" location="'Mapa final'!Z43:AA43" display="'Mapa final'!Z43:AA43"/>
    <hyperlink ref="E76" location="'Mapa final'!AC43:AE43" display="'Mapa final'!AC43:AE43"/>
    <hyperlink ref="E77" location="'Mapa final'!Z44:AA44" display="'Mapa final'!Z44:AA44"/>
    <hyperlink ref="E78" location="'Mapa final'!AC44:AE44" display="'Mapa final'!AC44:AE44"/>
    <hyperlink ref="E79" location="'Mapa final'!Z45:AA45" display="'Mapa final'!Z45:AA45"/>
    <hyperlink ref="E80" location="'Mapa final'!AC45:AE45" display="'Mapa final'!AC45:AE45"/>
    <hyperlink ref="E81" location="'Mapa final'!Z46:AA46" display="'Mapa final'!Z46:AA46"/>
    <hyperlink ref="E82" location="'Mapa final'!AC46:AE46" display="'Mapa final'!AC46:AE46"/>
    <hyperlink ref="E83" location="'Mapa final'!Z47:AA47" display="'Mapa final'!Z47:AA47"/>
    <hyperlink ref="E84" location="'Mapa final'!AC47:AE47" display="'Mapa final'!AC47:AE47"/>
    <hyperlink ref="E85" location="'Mapa final'!Z48:AA48" display="'Mapa final'!Z48:AA48"/>
    <hyperlink ref="E86" location="'Mapa final'!AC48:AE48" display="'Mapa final'!AC48:AE48"/>
    <hyperlink ref="E87" location="'Mapa final'!Z49:AA49" display="'Mapa final'!Z49:AA49"/>
    <hyperlink ref="E88" location="'Mapa final'!AC49:AE49" display="'Mapa final'!AC49:AE49"/>
    <hyperlink ref="E89" location="'Mapa final'!Z50:AA50" display="'Mapa final'!Z50:AA50"/>
    <hyperlink ref="E90" location="'Mapa final'!AC50:AE50" display="'Mapa final'!AC50:AE50"/>
    <hyperlink ref="E91" location="'Mapa final'!Z51:AA51" display="'Mapa final'!Z51:AA51"/>
    <hyperlink ref="E92" location="'Mapa final'!AC51:AE51" display="'Mapa final'!AC51:AE51"/>
    <hyperlink ref="E93" location="'Mapa final'!Z52:AA52" display="'Mapa final'!Z52:AA52"/>
    <hyperlink ref="E94" location="'Mapa final'!AC52:AE52" display="'Mapa final'!AC52:AE52"/>
    <hyperlink ref="E95" location="'Mapa final'!Z53:AA53" display="'Mapa final'!Z53:AA53"/>
    <hyperlink ref="E96" location="'Mapa final'!AC53:AE53" display="'Mapa final'!AC53:AE53"/>
    <hyperlink ref="E97" location="'Mapa final'!Z54:AA54" display="'Mapa final'!Z54:AA54"/>
    <hyperlink ref="E98" location="'Mapa final'!AC54:AE54" display="'Mapa final'!AC54:AE54"/>
    <hyperlink ref="E99" location="'Mapa final'!Z55:AA55" display="'Mapa final'!Z55:AA55"/>
    <hyperlink ref="E100" location="'Mapa final'!AC55:AE55" display="'Mapa final'!AC55:AE55"/>
    <hyperlink ref="E101" location="'Mapa final'!Z56:AA56" display="'Mapa final'!Z56:AA56"/>
    <hyperlink ref="E102" location="'Mapa final'!AC56:AE56" display="'Mapa final'!AC56:AE56"/>
    <hyperlink ref="E103" location="'Mapa final'!Z57:AA57" display="'Mapa final'!Z57:AA57"/>
    <hyperlink ref="E104" location="'Mapa final'!AC57:AE57" display="'Mapa final'!AC57:AE57"/>
    <hyperlink ref="E105" location="'Mapa final'!Z58:AA58" display="'Mapa final'!Z58:AA58"/>
    <hyperlink ref="E106" location="'Mapa final'!AC58:AE58" display="'Mapa final'!AC58:AE58"/>
    <hyperlink ref="E107" location="'Mapa final'!Z59:AA59" display="'Mapa final'!Z59:AA59"/>
    <hyperlink ref="E108" location="'Mapa final'!AC59:AE59" display="'Mapa final'!AC59:AE59"/>
    <hyperlink ref="E109" location="'Mapa final'!Z60:AA60" display="'Mapa final'!Z60:AA60"/>
    <hyperlink ref="E110" location="'Mapa final'!AC60:AE60" display="'Mapa final'!AC60:AE60"/>
    <hyperlink ref="E111" location="'Mapa final'!Z61:AA61" display="'Mapa final'!Z61:AA61"/>
    <hyperlink ref="E112" location="'Mapa final'!AC61:AE61" display="'Mapa final'!AC61:AE61"/>
    <hyperlink ref="E113" location="'Mapa final'!Z62:AA62" display="'Mapa final'!Z62:AA62"/>
    <hyperlink ref="E114" location="'Mapa final'!AC62:AE62" display="'Mapa final'!AC62:AE62"/>
    <hyperlink ref="E115" location="'Mapa final'!Z63:AA63" display="'Mapa final'!Z63:AA63"/>
    <hyperlink ref="E116" location="'Mapa final'!AC63:AE63" display="'Mapa final'!AC63:AE63"/>
    <hyperlink ref="E117" location="'Mapa final'!Z64:AA64" display="'Mapa final'!Z64:AA64"/>
    <hyperlink ref="E118" location="'Mapa final'!AC64:AE64" display="'Mapa final'!AC64:AE64"/>
    <hyperlink ref="E119" location="'Mapa final'!Z65:AA65" display="'Mapa final'!Z65:AA65"/>
    <hyperlink ref="E120" location="'Mapa final'!AC65:AE65" display="'Mapa final'!AC65:AE65"/>
    <hyperlink ref="E121" location="'Mapa final'!Z66:AA66" display="'Mapa final'!Z66:AA66"/>
    <hyperlink ref="E122" location="'Mapa final'!AC66:AE66" display="'Mapa final'!AC66:AE66"/>
    <hyperlink ref="E123" location="'Mapa final'!Z67:AA67" display="'Mapa final'!Z67:AA67"/>
    <hyperlink ref="E124" location="'Mapa final'!AC67:AE67" display="'Mapa final'!AC67:AE67"/>
    <hyperlink ref="E125" location="'Mapa final'!Z68:AA68" display="'Mapa final'!Z68:AA68"/>
    <hyperlink ref="E126" location="'Mapa final'!AC68:AE68" display="'Mapa final'!AC68:AE68"/>
    <hyperlink ref="E127" location="'Mapa final'!Z69:AA69" display="'Mapa final'!Z69:AA69"/>
    <hyperlink ref="E128" location="'Mapa final'!AC69:AE69" display="'Mapa final'!AC69:AE69"/>
    <hyperlink ref="E131" location="'Mapa final'!J10" display="'Mapa final'!J10"/>
    <hyperlink ref="E132" location="'Mapa final'!J16" display="'Mapa final'!J16"/>
    <hyperlink ref="E133" location="'Mapa final'!N10" display="'Mapa final'!N10"/>
    <hyperlink ref="E134" location="'Mapa final'!N22" display="'Mapa final'!N22"/>
    <hyperlink ref="E135" location="'Mapa final'!N28" display="'Mapa final'!N28"/>
    <hyperlink ref="E136" location="'Mapa final'!N34" display="'Mapa final'!N34"/>
    <hyperlink ref="E137" location="'Mapa final'!N40" display="'Mapa final'!N40"/>
    <hyperlink ref="E138" location="'Mapa final'!N46" display="'Mapa final'!N46"/>
    <hyperlink ref="E139" location="'Mapa final'!N52" display="'Mapa final'!N52"/>
    <hyperlink ref="E140" location="'Mapa final'!N58" display="'Mapa final'!N58"/>
    <hyperlink ref="E141" location="'Mapa final'!N64" display="'Mapa final'!N64"/>
    <hyperlink ref="E142" location="'Mapa final'!N16" display="'Mapa final'!N16"/>
    <hyperlink ref="E143" location="'Mapa final'!P10" display="'Mapa final'!P10"/>
    <hyperlink ref="E144" location="'Mapa final'!P22" display="'Mapa final'!P22"/>
    <hyperlink ref="E145" location="'Mapa final'!P28" display="'Mapa final'!P28"/>
    <hyperlink ref="E146" location="'Mapa final'!P34" display="'Mapa final'!P34"/>
    <hyperlink ref="E147" location="'Mapa final'!P40" display="'Mapa final'!P40"/>
    <hyperlink ref="E148" location="'Mapa final'!P46" display="'Mapa final'!P46"/>
    <hyperlink ref="E149" location="'Mapa final'!P52" display="'Mapa final'!P52"/>
    <hyperlink ref="E150" location="'Mapa final'!P58" display="'Mapa final'!P58"/>
    <hyperlink ref="E151" location="'Mapa final'!P64" display="'Mapa final'!P64"/>
    <hyperlink ref="E152" location="'Mapa final'!P16" display="'Mapa final'!P16"/>
    <hyperlink ref="E153" location="'Mapa final'!AA10:AA69" display="'Mapa final'!AA10:AA69"/>
    <hyperlink ref="E154" location="'Mapa final'!AC10:AC69" display="'Mapa final'!AC10:AC69"/>
    <hyperlink ref="E155" location="'Mapa final'!AE10:AE69" display="'Mapa final'!AE10:AE69"/>
    <hyperlink ref="E156" location="'Mapa final'!J58" display="'Mapa final'!J58"/>
    <hyperlink ref="E157" location="'Mapa final'!J22" display="'Mapa final'!J22"/>
    <hyperlink ref="E158" location="'Mapa final'!J28" display="'Mapa final'!J28"/>
    <hyperlink ref="E159" location="'Mapa final'!J34" display="'Mapa final'!J34"/>
    <hyperlink ref="E160" location="'Mapa final'!J40" display="'Mapa final'!J40"/>
    <hyperlink ref="E161" location="'Mapa final'!J46" display="'Mapa final'!J46"/>
    <hyperlink ref="E162" location="'Mapa final'!J52" display="'Mapa final'!J52"/>
    <hyperlink ref="E163" location="'Mapa final'!J64" display="'Mapa final'!J64"/>
    <hyperlink ref="E166" location="'Mapa final'!J10:J16" display="'Mapa final'!J10:J16"/>
    <hyperlink ref="E167" location="'Mapa final'!N10:N64" display="'Mapa final'!N10:N64"/>
    <hyperlink ref="E168" location="'Mapa final'!P10:P64" display="'Mapa final'!P10:P64"/>
    <hyperlink ref="E169" location="'Mapa final'!AA10:AA69" display="'Mapa final'!AA10:AA69"/>
    <hyperlink ref="E170" location="'Mapa final'!AC10:AC69" display="'Mapa final'!AC10:AC69"/>
    <hyperlink ref="E171" location="'Mapa final'!AE10:AE69" display="'Mapa final'!AE10:AE69"/>
    <hyperlink ref="E172" location="'Mapa final'!J58" display="'Mapa final'!J58"/>
    <hyperlink ref="E173" location="'Mapa final'!J22" display="'Mapa final'!J22"/>
    <hyperlink ref="E174" location="'Mapa final'!J28" display="'Mapa final'!J28"/>
    <hyperlink ref="E175" location="'Mapa final'!J34" display="'Mapa final'!J34"/>
    <hyperlink ref="E176" location="'Mapa final'!J40" display="'Mapa final'!J40"/>
    <hyperlink ref="E177" location="'Mapa final'!J46" display="'Mapa final'!J46"/>
    <hyperlink ref="E178" location="'Mapa final'!J52" display="'Mapa final'!J52"/>
    <hyperlink ref="E179" location="'Mapa final'!J64" display="'Mapa final'!J64"/>
    <hyperlink ref="E180" location="'Mapa final'!M10:M69" display="'Mapa final'!M10:M69"/>
    <hyperlink ref="E183" location="'Mapa final'!B10:B15" display="'Mapa final'!B10:B15"/>
    <hyperlink ref="E184" location="'Mapa final'!D10:D15" display="'Mapa final'!D10:D15"/>
    <hyperlink ref="E185" location="'Mapa final'!H10:H15" display="'Mapa final'!H10:H15"/>
    <hyperlink ref="E186" location="'Mapa final'!L10:L15" display="'Mapa final'!L10:L15"/>
    <hyperlink ref="E187" location="'Tabla Impacto'!G210" display="'Tabla Impacto'!G210"/>
    <hyperlink ref="E193" location="'Tabla Impacto'!B209:C219" display="'Tabla Impacto'!B209:C219"/>
    <hyperlink ref="E196" location="'Tabla Impacto'!D209:E221" display="'Tabla Impacto'!D209:E221"/>
    <hyperlink ref="E199" location="'Tabla Impacto'!D209:E221" display="'Tabla Impacto'!D209:E2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6</vt:i4>
      </vt:variant>
    </vt:vector>
  </HeadingPairs>
  <TitlesOfParts>
    <vt:vector size="21" baseType="lpstr">
      <vt:lpstr>Intructivo</vt:lpstr>
      <vt:lpstr>Mapa final</vt:lpstr>
      <vt:lpstr>Monitoreo No. 1</vt:lpstr>
      <vt:lpstr>Monitoreo No. 2</vt:lpstr>
      <vt:lpstr>Monitoreo No . 3</vt:lpstr>
      <vt:lpstr>Matriz Calor Inherente</vt:lpstr>
      <vt:lpstr>Matriz Calor Residual</vt:lpstr>
      <vt:lpstr>Tabla probabilidad</vt:lpstr>
      <vt:lpstr>Monitoreo No. 4</vt:lpstr>
      <vt:lpstr>Monitoreo Riesgos de Corrupción</vt:lpstr>
      <vt:lpstr>Tabla Impacto</vt:lpstr>
      <vt:lpstr>Tabla Valoración controles</vt:lpstr>
      <vt:lpstr>Opciones Tratamiento</vt:lpstr>
      <vt:lpstr>Hoja1</vt:lpstr>
      <vt:lpstr>Informe de compatibilidad</vt:lpstr>
      <vt:lpstr>'Mapa final'!Área_de_impresión</vt:lpstr>
      <vt:lpstr>'Monitoreo No . 3'!Área_de_impresión</vt:lpstr>
      <vt:lpstr>'Monitoreo No. 1'!Área_de_impresión</vt:lpstr>
      <vt:lpstr>'Monitoreo No. 2'!Área_de_impresión</vt:lpstr>
      <vt:lpstr>'Monitoreo No. 4'!Área_de_impresión</vt:lpstr>
      <vt:lpstr>'Monitoreo Riesgos de Corrupción'!Área_de_impresión</vt:lpstr>
    </vt:vector>
  </TitlesOfParts>
  <Manager/>
  <Company>Hewlett-Packard</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Nicolas Corredor</cp:lastModifiedBy>
  <cp:revision/>
  <dcterms:created xsi:type="dcterms:W3CDTF">2020-03-24T23:12:47Z</dcterms:created>
  <dcterms:modified xsi:type="dcterms:W3CDTF">2024-01-30T19:01:15Z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icrosoft.ReportingServices.InteractiveReport.Excel.SheetName">
    <vt:i4>2</vt:i4>
  </property>
</Properties>
</file>