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Backup\Disco D\104. RIESGOS\"/>
    </mc:Choice>
  </mc:AlternateContent>
  <bookViews>
    <workbookView xWindow="0" yWindow="0" windowWidth="28800" windowHeight="11535"/>
  </bookViews>
  <sheets>
    <sheet name="FT-Mapa de riesgos" sheetId="2" r:id="rId1"/>
    <sheet name="FT-Monitoreos " sheetId="4" r:id="rId2"/>
    <sheet name="Indicadores " sheetId="5" state="hidden" r:id="rId3"/>
    <sheet name="Indicadores Anuales" sheetId="6" state="hidden" r:id="rId4"/>
    <sheet name="Hoja1" sheetId="3" r:id="rId5"/>
  </sheets>
  <externalReferences>
    <externalReference r:id="rId6"/>
  </externalReferences>
  <definedNames>
    <definedName name="_xlnm._FilterDatabase" localSheetId="0" hidden="1">'FT-Mapa de riesgos'!$B$18:$G$238</definedName>
    <definedName name="_xlnm.Print_Area" localSheetId="0">'FT-Mapa de riesgos'!$A$1:$AM$239</definedName>
  </definedNames>
  <calcPr calcId="152511"/>
</workbook>
</file>

<file path=xl/calcChain.xml><?xml version="1.0" encoding="utf-8"?>
<calcChain xmlns="http://schemas.openxmlformats.org/spreadsheetml/2006/main">
  <c r="AB230" i="2" l="1"/>
  <c r="AC230" i="2"/>
  <c r="AD230" i="2"/>
  <c r="AB231" i="2"/>
  <c r="AC231" i="2" s="1"/>
  <c r="AB232" i="2"/>
  <c r="AC232" i="2" s="1"/>
  <c r="AB233" i="2"/>
  <c r="AD233" i="2" s="1"/>
  <c r="AB234" i="2"/>
  <c r="AD234" i="2" s="1"/>
  <c r="AC234" i="2"/>
  <c r="AB235" i="2"/>
  <c r="AC235" i="2" s="1"/>
  <c r="AD235" i="2"/>
  <c r="AB236" i="2"/>
  <c r="AC236" i="2" s="1"/>
  <c r="AB237" i="2"/>
  <c r="AC237" i="2" s="1"/>
  <c r="AB238" i="2"/>
  <c r="AC238" i="2" s="1"/>
  <c r="AB227" i="2"/>
  <c r="AC227" i="2" s="1"/>
  <c r="AB228" i="2"/>
  <c r="AC228" i="2" s="1"/>
  <c r="AB229" i="2"/>
  <c r="AC229" i="2" s="1"/>
  <c r="J227" i="2"/>
  <c r="J230" i="2"/>
  <c r="J233" i="2"/>
  <c r="J236" i="2"/>
  <c r="AC233" i="2" l="1"/>
  <c r="AD231" i="2"/>
  <c r="AD238" i="2"/>
  <c r="AD232" i="2"/>
  <c r="AE230" i="2"/>
  <c r="AG230" i="2" s="1"/>
  <c r="AJ230" i="2" s="1"/>
  <c r="AD237" i="2"/>
  <c r="AD236" i="2"/>
  <c r="AE227" i="2"/>
  <c r="AG227" i="2" s="1"/>
  <c r="AJ227" i="2" s="1"/>
  <c r="AD229" i="2"/>
  <c r="AD228" i="2"/>
  <c r="AD227" i="2"/>
  <c r="AF230" i="2" l="1"/>
  <c r="AH230" i="2" s="1"/>
  <c r="AK230" i="2" s="1"/>
  <c r="AL230" i="2" s="1"/>
  <c r="AF227" i="2"/>
  <c r="AH227" i="2" s="1"/>
  <c r="AK227" i="2" s="1"/>
  <c r="AL227" i="2" s="1"/>
  <c r="AB209" i="2" l="1"/>
  <c r="AD209" i="2" s="1"/>
  <c r="AB210" i="2"/>
  <c r="AD210" i="2" s="1"/>
  <c r="AB211" i="2"/>
  <c r="AC211" i="2" s="1"/>
  <c r="AB212" i="2"/>
  <c r="AD212" i="2" s="1"/>
  <c r="AB213" i="2"/>
  <c r="AD213" i="2" s="1"/>
  <c r="AB214" i="2"/>
  <c r="AC214" i="2" s="1"/>
  <c r="AB215" i="2"/>
  <c r="AD215" i="2" s="1"/>
  <c r="AB216" i="2"/>
  <c r="AD216" i="2" s="1"/>
  <c r="AB217" i="2"/>
  <c r="AC217" i="2" s="1"/>
  <c r="AB218" i="2"/>
  <c r="AD218" i="2" s="1"/>
  <c r="AB219" i="2"/>
  <c r="AD219" i="2" s="1"/>
  <c r="AB220" i="2"/>
  <c r="AC220" i="2" s="1"/>
  <c r="AB221" i="2"/>
  <c r="AD221" i="2" s="1"/>
  <c r="AB222" i="2"/>
  <c r="AD222" i="2" s="1"/>
  <c r="AB223" i="2"/>
  <c r="AC223" i="2" s="1"/>
  <c r="AB224" i="2"/>
  <c r="AD224" i="2" s="1"/>
  <c r="AB225" i="2"/>
  <c r="AD225" i="2" s="1"/>
  <c r="AB226" i="2"/>
  <c r="AC226" i="2" s="1"/>
  <c r="R208" i="2"/>
  <c r="R209" i="2"/>
  <c r="R210" i="2"/>
  <c r="R211" i="2"/>
  <c r="R212" i="2"/>
  <c r="R213" i="2"/>
  <c r="R214" i="2"/>
  <c r="R215" i="2"/>
  <c r="R216" i="2"/>
  <c r="R217" i="2"/>
  <c r="R218" i="2"/>
  <c r="R219" i="2"/>
  <c r="R220" i="2"/>
  <c r="R221" i="2"/>
  <c r="R222" i="2"/>
  <c r="R223" i="2"/>
  <c r="R224" i="2"/>
  <c r="R225" i="2"/>
  <c r="R226" i="2"/>
  <c r="AC219" i="2" l="1"/>
  <c r="AC218" i="2"/>
  <c r="AC212" i="2"/>
  <c r="AC221" i="2"/>
  <c r="AC216" i="2"/>
  <c r="AC209" i="2"/>
  <c r="AC213" i="2"/>
  <c r="AC225" i="2"/>
  <c r="AC215" i="2"/>
  <c r="AE215" i="2" s="1"/>
  <c r="AG215" i="2" s="1"/>
  <c r="AJ215" i="2" s="1"/>
  <c r="AC210" i="2"/>
  <c r="AE209" i="2" s="1"/>
  <c r="AG209" i="2" s="1"/>
  <c r="AJ209" i="2" s="1"/>
  <c r="AC224" i="2"/>
  <c r="AC222" i="2"/>
  <c r="AD226" i="2"/>
  <c r="AF224" i="2" s="1"/>
  <c r="AH224" i="2" s="1"/>
  <c r="AK224" i="2" s="1"/>
  <c r="AD223" i="2"/>
  <c r="AF221" i="2" s="1"/>
  <c r="AH221" i="2" s="1"/>
  <c r="AK221" i="2" s="1"/>
  <c r="AD220" i="2"/>
  <c r="AF218" i="2" s="1"/>
  <c r="AH218" i="2" s="1"/>
  <c r="AK218" i="2" s="1"/>
  <c r="AD217" i="2"/>
  <c r="AF215" i="2" s="1"/>
  <c r="AH215" i="2" s="1"/>
  <c r="AK215" i="2" s="1"/>
  <c r="AD214" i="2"/>
  <c r="AF212" i="2" s="1"/>
  <c r="AH212" i="2" s="1"/>
  <c r="AK212" i="2" s="1"/>
  <c r="AD211" i="2"/>
  <c r="AF209" i="2" s="1"/>
  <c r="AH209" i="2" s="1"/>
  <c r="AK209" i="2" s="1"/>
  <c r="J209" i="2"/>
  <c r="J212" i="2"/>
  <c r="J215" i="2"/>
  <c r="J218" i="2"/>
  <c r="J221" i="2"/>
  <c r="J224" i="2"/>
  <c r="AE218" i="2" l="1"/>
  <c r="AG218" i="2" s="1"/>
  <c r="AJ218" i="2" s="1"/>
  <c r="AE212" i="2"/>
  <c r="AG212" i="2" s="1"/>
  <c r="AJ212" i="2" s="1"/>
  <c r="AL212" i="2" s="1"/>
  <c r="AL215" i="2"/>
  <c r="AE224" i="2"/>
  <c r="AG224" i="2" s="1"/>
  <c r="AJ224" i="2" s="1"/>
  <c r="AL224" i="2" s="1"/>
  <c r="AL209" i="2"/>
  <c r="AE221" i="2"/>
  <c r="AG221" i="2" s="1"/>
  <c r="AJ221" i="2" s="1"/>
  <c r="AL221" i="2" s="1"/>
  <c r="AL218" i="2"/>
  <c r="AB206" i="2"/>
  <c r="AC206" i="2" s="1"/>
  <c r="AB207" i="2"/>
  <c r="AC207" i="2" s="1"/>
  <c r="AB208" i="2"/>
  <c r="AC208" i="2" s="1"/>
  <c r="R206" i="2"/>
  <c r="R207" i="2"/>
  <c r="J206" i="2"/>
  <c r="AB203" i="2"/>
  <c r="AC203" i="2" s="1"/>
  <c r="AB204" i="2"/>
  <c r="AC204" i="2" s="1"/>
  <c r="AB205" i="2"/>
  <c r="AD205" i="2" s="1"/>
  <c r="R202" i="2"/>
  <c r="R203" i="2"/>
  <c r="R204" i="2"/>
  <c r="R205" i="2"/>
  <c r="R199" i="2"/>
  <c r="R201" i="2"/>
  <c r="R198" i="2"/>
  <c r="R197" i="2"/>
  <c r="AB197" i="2"/>
  <c r="AC197" i="2" s="1"/>
  <c r="AB198" i="2"/>
  <c r="AC198" i="2" s="1"/>
  <c r="AB199" i="2"/>
  <c r="AD199" i="2" s="1"/>
  <c r="AB200" i="2"/>
  <c r="AC200" i="2" s="1"/>
  <c r="AB201" i="2"/>
  <c r="AC201" i="2" s="1"/>
  <c r="AB202" i="2"/>
  <c r="AD202" i="2" s="1"/>
  <c r="AB188" i="2"/>
  <c r="AD188" i="2" s="1"/>
  <c r="AB189" i="2"/>
  <c r="AC189" i="2" s="1"/>
  <c r="AB190" i="2"/>
  <c r="AD190" i="2" s="1"/>
  <c r="AB191" i="2"/>
  <c r="AD191" i="2" s="1"/>
  <c r="AB192" i="2"/>
  <c r="AC192" i="2" s="1"/>
  <c r="AB193" i="2"/>
  <c r="AD193" i="2" s="1"/>
  <c r="AB194" i="2"/>
  <c r="AD194" i="2" s="1"/>
  <c r="AB195" i="2"/>
  <c r="AD195" i="2" s="1"/>
  <c r="AB196" i="2"/>
  <c r="AD196" i="2" s="1"/>
  <c r="R187" i="2"/>
  <c r="R188" i="2"/>
  <c r="R189" i="2"/>
  <c r="R190" i="2"/>
  <c r="R191" i="2"/>
  <c r="R192" i="2"/>
  <c r="R193" i="2"/>
  <c r="R194" i="2"/>
  <c r="R195" i="2"/>
  <c r="R196" i="2"/>
  <c r="J194" i="2"/>
  <c r="J197" i="2"/>
  <c r="J200" i="2"/>
  <c r="J203" i="2"/>
  <c r="AC202" i="2" l="1"/>
  <c r="AE200" i="2" s="1"/>
  <c r="AG200" i="2" s="1"/>
  <c r="AJ200" i="2" s="1"/>
  <c r="AC196" i="2"/>
  <c r="AC191" i="2"/>
  <c r="AC195" i="2"/>
  <c r="AC190" i="2"/>
  <c r="AC194" i="2"/>
  <c r="AD208" i="2"/>
  <c r="AC193" i="2"/>
  <c r="AE191" i="2" s="1"/>
  <c r="AG191" i="2" s="1"/>
  <c r="AJ191" i="2" s="1"/>
  <c r="AC188" i="2"/>
  <c r="AF194" i="2"/>
  <c r="AH194" i="2" s="1"/>
  <c r="AK194" i="2" s="1"/>
  <c r="AD189" i="2"/>
  <c r="AF188" i="2" s="1"/>
  <c r="AH188" i="2" s="1"/>
  <c r="AK188" i="2" s="1"/>
  <c r="AD192" i="2"/>
  <c r="AF191" i="2" s="1"/>
  <c r="AH191" i="2" s="1"/>
  <c r="AK191" i="2" s="1"/>
  <c r="AC199" i="2"/>
  <c r="AE197" i="2" s="1"/>
  <c r="AG197" i="2" s="1"/>
  <c r="AJ197" i="2" s="1"/>
  <c r="AE206" i="2"/>
  <c r="AG206" i="2" s="1"/>
  <c r="AJ206" i="2" s="1"/>
  <c r="AD207" i="2"/>
  <c r="AD206" i="2"/>
  <c r="AC205" i="2"/>
  <c r="AE203" i="2" s="1"/>
  <c r="AG203" i="2" s="1"/>
  <c r="AJ203" i="2" s="1"/>
  <c r="AD204" i="2"/>
  <c r="AD203" i="2"/>
  <c r="AD201" i="2"/>
  <c r="AD198" i="2"/>
  <c r="AD197" i="2"/>
  <c r="AD200" i="2"/>
  <c r="AE194" i="2" l="1"/>
  <c r="AG194" i="2" s="1"/>
  <c r="AJ194" i="2" s="1"/>
  <c r="AL194" i="2" s="1"/>
  <c r="AE188" i="2"/>
  <c r="AG188" i="2" s="1"/>
  <c r="AJ188" i="2" s="1"/>
  <c r="AL188" i="2" s="1"/>
  <c r="AF203" i="2"/>
  <c r="AH203" i="2" s="1"/>
  <c r="AK203" i="2" s="1"/>
  <c r="AL203" i="2" s="1"/>
  <c r="AL191" i="2"/>
  <c r="AF206" i="2"/>
  <c r="AH206" i="2" s="1"/>
  <c r="AK206" i="2" s="1"/>
  <c r="AL206" i="2" s="1"/>
  <c r="AF197" i="2"/>
  <c r="AH197" i="2" s="1"/>
  <c r="AK197" i="2" s="1"/>
  <c r="AL197" i="2" s="1"/>
  <c r="AF200" i="2"/>
  <c r="AH200" i="2" s="1"/>
  <c r="AK200" i="2" s="1"/>
  <c r="AL200" i="2" s="1"/>
  <c r="J182" i="2" l="1"/>
  <c r="J185" i="2"/>
  <c r="J188" i="2"/>
  <c r="J191" i="2"/>
  <c r="AB173" i="2" l="1"/>
  <c r="AC173" i="2" s="1"/>
  <c r="AB174" i="2"/>
  <c r="AC174" i="2" s="1"/>
  <c r="AB175" i="2"/>
  <c r="AC175" i="2" s="1"/>
  <c r="AB176" i="2"/>
  <c r="AC176" i="2" s="1"/>
  <c r="AB177" i="2"/>
  <c r="AC177" i="2" s="1"/>
  <c r="AB178" i="2"/>
  <c r="AD178" i="2" s="1"/>
  <c r="AB179" i="2"/>
  <c r="AD179" i="2" s="1"/>
  <c r="AB180" i="2"/>
  <c r="AD180" i="2" s="1"/>
  <c r="AB181" i="2"/>
  <c r="AD181" i="2" s="1"/>
  <c r="AB182" i="2"/>
  <c r="AD182" i="2" s="1"/>
  <c r="AB183" i="2"/>
  <c r="AD183" i="2" s="1"/>
  <c r="AB184" i="2"/>
  <c r="AC184" i="2" s="1"/>
  <c r="AB185" i="2"/>
  <c r="AC185" i="2" s="1"/>
  <c r="AB186" i="2"/>
  <c r="AC186" i="2" s="1"/>
  <c r="AB187" i="2"/>
  <c r="AC187" i="2" s="1"/>
  <c r="R174" i="2"/>
  <c r="R175" i="2"/>
  <c r="R176" i="2"/>
  <c r="R177" i="2"/>
  <c r="R178" i="2"/>
  <c r="R179" i="2"/>
  <c r="R180" i="2"/>
  <c r="R181" i="2"/>
  <c r="R183" i="2"/>
  <c r="R184" i="2"/>
  <c r="R185" i="2"/>
  <c r="R186" i="2"/>
  <c r="J173" i="2"/>
  <c r="J176" i="2"/>
  <c r="J179" i="2"/>
  <c r="R165" i="2"/>
  <c r="R166" i="2"/>
  <c r="R167" i="2"/>
  <c r="R168" i="2"/>
  <c r="R170" i="2"/>
  <c r="R171" i="2"/>
  <c r="R172" i="2"/>
  <c r="R173" i="2"/>
  <c r="AB158" i="2"/>
  <c r="AD158" i="2" s="1"/>
  <c r="AB159" i="2"/>
  <c r="AC159" i="2" s="1"/>
  <c r="AB160" i="2"/>
  <c r="AD160" i="2" s="1"/>
  <c r="AB161" i="2"/>
  <c r="AC161" i="2" s="1"/>
  <c r="AB162" i="2"/>
  <c r="AD162" i="2" s="1"/>
  <c r="AB163" i="2"/>
  <c r="AC163" i="2" s="1"/>
  <c r="AB164" i="2"/>
  <c r="AD164" i="2" s="1"/>
  <c r="AB165" i="2"/>
  <c r="AC165" i="2" s="1"/>
  <c r="AB166" i="2"/>
  <c r="AD166" i="2" s="1"/>
  <c r="AB167" i="2"/>
  <c r="AC167" i="2" s="1"/>
  <c r="AB168" i="2"/>
  <c r="AD168" i="2" s="1"/>
  <c r="AB169" i="2"/>
  <c r="AC169" i="2" s="1"/>
  <c r="AB170" i="2"/>
  <c r="AD170" i="2" s="1"/>
  <c r="AB171" i="2"/>
  <c r="AC171" i="2" s="1"/>
  <c r="AB172" i="2"/>
  <c r="AD172" i="2" s="1"/>
  <c r="R164" i="2"/>
  <c r="R163" i="2"/>
  <c r="R162" i="2"/>
  <c r="R161" i="2"/>
  <c r="R160" i="2"/>
  <c r="R159" i="2"/>
  <c r="R158" i="2"/>
  <c r="J161" i="2"/>
  <c r="J164" i="2"/>
  <c r="J167" i="2"/>
  <c r="J170" i="2"/>
  <c r="AC160" i="2" l="1"/>
  <c r="AC168" i="2"/>
  <c r="AC166" i="2"/>
  <c r="AC164" i="2"/>
  <c r="AC181" i="2"/>
  <c r="AC179" i="2"/>
  <c r="AC172" i="2"/>
  <c r="AD163" i="2"/>
  <c r="AC180" i="2"/>
  <c r="AD165" i="2"/>
  <c r="AF164" i="2" s="1"/>
  <c r="AH164" i="2" s="1"/>
  <c r="AK164" i="2" s="1"/>
  <c r="AD184" i="2"/>
  <c r="AF182" i="2" s="1"/>
  <c r="AH182" i="2" s="1"/>
  <c r="AK182" i="2" s="1"/>
  <c r="AC162" i="2"/>
  <c r="AE161" i="2" s="1"/>
  <c r="AG161" i="2" s="1"/>
  <c r="AJ161" i="2" s="1"/>
  <c r="AC158" i="2"/>
  <c r="AF179" i="2"/>
  <c r="AH179" i="2" s="1"/>
  <c r="AK179" i="2" s="1"/>
  <c r="AD161" i="2"/>
  <c r="AC178" i="2"/>
  <c r="AE176" i="2" s="1"/>
  <c r="AG176" i="2" s="1"/>
  <c r="AJ176" i="2" s="1"/>
  <c r="AD186" i="2"/>
  <c r="AC183" i="2"/>
  <c r="AC182" i="2"/>
  <c r="AE173" i="2"/>
  <c r="AG173" i="2" s="1"/>
  <c r="AJ173" i="2" s="1"/>
  <c r="AE185" i="2"/>
  <c r="AG185" i="2" s="1"/>
  <c r="AJ185" i="2" s="1"/>
  <c r="AD175" i="2"/>
  <c r="AD185" i="2"/>
  <c r="AD174" i="2"/>
  <c r="AD187" i="2"/>
  <c r="AD177" i="2"/>
  <c r="AD173" i="2"/>
  <c r="AD176" i="2"/>
  <c r="AD171" i="2"/>
  <c r="AF170" i="2" s="1"/>
  <c r="AH170" i="2" s="1"/>
  <c r="AK170" i="2" s="1"/>
  <c r="AC170" i="2"/>
  <c r="AD167" i="2"/>
  <c r="AE167" i="2"/>
  <c r="AG167" i="2" s="1"/>
  <c r="AJ167" i="2" s="1"/>
  <c r="AD169" i="2"/>
  <c r="AD159" i="2"/>
  <c r="AF158" i="2" s="1"/>
  <c r="AH158" i="2" s="1"/>
  <c r="AK158" i="2" s="1"/>
  <c r="AE164" i="2" l="1"/>
  <c r="AG164" i="2" s="1"/>
  <c r="AJ164" i="2" s="1"/>
  <c r="AL164" i="2" s="1"/>
  <c r="AE158" i="2"/>
  <c r="AG158" i="2" s="1"/>
  <c r="AJ158" i="2" s="1"/>
  <c r="AL158" i="2" s="1"/>
  <c r="AE179" i="2"/>
  <c r="AG179" i="2" s="1"/>
  <c r="AJ179" i="2" s="1"/>
  <c r="AL179" i="2" s="1"/>
  <c r="AF161" i="2"/>
  <c r="AH161" i="2" s="1"/>
  <c r="AK161" i="2" s="1"/>
  <c r="AL161" i="2" s="1"/>
  <c r="AE170" i="2"/>
  <c r="AG170" i="2" s="1"/>
  <c r="AJ170" i="2" s="1"/>
  <c r="AL170" i="2" s="1"/>
  <c r="AF173" i="2"/>
  <c r="AH173" i="2" s="1"/>
  <c r="AK173" i="2" s="1"/>
  <c r="AL173" i="2" s="1"/>
  <c r="AE182" i="2"/>
  <c r="AG182" i="2" s="1"/>
  <c r="AL182" i="2" s="1"/>
  <c r="AF185" i="2"/>
  <c r="AH185" i="2" s="1"/>
  <c r="AK185" i="2" s="1"/>
  <c r="AL185" i="2" s="1"/>
  <c r="AF176" i="2"/>
  <c r="AH176" i="2" s="1"/>
  <c r="AK176" i="2" s="1"/>
  <c r="AL176" i="2" s="1"/>
  <c r="AF167" i="2"/>
  <c r="AH167" i="2" s="1"/>
  <c r="AK167" i="2" s="1"/>
  <c r="AL167" i="2" s="1"/>
  <c r="J155" i="2" l="1"/>
  <c r="J158" i="2"/>
  <c r="AB152" i="2"/>
  <c r="AD152" i="2" s="1"/>
  <c r="AB153" i="2"/>
  <c r="AC153" i="2" s="1"/>
  <c r="AB154" i="2"/>
  <c r="AC154" i="2" s="1"/>
  <c r="AB155" i="2"/>
  <c r="AD155" i="2" s="1"/>
  <c r="AB156" i="2"/>
  <c r="AC156" i="2" s="1"/>
  <c r="AB157" i="2"/>
  <c r="AC157" i="2" s="1"/>
  <c r="AB146" i="2"/>
  <c r="AC146" i="2" s="1"/>
  <c r="AB147" i="2"/>
  <c r="AC147" i="2" s="1"/>
  <c r="AB148" i="2"/>
  <c r="AD148" i="2" s="1"/>
  <c r="AB149" i="2"/>
  <c r="AC149" i="2" s="1"/>
  <c r="AB150" i="2"/>
  <c r="AC150" i="2" s="1"/>
  <c r="AB151" i="2"/>
  <c r="AC151" i="2" s="1"/>
  <c r="R148" i="2"/>
  <c r="R149" i="2"/>
  <c r="R150" i="2"/>
  <c r="R151" i="2"/>
  <c r="R152" i="2"/>
  <c r="R153" i="2"/>
  <c r="R147" i="2"/>
  <c r="R146" i="2"/>
  <c r="J146" i="2"/>
  <c r="J149" i="2"/>
  <c r="J152" i="2"/>
  <c r="AC148" i="2" l="1"/>
  <c r="AE146" i="2" s="1"/>
  <c r="AG146" i="2" s="1"/>
  <c r="AJ146" i="2" s="1"/>
  <c r="AD153" i="2"/>
  <c r="AD151" i="2"/>
  <c r="AE149" i="2"/>
  <c r="AG149" i="2" s="1"/>
  <c r="AJ149" i="2" s="1"/>
  <c r="AC155" i="2"/>
  <c r="AE155" i="2" s="1"/>
  <c r="AG155" i="2" s="1"/>
  <c r="AD156" i="2"/>
  <c r="AC152" i="2"/>
  <c r="AE152" i="2" s="1"/>
  <c r="AG152" i="2" s="1"/>
  <c r="AJ152" i="2" s="1"/>
  <c r="AD157" i="2"/>
  <c r="AD154" i="2"/>
  <c r="AD147" i="2"/>
  <c r="AD150" i="2"/>
  <c r="AD146" i="2"/>
  <c r="AD149" i="2"/>
  <c r="AF149" i="2" l="1"/>
  <c r="AH149" i="2" s="1"/>
  <c r="AK149" i="2" s="1"/>
  <c r="AL149" i="2" s="1"/>
  <c r="AF152" i="2"/>
  <c r="AH152" i="2" s="1"/>
  <c r="AK152" i="2" s="1"/>
  <c r="AL152" i="2" s="1"/>
  <c r="AF146" i="2"/>
  <c r="AH146" i="2" s="1"/>
  <c r="AK146" i="2" s="1"/>
  <c r="AL146" i="2" s="1"/>
  <c r="AF155" i="2"/>
  <c r="AH155" i="2" s="1"/>
  <c r="AK155" i="2" s="1"/>
  <c r="AL155" i="2" s="1"/>
  <c r="AB137" i="2" l="1"/>
  <c r="AC137" i="2" s="1"/>
  <c r="AB138" i="2"/>
  <c r="AC138" i="2" s="1"/>
  <c r="AB139" i="2"/>
  <c r="AC139" i="2" s="1"/>
  <c r="AB140" i="2"/>
  <c r="AC140" i="2" s="1"/>
  <c r="AB141" i="2"/>
  <c r="AD141" i="2" s="1"/>
  <c r="AB142" i="2"/>
  <c r="AC142" i="2" s="1"/>
  <c r="AB143" i="2"/>
  <c r="AC143" i="2" s="1"/>
  <c r="AB144" i="2"/>
  <c r="AC144" i="2" s="1"/>
  <c r="AB145" i="2"/>
  <c r="AC145" i="2" s="1"/>
  <c r="R137" i="2"/>
  <c r="R138" i="2"/>
  <c r="R139" i="2"/>
  <c r="R140" i="2"/>
  <c r="R141" i="2"/>
  <c r="R142" i="2"/>
  <c r="R144" i="2"/>
  <c r="J143" i="2"/>
  <c r="J137" i="2"/>
  <c r="J140" i="2"/>
  <c r="AD145" i="2" l="1"/>
  <c r="AC141" i="2"/>
  <c r="AE140" i="2" s="1"/>
  <c r="AG140" i="2" s="1"/>
  <c r="AJ140" i="2" s="1"/>
  <c r="AD139" i="2"/>
  <c r="AD144" i="2"/>
  <c r="AE143" i="2"/>
  <c r="AG143" i="2" s="1"/>
  <c r="AJ143" i="2" s="1"/>
  <c r="AD142" i="2"/>
  <c r="AD138" i="2"/>
  <c r="AE137" i="2"/>
  <c r="AG137" i="2" s="1"/>
  <c r="AJ137" i="2" s="1"/>
  <c r="AD143" i="2"/>
  <c r="AD140" i="2"/>
  <c r="AD137" i="2"/>
  <c r="AF140" i="2" l="1"/>
  <c r="AH140" i="2" s="1"/>
  <c r="AK140" i="2" s="1"/>
  <c r="AL140" i="2" s="1"/>
  <c r="AF137" i="2"/>
  <c r="AH137" i="2" s="1"/>
  <c r="AK137" i="2" s="1"/>
  <c r="AL137" i="2" s="1"/>
  <c r="AF143" i="2"/>
  <c r="AH143" i="2" s="1"/>
  <c r="AK143" i="2" s="1"/>
  <c r="AL143" i="2" s="1"/>
  <c r="AB131" i="2" l="1"/>
  <c r="AC131" i="2" s="1"/>
  <c r="AB132" i="2"/>
  <c r="AC132" i="2" s="1"/>
  <c r="AB133" i="2"/>
  <c r="AC133" i="2" s="1"/>
  <c r="AB134" i="2"/>
  <c r="AC134" i="2" s="1"/>
  <c r="AB135" i="2"/>
  <c r="AC135" i="2" s="1"/>
  <c r="AB136" i="2"/>
  <c r="AC136" i="2" s="1"/>
  <c r="R130" i="2"/>
  <c r="R131" i="2"/>
  <c r="R132" i="2"/>
  <c r="R133" i="2"/>
  <c r="R134" i="2"/>
  <c r="R135" i="2"/>
  <c r="R136" i="2"/>
  <c r="J131" i="2"/>
  <c r="J134" i="2"/>
  <c r="AB122" i="2"/>
  <c r="AC122" i="2" s="1"/>
  <c r="AB123" i="2"/>
  <c r="AC123" i="2" s="1"/>
  <c r="AB124" i="2"/>
  <c r="AC124" i="2" s="1"/>
  <c r="AB125" i="2"/>
  <c r="AC125" i="2" s="1"/>
  <c r="AB126" i="2"/>
  <c r="AC126" i="2" s="1"/>
  <c r="AB127" i="2"/>
  <c r="AC127" i="2" s="1"/>
  <c r="AB128" i="2"/>
  <c r="AC128" i="2" s="1"/>
  <c r="AB129" i="2"/>
  <c r="AC129" i="2" s="1"/>
  <c r="AB130" i="2"/>
  <c r="AC130" i="2" s="1"/>
  <c r="R121" i="2"/>
  <c r="R122" i="2"/>
  <c r="R123" i="2"/>
  <c r="R124" i="2"/>
  <c r="R125" i="2"/>
  <c r="R126" i="2"/>
  <c r="R127" i="2"/>
  <c r="R128" i="2"/>
  <c r="R129" i="2"/>
  <c r="J122" i="2"/>
  <c r="J125" i="2"/>
  <c r="J128" i="2"/>
  <c r="AB113" i="2"/>
  <c r="AD113" i="2" s="1"/>
  <c r="AB114" i="2"/>
  <c r="AD114" i="2" s="1"/>
  <c r="AB115" i="2"/>
  <c r="AC115" i="2" s="1"/>
  <c r="AB116" i="2"/>
  <c r="AD116" i="2" s="1"/>
  <c r="AB117" i="2"/>
  <c r="AD117" i="2" s="1"/>
  <c r="AB118" i="2"/>
  <c r="AC118" i="2" s="1"/>
  <c r="AB119" i="2"/>
  <c r="AD119" i="2" s="1"/>
  <c r="AB120" i="2"/>
  <c r="AD120" i="2" s="1"/>
  <c r="AB121" i="2"/>
  <c r="AC121" i="2" s="1"/>
  <c r="R112" i="2"/>
  <c r="R113" i="2"/>
  <c r="R114" i="2"/>
  <c r="R115" i="2"/>
  <c r="R116" i="2"/>
  <c r="R117" i="2"/>
  <c r="R118" i="2"/>
  <c r="R119" i="2"/>
  <c r="R120" i="2"/>
  <c r="R235" i="2"/>
  <c r="J113" i="2"/>
  <c r="J116" i="2"/>
  <c r="J119" i="2"/>
  <c r="AD127" i="2" l="1"/>
  <c r="AD133" i="2"/>
  <c r="AD130" i="2"/>
  <c r="AE131" i="2"/>
  <c r="AG131" i="2" s="1"/>
  <c r="AJ131" i="2" s="1"/>
  <c r="AC117" i="2"/>
  <c r="AE134" i="2"/>
  <c r="AG134" i="2" s="1"/>
  <c r="AJ134" i="2" s="1"/>
  <c r="AD135" i="2"/>
  <c r="AD132" i="2"/>
  <c r="AD136" i="2"/>
  <c r="AD134" i="2"/>
  <c r="AD131" i="2"/>
  <c r="AE122" i="2"/>
  <c r="AG122" i="2" s="1"/>
  <c r="AJ122" i="2" s="1"/>
  <c r="AE128" i="2"/>
  <c r="AG128" i="2" s="1"/>
  <c r="AJ128" i="2" s="1"/>
  <c r="AE125" i="2"/>
  <c r="AG125" i="2" s="1"/>
  <c r="AJ125" i="2" s="1"/>
  <c r="AD124" i="2"/>
  <c r="AD129" i="2"/>
  <c r="AD126" i="2"/>
  <c r="AD123" i="2"/>
  <c r="AD125" i="2"/>
  <c r="AD122" i="2"/>
  <c r="AD128" i="2"/>
  <c r="AC116" i="2"/>
  <c r="AC113" i="2"/>
  <c r="AC120" i="2"/>
  <c r="AC119" i="2"/>
  <c r="AC114" i="2"/>
  <c r="AD121" i="2"/>
  <c r="AF119" i="2" s="1"/>
  <c r="AH119" i="2" s="1"/>
  <c r="AK119" i="2" s="1"/>
  <c r="AD118" i="2"/>
  <c r="AF116" i="2" s="1"/>
  <c r="AH116" i="2" s="1"/>
  <c r="AK116" i="2" s="1"/>
  <c r="AD115" i="2"/>
  <c r="AF113" i="2" s="1"/>
  <c r="AH113" i="2" s="1"/>
  <c r="AK113" i="2" s="1"/>
  <c r="AE113" i="2" l="1"/>
  <c r="AG113" i="2" s="1"/>
  <c r="AJ113" i="2" s="1"/>
  <c r="AL113" i="2" s="1"/>
  <c r="AE116" i="2"/>
  <c r="AG116" i="2" s="1"/>
  <c r="AJ116" i="2" s="1"/>
  <c r="AL116" i="2" s="1"/>
  <c r="AF131" i="2"/>
  <c r="AH131" i="2" s="1"/>
  <c r="AK131" i="2" s="1"/>
  <c r="AL131" i="2" s="1"/>
  <c r="AF134" i="2"/>
  <c r="AH134" i="2" s="1"/>
  <c r="AK134" i="2" s="1"/>
  <c r="AL134" i="2" s="1"/>
  <c r="AF128" i="2"/>
  <c r="AH128" i="2" s="1"/>
  <c r="AK128" i="2" s="1"/>
  <c r="AL128" i="2" s="1"/>
  <c r="AF122" i="2"/>
  <c r="AH122" i="2" s="1"/>
  <c r="AK122" i="2" s="1"/>
  <c r="AL122" i="2" s="1"/>
  <c r="AF125" i="2"/>
  <c r="AH125" i="2" s="1"/>
  <c r="AK125" i="2" s="1"/>
  <c r="AL125" i="2" s="1"/>
  <c r="AE119" i="2"/>
  <c r="AG119" i="2" s="1"/>
  <c r="AJ119" i="2" s="1"/>
  <c r="AL119" i="2" s="1"/>
  <c r="AB110" i="2" l="1"/>
  <c r="AC110" i="2" s="1"/>
  <c r="AB111" i="2"/>
  <c r="AC111" i="2" s="1"/>
  <c r="AB112" i="2"/>
  <c r="AC112" i="2" s="1"/>
  <c r="J110" i="2"/>
  <c r="J107" i="2"/>
  <c r="J104" i="2"/>
  <c r="AB104" i="2"/>
  <c r="AC104" i="2" s="1"/>
  <c r="AB105" i="2"/>
  <c r="AC105" i="2" s="1"/>
  <c r="AB106" i="2"/>
  <c r="AC106" i="2" s="1"/>
  <c r="AB107" i="2"/>
  <c r="AC107" i="2" s="1"/>
  <c r="AB108" i="2"/>
  <c r="AC108" i="2" s="1"/>
  <c r="AB109" i="2"/>
  <c r="AC109" i="2" s="1"/>
  <c r="AB98" i="2"/>
  <c r="AC98" i="2" s="1"/>
  <c r="AB99" i="2"/>
  <c r="AC99" i="2" s="1"/>
  <c r="AB100" i="2"/>
  <c r="AC100" i="2" s="1"/>
  <c r="AB101" i="2"/>
  <c r="AC101" i="2" s="1"/>
  <c r="AB102" i="2"/>
  <c r="AC102" i="2" s="1"/>
  <c r="AB103" i="2"/>
  <c r="AD103" i="2" s="1"/>
  <c r="R102" i="2"/>
  <c r="R103" i="2"/>
  <c r="R104" i="2"/>
  <c r="R105" i="2"/>
  <c r="R106" i="2"/>
  <c r="R107" i="2"/>
  <c r="R108" i="2"/>
  <c r="R109" i="2"/>
  <c r="R110" i="2"/>
  <c r="R111" i="2"/>
  <c r="J98" i="2"/>
  <c r="J101" i="2"/>
  <c r="AC103" i="2" l="1"/>
  <c r="AE101" i="2" s="1"/>
  <c r="AG101" i="2" s="1"/>
  <c r="AJ101" i="2" s="1"/>
  <c r="AD112" i="2"/>
  <c r="AE98" i="2"/>
  <c r="AG98" i="2" s="1"/>
  <c r="AJ98" i="2" s="1"/>
  <c r="AD106" i="2"/>
  <c r="AE110" i="2"/>
  <c r="AG110" i="2" s="1"/>
  <c r="AJ110" i="2" s="1"/>
  <c r="AE233" i="2"/>
  <c r="AG233" i="2" s="1"/>
  <c r="AJ233" i="2" s="1"/>
  <c r="AD111" i="2"/>
  <c r="AD110" i="2"/>
  <c r="AD109" i="2"/>
  <c r="AE104" i="2"/>
  <c r="AG104" i="2" s="1"/>
  <c r="AJ104" i="2" s="1"/>
  <c r="AE107" i="2"/>
  <c r="AG107" i="2" s="1"/>
  <c r="AJ107" i="2" s="1"/>
  <c r="AD108" i="2"/>
  <c r="AD105" i="2"/>
  <c r="AD107" i="2"/>
  <c r="AD104" i="2"/>
  <c r="AD100" i="2"/>
  <c r="AD99" i="2"/>
  <c r="AD102" i="2"/>
  <c r="AD98" i="2"/>
  <c r="AD101" i="2"/>
  <c r="AF110" i="2" l="1"/>
  <c r="AH110" i="2" s="1"/>
  <c r="AK110" i="2" s="1"/>
  <c r="AL110" i="2" s="1"/>
  <c r="AF233" i="2"/>
  <c r="AH233" i="2" s="1"/>
  <c r="AK233" i="2" s="1"/>
  <c r="AL233" i="2" s="1"/>
  <c r="AF104" i="2"/>
  <c r="AH104" i="2" s="1"/>
  <c r="AK104" i="2" s="1"/>
  <c r="AL104" i="2" s="1"/>
  <c r="AF107" i="2"/>
  <c r="AH107" i="2" s="1"/>
  <c r="AK107" i="2" s="1"/>
  <c r="AL107" i="2" s="1"/>
  <c r="AF101" i="2"/>
  <c r="AH101" i="2" s="1"/>
  <c r="AK101" i="2" s="1"/>
  <c r="AL101" i="2" s="1"/>
  <c r="AF98" i="2"/>
  <c r="AH98" i="2" s="1"/>
  <c r="AK98" i="2" s="1"/>
  <c r="AL98" i="2" s="1"/>
  <c r="AB92" i="2" l="1"/>
  <c r="AD92" i="2" s="1"/>
  <c r="AB93" i="2"/>
  <c r="AC93" i="2" s="1"/>
  <c r="AB94" i="2"/>
  <c r="AC94" i="2" s="1"/>
  <c r="AB95" i="2"/>
  <c r="AD95" i="2" s="1"/>
  <c r="AB96" i="2"/>
  <c r="AC96" i="2" s="1"/>
  <c r="AB97" i="2"/>
  <c r="AC97" i="2" s="1"/>
  <c r="R94" i="2"/>
  <c r="R95" i="2"/>
  <c r="R96" i="2"/>
  <c r="R97" i="2"/>
  <c r="R98" i="2"/>
  <c r="R99" i="2"/>
  <c r="R100" i="2"/>
  <c r="R101" i="2"/>
  <c r="J95" i="2"/>
  <c r="J92" i="2"/>
  <c r="AD96" i="2" l="1"/>
  <c r="AD97" i="2"/>
  <c r="AC92" i="2"/>
  <c r="AE92" i="2" s="1"/>
  <c r="AG92" i="2" s="1"/>
  <c r="AJ92" i="2" s="1"/>
  <c r="AC95" i="2"/>
  <c r="AE95" i="2" s="1"/>
  <c r="AG95" i="2" s="1"/>
  <c r="AJ95" i="2" s="1"/>
  <c r="AD94" i="2"/>
  <c r="AD93" i="2"/>
  <c r="AF95" i="2" l="1"/>
  <c r="AH95" i="2" s="1"/>
  <c r="AK95" i="2" s="1"/>
  <c r="AL95" i="2" s="1"/>
  <c r="AF92" i="2"/>
  <c r="AH92" i="2" s="1"/>
  <c r="AK92" i="2" s="1"/>
  <c r="AL92" i="2" s="1"/>
  <c r="AB86" i="2"/>
  <c r="AD86" i="2" s="1"/>
  <c r="AB87" i="2"/>
  <c r="AC87" i="2" s="1"/>
  <c r="AB88" i="2"/>
  <c r="AD88" i="2" s="1"/>
  <c r="AB89" i="2"/>
  <c r="AC89" i="2" s="1"/>
  <c r="AB90" i="2"/>
  <c r="AD90" i="2" s="1"/>
  <c r="AB91" i="2"/>
  <c r="AC91" i="2" s="1"/>
  <c r="R86" i="2"/>
  <c r="R87" i="2"/>
  <c r="R88" i="2"/>
  <c r="R89" i="2"/>
  <c r="R90" i="2"/>
  <c r="R91" i="2"/>
  <c r="R92" i="2"/>
  <c r="J89" i="2"/>
  <c r="J86" i="2"/>
  <c r="AC90" i="2" l="1"/>
  <c r="AE89" i="2" s="1"/>
  <c r="AG89" i="2" s="1"/>
  <c r="AJ89" i="2" s="1"/>
  <c r="AC88" i="2"/>
  <c r="AC86" i="2"/>
  <c r="AD91" i="2"/>
  <c r="AD87" i="2"/>
  <c r="AF86" i="2" s="1"/>
  <c r="AH86" i="2" s="1"/>
  <c r="AK86" i="2" s="1"/>
  <c r="AD89" i="2"/>
  <c r="AF89" i="2" l="1"/>
  <c r="AH89" i="2" s="1"/>
  <c r="AK89" i="2" s="1"/>
  <c r="AL89" i="2" s="1"/>
  <c r="AE86" i="2"/>
  <c r="AG86" i="2" s="1"/>
  <c r="AJ86" i="2" s="1"/>
  <c r="AL86" i="2" s="1"/>
  <c r="J47" i="2"/>
  <c r="J44" i="2"/>
  <c r="AB79" i="2"/>
  <c r="AC79" i="2" s="1"/>
  <c r="R79" i="2"/>
  <c r="AB78" i="2"/>
  <c r="AD78" i="2" s="1"/>
  <c r="R78" i="2"/>
  <c r="AB77" i="2"/>
  <c r="AD77" i="2" s="1"/>
  <c r="R77" i="2"/>
  <c r="J77" i="2"/>
  <c r="AB76" i="2"/>
  <c r="AD76" i="2" s="1"/>
  <c r="AA76" i="2"/>
  <c r="T76" i="2"/>
  <c r="R76" i="2"/>
  <c r="AB75" i="2"/>
  <c r="AD75" i="2" s="1"/>
  <c r="AB74" i="2"/>
  <c r="AC74" i="2" s="1"/>
  <c r="J74" i="2"/>
  <c r="AB73" i="2"/>
  <c r="AC73" i="2" s="1"/>
  <c r="AA73" i="2"/>
  <c r="T73" i="2"/>
  <c r="R73" i="2"/>
  <c r="AB72" i="2"/>
  <c r="AD72" i="2" s="1"/>
  <c r="R72" i="2"/>
  <c r="AB71" i="2"/>
  <c r="AD71" i="2" s="1"/>
  <c r="R71" i="2"/>
  <c r="J71" i="2"/>
  <c r="AB70" i="2"/>
  <c r="AC70" i="2" s="1"/>
  <c r="AA70" i="2"/>
  <c r="T70" i="2"/>
  <c r="R70" i="2"/>
  <c r="AB69" i="2"/>
  <c r="AD69" i="2" s="1"/>
  <c r="R69" i="2"/>
  <c r="AB68" i="2"/>
  <c r="AC68" i="2" s="1"/>
  <c r="R68" i="2"/>
  <c r="J68" i="2"/>
  <c r="AB67" i="2"/>
  <c r="AD67" i="2" s="1"/>
  <c r="AA67" i="2"/>
  <c r="T67" i="2"/>
  <c r="R67" i="2"/>
  <c r="AB66" i="2"/>
  <c r="AD66" i="2" s="1"/>
  <c r="R66" i="2"/>
  <c r="AB65" i="2"/>
  <c r="AD65" i="2" s="1"/>
  <c r="R65" i="2"/>
  <c r="J65" i="2"/>
  <c r="AB64" i="2"/>
  <c r="AD64" i="2" s="1"/>
  <c r="AA64" i="2"/>
  <c r="T64" i="2"/>
  <c r="R64" i="2"/>
  <c r="AB63" i="2"/>
  <c r="AD63" i="2" s="1"/>
  <c r="AB62" i="2"/>
  <c r="AC62" i="2" s="1"/>
  <c r="R62" i="2"/>
  <c r="J62" i="2"/>
  <c r="AB61" i="2"/>
  <c r="AC61" i="2" s="1"/>
  <c r="AA61" i="2"/>
  <c r="T61" i="2"/>
  <c r="R61" i="2"/>
  <c r="AB60" i="2"/>
  <c r="AD60" i="2" s="1"/>
  <c r="AB59" i="2"/>
  <c r="AD59" i="2" s="1"/>
  <c r="J59" i="2"/>
  <c r="AB58" i="2"/>
  <c r="AD58" i="2" s="1"/>
  <c r="R58" i="2"/>
  <c r="AB57" i="2"/>
  <c r="AD57" i="2" s="1"/>
  <c r="R57" i="2"/>
  <c r="AB56" i="2"/>
  <c r="AC56" i="2" s="1"/>
  <c r="R56" i="2"/>
  <c r="J56" i="2"/>
  <c r="AB55" i="2"/>
  <c r="AD55" i="2" s="1"/>
  <c r="R55" i="2"/>
  <c r="AB54" i="2"/>
  <c r="AD54" i="2" s="1"/>
  <c r="AB53" i="2"/>
  <c r="AC53" i="2" s="1"/>
  <c r="R53" i="2"/>
  <c r="J53" i="2"/>
  <c r="AB52" i="2"/>
  <c r="AD52" i="2" s="1"/>
  <c r="R52" i="2"/>
  <c r="AB51" i="2"/>
  <c r="AD51" i="2" s="1"/>
  <c r="R51" i="2"/>
  <c r="AB50" i="2"/>
  <c r="AD50" i="2" s="1"/>
  <c r="R50" i="2"/>
  <c r="J50" i="2"/>
  <c r="AB49" i="2"/>
  <c r="AD49" i="2" s="1"/>
  <c r="AA49" i="2"/>
  <c r="T49" i="2"/>
  <c r="R49" i="2"/>
  <c r="AB48" i="2"/>
  <c r="AD48" i="2" s="1"/>
  <c r="R48" i="2"/>
  <c r="AB47" i="2"/>
  <c r="AD47" i="2" s="1"/>
  <c r="R47" i="2"/>
  <c r="AB46" i="2"/>
  <c r="AD46" i="2" s="1"/>
  <c r="R46" i="2"/>
  <c r="AB45" i="2"/>
  <c r="AD45" i="2" s="1"/>
  <c r="AB44" i="2"/>
  <c r="AD44" i="2" s="1"/>
  <c r="AA238" i="2"/>
  <c r="T238" i="2"/>
  <c r="R238" i="2"/>
  <c r="AA237" i="2"/>
  <c r="T237" i="2"/>
  <c r="R237" i="2"/>
  <c r="R236" i="2"/>
  <c r="AB85" i="2"/>
  <c r="AC85" i="2" s="1"/>
  <c r="AA85" i="2"/>
  <c r="T85" i="2"/>
  <c r="R85" i="2"/>
  <c r="AB84" i="2"/>
  <c r="AD84" i="2" s="1"/>
  <c r="AA84" i="2"/>
  <c r="T84" i="2"/>
  <c r="R84" i="2"/>
  <c r="AB83" i="2"/>
  <c r="AC83" i="2" s="1"/>
  <c r="R83" i="2"/>
  <c r="J83" i="2"/>
  <c r="AC76" i="2" l="1"/>
  <c r="AD73" i="2"/>
  <c r="AF71" i="2" s="1"/>
  <c r="AH71" i="2" s="1"/>
  <c r="AK71" i="2" s="1"/>
  <c r="AD61" i="2"/>
  <c r="AF59" i="2" s="1"/>
  <c r="AH59" i="2" s="1"/>
  <c r="AK59" i="2" s="1"/>
  <c r="AD70" i="2"/>
  <c r="AD85" i="2"/>
  <c r="AC64" i="2"/>
  <c r="AC67" i="2"/>
  <c r="AD79" i="2"/>
  <c r="AF77" i="2" s="1"/>
  <c r="AH77" i="2" s="1"/>
  <c r="AK77" i="2" s="1"/>
  <c r="AF236" i="2"/>
  <c r="AH236" i="2" s="1"/>
  <c r="AK236" i="2" s="1"/>
  <c r="AD83" i="2"/>
  <c r="AC77" i="2"/>
  <c r="AC65" i="2"/>
  <c r="AD62" i="2"/>
  <c r="AF62" i="2" s="1"/>
  <c r="AH62" i="2" s="1"/>
  <c r="AK62" i="2" s="1"/>
  <c r="AF65" i="2"/>
  <c r="AH65" i="2" s="1"/>
  <c r="AK65" i="2" s="1"/>
  <c r="AD56" i="2"/>
  <c r="AF56" i="2" s="1"/>
  <c r="AH56" i="2" s="1"/>
  <c r="AK56" i="2" s="1"/>
  <c r="AC58" i="2"/>
  <c r="AC55" i="2"/>
  <c r="AC52" i="2"/>
  <c r="AF47" i="2"/>
  <c r="AH47" i="2" s="1"/>
  <c r="AK47" i="2" s="1"/>
  <c r="AC46" i="2"/>
  <c r="AC44" i="2"/>
  <c r="AC78" i="2"/>
  <c r="AC75" i="2"/>
  <c r="AD74" i="2"/>
  <c r="AF74" i="2" s="1"/>
  <c r="AH74" i="2" s="1"/>
  <c r="AK74" i="2" s="1"/>
  <c r="AC72" i="2"/>
  <c r="AC71" i="2"/>
  <c r="AC69" i="2"/>
  <c r="AE68" i="2" s="1"/>
  <c r="AG68" i="2" s="1"/>
  <c r="AJ68" i="2" s="1"/>
  <c r="AD68" i="2"/>
  <c r="AC66" i="2"/>
  <c r="AC63" i="2"/>
  <c r="AC60" i="2"/>
  <c r="AC59" i="2"/>
  <c r="AC57" i="2"/>
  <c r="AC54" i="2"/>
  <c r="AD53" i="2"/>
  <c r="AF53" i="2" s="1"/>
  <c r="AH53" i="2" s="1"/>
  <c r="AK53" i="2" s="1"/>
  <c r="AF50" i="2"/>
  <c r="AH50" i="2" s="1"/>
  <c r="AK50" i="2" s="1"/>
  <c r="AC51" i="2"/>
  <c r="AC50" i="2"/>
  <c r="AC48" i="2"/>
  <c r="AC49" i="2"/>
  <c r="AC47" i="2"/>
  <c r="AF44" i="2"/>
  <c r="AH44" i="2" s="1"/>
  <c r="AK44" i="2" s="1"/>
  <c r="AC45" i="2"/>
  <c r="AC84" i="2"/>
  <c r="AE83" i="2" s="1"/>
  <c r="AG83" i="2" s="1"/>
  <c r="AJ83" i="2" s="1"/>
  <c r="AE74" i="2" l="1"/>
  <c r="AG74" i="2" s="1"/>
  <c r="AJ74" i="2" s="1"/>
  <c r="AL74" i="2" s="1"/>
  <c r="AF68" i="2"/>
  <c r="AH68" i="2" s="1"/>
  <c r="AK68" i="2" s="1"/>
  <c r="AL68" i="2" s="1"/>
  <c r="AE236" i="2"/>
  <c r="AG236" i="2" s="1"/>
  <c r="AJ236" i="2" s="1"/>
  <c r="AL236" i="2" s="1"/>
  <c r="AF83" i="2"/>
  <c r="AH83" i="2" s="1"/>
  <c r="AK83" i="2" s="1"/>
  <c r="AL83" i="2" s="1"/>
  <c r="AE62" i="2"/>
  <c r="AG62" i="2" s="1"/>
  <c r="AJ62" i="2" s="1"/>
  <c r="AL62" i="2" s="1"/>
  <c r="AE77" i="2"/>
  <c r="AG77" i="2" s="1"/>
  <c r="AJ77" i="2" s="1"/>
  <c r="AL77" i="2" s="1"/>
  <c r="AE71" i="2"/>
  <c r="AG71" i="2" s="1"/>
  <c r="AJ71" i="2" s="1"/>
  <c r="AL71" i="2" s="1"/>
  <c r="AE65" i="2"/>
  <c r="AG65" i="2" s="1"/>
  <c r="AJ65" i="2" s="1"/>
  <c r="AL65" i="2" s="1"/>
  <c r="AE56" i="2"/>
  <c r="AG56" i="2" s="1"/>
  <c r="AJ56" i="2" s="1"/>
  <c r="AL56" i="2" s="1"/>
  <c r="AE53" i="2"/>
  <c r="AG53" i="2" s="1"/>
  <c r="AJ53" i="2" s="1"/>
  <c r="AL53" i="2" s="1"/>
  <c r="AE44" i="2"/>
  <c r="AG44" i="2" s="1"/>
  <c r="AJ44" i="2" s="1"/>
  <c r="AL44" i="2" s="1"/>
  <c r="AE59" i="2"/>
  <c r="AG59" i="2" s="1"/>
  <c r="AJ59" i="2" s="1"/>
  <c r="AL59" i="2" s="1"/>
  <c r="AE50" i="2"/>
  <c r="AG50" i="2" s="1"/>
  <c r="AJ50" i="2" s="1"/>
  <c r="AL50" i="2" s="1"/>
  <c r="AE47" i="2"/>
  <c r="AG47" i="2" s="1"/>
  <c r="AJ47" i="2" s="1"/>
  <c r="AL47" i="2" s="1"/>
  <c r="J23" i="2" l="1"/>
  <c r="J20" i="2"/>
  <c r="G87" i="4" l="1"/>
  <c r="H87" i="4"/>
  <c r="I87" i="4"/>
  <c r="J87" i="4"/>
  <c r="K87" i="4"/>
  <c r="L87" i="4"/>
  <c r="M87" i="4"/>
  <c r="N87" i="4"/>
  <c r="G90" i="4"/>
  <c r="H90" i="4"/>
  <c r="I90" i="4"/>
  <c r="J90" i="4"/>
  <c r="K90" i="4"/>
  <c r="L90" i="4"/>
  <c r="M90" i="4"/>
  <c r="N90" i="4"/>
  <c r="G93" i="4"/>
  <c r="H93" i="4"/>
  <c r="I93" i="4"/>
  <c r="J93" i="4"/>
  <c r="K93" i="4"/>
  <c r="L93" i="4"/>
  <c r="M93" i="4"/>
  <c r="N93" i="4"/>
  <c r="G96" i="4"/>
  <c r="H96" i="4"/>
  <c r="I96" i="4"/>
  <c r="J96" i="4"/>
  <c r="K96" i="4"/>
  <c r="L96" i="4"/>
  <c r="M96" i="4"/>
  <c r="N96" i="4"/>
  <c r="G99" i="4"/>
  <c r="H99" i="4"/>
  <c r="I99" i="4"/>
  <c r="J99" i="4"/>
  <c r="K99" i="4"/>
  <c r="L99" i="4"/>
  <c r="M99" i="4"/>
  <c r="N99" i="4"/>
  <c r="G102" i="4"/>
  <c r="H102" i="4"/>
  <c r="I102" i="4"/>
  <c r="J102" i="4"/>
  <c r="K102" i="4"/>
  <c r="L102" i="4"/>
  <c r="M102" i="4"/>
  <c r="N102" i="4"/>
  <c r="G105" i="4"/>
  <c r="H105" i="4"/>
  <c r="I105" i="4"/>
  <c r="J105" i="4"/>
  <c r="K105" i="4"/>
  <c r="L105" i="4"/>
  <c r="M105" i="4"/>
  <c r="N105" i="4"/>
  <c r="G108" i="4"/>
  <c r="H108" i="4"/>
  <c r="I108" i="4"/>
  <c r="J108" i="4"/>
  <c r="K108" i="4"/>
  <c r="L108" i="4"/>
  <c r="M108" i="4"/>
  <c r="N108" i="4"/>
  <c r="G111" i="4"/>
  <c r="H111" i="4"/>
  <c r="I111" i="4"/>
  <c r="J111" i="4"/>
  <c r="K111" i="4"/>
  <c r="L111" i="4"/>
  <c r="M111" i="4"/>
  <c r="N111" i="4"/>
  <c r="H84" i="4"/>
  <c r="I84" i="4"/>
  <c r="J84" i="4"/>
  <c r="K84" i="4"/>
  <c r="L84" i="4"/>
  <c r="M84" i="4"/>
  <c r="N84" i="4"/>
  <c r="S84" i="4"/>
  <c r="T84" i="4"/>
  <c r="S85" i="4"/>
  <c r="T85" i="4"/>
  <c r="S86" i="4"/>
  <c r="T86" i="4"/>
  <c r="G51" i="4"/>
  <c r="H51" i="4"/>
  <c r="I51" i="4"/>
  <c r="J51" i="4"/>
  <c r="K51" i="4"/>
  <c r="L51" i="4"/>
  <c r="M51" i="4"/>
  <c r="N51" i="4"/>
  <c r="G54" i="4"/>
  <c r="H54" i="4"/>
  <c r="I54" i="4"/>
  <c r="J54" i="4"/>
  <c r="K54" i="4"/>
  <c r="L54" i="4"/>
  <c r="M54" i="4"/>
  <c r="N54" i="4"/>
  <c r="G57" i="4"/>
  <c r="H57" i="4"/>
  <c r="I57" i="4"/>
  <c r="J57" i="4"/>
  <c r="K57" i="4"/>
  <c r="L57" i="4"/>
  <c r="M57" i="4"/>
  <c r="N57" i="4"/>
  <c r="G60" i="4"/>
  <c r="H60" i="4"/>
  <c r="I60" i="4"/>
  <c r="J60" i="4"/>
  <c r="K60" i="4"/>
  <c r="L60" i="4"/>
  <c r="M60" i="4"/>
  <c r="N60" i="4"/>
  <c r="G63" i="4"/>
  <c r="H63" i="4"/>
  <c r="I63" i="4"/>
  <c r="J63" i="4"/>
  <c r="K63" i="4"/>
  <c r="L63" i="4"/>
  <c r="M63" i="4"/>
  <c r="N63" i="4"/>
  <c r="G66" i="4"/>
  <c r="H66" i="4"/>
  <c r="I66" i="4"/>
  <c r="J66" i="4"/>
  <c r="K66" i="4"/>
  <c r="L66" i="4"/>
  <c r="M66" i="4"/>
  <c r="N66" i="4"/>
  <c r="G69" i="4"/>
  <c r="H69" i="4"/>
  <c r="I69" i="4"/>
  <c r="J69" i="4"/>
  <c r="K69" i="4"/>
  <c r="L69" i="4"/>
  <c r="M69" i="4"/>
  <c r="N69" i="4"/>
  <c r="G72" i="4"/>
  <c r="H72" i="4"/>
  <c r="I72" i="4"/>
  <c r="J72" i="4"/>
  <c r="K72" i="4"/>
  <c r="L72" i="4"/>
  <c r="M72" i="4"/>
  <c r="N72" i="4"/>
  <c r="G75" i="4"/>
  <c r="H75" i="4"/>
  <c r="I75" i="4"/>
  <c r="J75" i="4"/>
  <c r="K75" i="4"/>
  <c r="L75" i="4"/>
  <c r="M75" i="4"/>
  <c r="N75" i="4"/>
  <c r="H48" i="4"/>
  <c r="I48" i="4"/>
  <c r="J48" i="4"/>
  <c r="K48" i="4"/>
  <c r="L48" i="4"/>
  <c r="M48" i="4"/>
  <c r="N48" i="4"/>
  <c r="G15" i="4"/>
  <c r="H15" i="4"/>
  <c r="I15" i="4"/>
  <c r="J15" i="4"/>
  <c r="K15" i="4"/>
  <c r="L15" i="4"/>
  <c r="M15" i="4"/>
  <c r="N15" i="4"/>
  <c r="G18" i="4"/>
  <c r="H18" i="4"/>
  <c r="I18" i="4"/>
  <c r="J18" i="4"/>
  <c r="K18" i="4"/>
  <c r="L18" i="4"/>
  <c r="M18" i="4"/>
  <c r="N18" i="4"/>
  <c r="G21" i="4"/>
  <c r="H21" i="4"/>
  <c r="I21" i="4"/>
  <c r="J21" i="4"/>
  <c r="K21" i="4"/>
  <c r="L21" i="4"/>
  <c r="M21" i="4"/>
  <c r="N21" i="4"/>
  <c r="G24" i="4"/>
  <c r="H24" i="4"/>
  <c r="I24" i="4"/>
  <c r="J24" i="4"/>
  <c r="K24" i="4"/>
  <c r="L24" i="4"/>
  <c r="M24" i="4"/>
  <c r="N24" i="4"/>
  <c r="G27" i="4"/>
  <c r="H27" i="4"/>
  <c r="I27" i="4"/>
  <c r="J27" i="4"/>
  <c r="K27" i="4"/>
  <c r="L27" i="4"/>
  <c r="M27" i="4"/>
  <c r="N27" i="4"/>
  <c r="G30" i="4"/>
  <c r="H30" i="4"/>
  <c r="I30" i="4"/>
  <c r="J30" i="4"/>
  <c r="K30" i="4"/>
  <c r="L30" i="4"/>
  <c r="M30" i="4"/>
  <c r="N30" i="4"/>
  <c r="G33" i="4"/>
  <c r="H33" i="4"/>
  <c r="I33" i="4"/>
  <c r="J33" i="4"/>
  <c r="K33" i="4"/>
  <c r="L33" i="4"/>
  <c r="M33" i="4"/>
  <c r="N33" i="4"/>
  <c r="G36" i="4"/>
  <c r="H36" i="4"/>
  <c r="I36" i="4"/>
  <c r="J36" i="4"/>
  <c r="K36" i="4"/>
  <c r="L36" i="4"/>
  <c r="M36" i="4"/>
  <c r="N36" i="4"/>
  <c r="G39" i="4"/>
  <c r="H39" i="4"/>
  <c r="I39" i="4"/>
  <c r="J39" i="4"/>
  <c r="K39" i="4"/>
  <c r="L39" i="4"/>
  <c r="M39" i="4"/>
  <c r="N39" i="4"/>
  <c r="H12" i="4"/>
  <c r="I12" i="4"/>
  <c r="J12" i="4"/>
  <c r="K12" i="4"/>
  <c r="L12" i="4"/>
  <c r="M12" i="4"/>
  <c r="N12" i="4"/>
  <c r="G12" i="4" l="1"/>
  <c r="A43" i="4" l="1"/>
  <c r="B12" i="4" s="1"/>
  <c r="C12" i="4" s="1"/>
  <c r="G84" i="4" l="1"/>
  <c r="G48" i="4"/>
  <c r="R13" i="4" l="1"/>
  <c r="R85" i="4" s="1"/>
  <c r="U85" i="4" s="1"/>
  <c r="V85" i="4" s="1"/>
  <c r="R14" i="4"/>
  <c r="R15" i="4"/>
  <c r="R87" i="4" s="1"/>
  <c r="R16" i="4"/>
  <c r="R52" i="4" s="1"/>
  <c r="R17" i="4"/>
  <c r="R53" i="4" s="1"/>
  <c r="R18" i="4"/>
  <c r="R90" i="4" s="1"/>
  <c r="R19" i="4"/>
  <c r="R91" i="4" s="1"/>
  <c r="R20" i="4"/>
  <c r="R92" i="4" s="1"/>
  <c r="R21" i="4"/>
  <c r="R57" i="4" s="1"/>
  <c r="R22" i="4"/>
  <c r="R58" i="4" s="1"/>
  <c r="R23" i="4"/>
  <c r="R95" i="4" s="1"/>
  <c r="R24" i="4"/>
  <c r="R60" i="4" s="1"/>
  <c r="R25" i="4"/>
  <c r="R61" i="4" s="1"/>
  <c r="R26" i="4"/>
  <c r="R98" i="4" s="1"/>
  <c r="R27" i="4"/>
  <c r="R99" i="4" s="1"/>
  <c r="R28" i="4"/>
  <c r="R100" i="4" s="1"/>
  <c r="R29" i="4"/>
  <c r="R65" i="4" s="1"/>
  <c r="R30" i="4"/>
  <c r="R102" i="4" s="1"/>
  <c r="R31" i="4"/>
  <c r="R103" i="4" s="1"/>
  <c r="R32" i="4"/>
  <c r="R68" i="4" s="1"/>
  <c r="R33" i="4"/>
  <c r="R69" i="4" s="1"/>
  <c r="R34" i="4"/>
  <c r="R106" i="4" s="1"/>
  <c r="R35" i="4"/>
  <c r="R107" i="4" s="1"/>
  <c r="R36" i="4"/>
  <c r="R108" i="4" s="1"/>
  <c r="R37" i="4"/>
  <c r="R73" i="4" s="1"/>
  <c r="R38" i="4"/>
  <c r="R74" i="4" s="1"/>
  <c r="R39" i="4"/>
  <c r="R111" i="4" s="1"/>
  <c r="R40" i="4"/>
  <c r="R76" i="4" s="1"/>
  <c r="R41" i="4"/>
  <c r="R77" i="4" s="1"/>
  <c r="R12" i="4"/>
  <c r="R84" i="4" s="1"/>
  <c r="U84" i="4" s="1"/>
  <c r="V84" i="4" s="1"/>
  <c r="P13" i="4"/>
  <c r="P14" i="4"/>
  <c r="P15" i="4"/>
  <c r="P87" i="4" s="1"/>
  <c r="P16" i="4"/>
  <c r="P88" i="4" s="1"/>
  <c r="P17" i="4"/>
  <c r="P89" i="4" s="1"/>
  <c r="P18" i="4"/>
  <c r="P90" i="4" s="1"/>
  <c r="P19" i="4"/>
  <c r="P91" i="4" s="1"/>
  <c r="P20" i="4"/>
  <c r="P92" i="4" s="1"/>
  <c r="P21" i="4"/>
  <c r="P93" i="4" s="1"/>
  <c r="P22" i="4"/>
  <c r="P94" i="4" s="1"/>
  <c r="P23" i="4"/>
  <c r="P95" i="4" s="1"/>
  <c r="P24" i="4"/>
  <c r="P60" i="4" s="1"/>
  <c r="P25" i="4"/>
  <c r="P97" i="4" s="1"/>
  <c r="P26" i="4"/>
  <c r="P98" i="4" s="1"/>
  <c r="P27" i="4"/>
  <c r="P99" i="4" s="1"/>
  <c r="P28" i="4"/>
  <c r="P100" i="4" s="1"/>
  <c r="P29" i="4"/>
  <c r="P101" i="4" s="1"/>
  <c r="P30" i="4"/>
  <c r="P102" i="4" s="1"/>
  <c r="P31" i="4"/>
  <c r="P103" i="4" s="1"/>
  <c r="P32" i="4"/>
  <c r="P68" i="4" s="1"/>
  <c r="P33" i="4"/>
  <c r="P105" i="4" s="1"/>
  <c r="P34" i="4"/>
  <c r="P106" i="4" s="1"/>
  <c r="P35" i="4"/>
  <c r="P107" i="4" s="1"/>
  <c r="P36" i="4"/>
  <c r="P108" i="4" s="1"/>
  <c r="P37" i="4"/>
  <c r="P109" i="4" s="1"/>
  <c r="P38" i="4"/>
  <c r="P110" i="4" s="1"/>
  <c r="P39" i="4"/>
  <c r="P75" i="4" s="1"/>
  <c r="P40" i="4"/>
  <c r="P76" i="4" s="1"/>
  <c r="P41" i="4"/>
  <c r="P113" i="4" s="1"/>
  <c r="P12" i="4"/>
  <c r="P104" i="4" l="1"/>
  <c r="P112" i="4"/>
  <c r="R50" i="4"/>
  <c r="R86" i="4"/>
  <c r="U86" i="4" s="1"/>
  <c r="V86" i="4" s="1"/>
  <c r="X85" i="4"/>
  <c r="W85" i="4"/>
  <c r="W84" i="4"/>
  <c r="X84" i="4"/>
  <c r="P50" i="4"/>
  <c r="P86" i="4"/>
  <c r="P49" i="4"/>
  <c r="P85" i="4"/>
  <c r="P48" i="4"/>
  <c r="P84" i="4"/>
  <c r="P111" i="4"/>
  <c r="P59" i="4"/>
  <c r="P96" i="4"/>
  <c r="R63" i="4"/>
  <c r="P67" i="4"/>
  <c r="R59" i="4"/>
  <c r="R101" i="4"/>
  <c r="P77" i="4"/>
  <c r="P69" i="4"/>
  <c r="P61" i="4"/>
  <c r="R67" i="4"/>
  <c r="R104" i="4"/>
  <c r="R97" i="4"/>
  <c r="P74" i="4"/>
  <c r="P66" i="4"/>
  <c r="P58" i="4"/>
  <c r="R55" i="4"/>
  <c r="R96" i="4"/>
  <c r="P73" i="4"/>
  <c r="P65" i="4"/>
  <c r="P57" i="4"/>
  <c r="R113" i="4"/>
  <c r="R93" i="4"/>
  <c r="P72" i="4"/>
  <c r="P64" i="4"/>
  <c r="P56" i="4"/>
  <c r="R112" i="4"/>
  <c r="R89" i="4"/>
  <c r="P71" i="4"/>
  <c r="P63" i="4"/>
  <c r="P55" i="4"/>
  <c r="R75" i="4"/>
  <c r="R109" i="4"/>
  <c r="R88" i="4"/>
  <c r="P70" i="4"/>
  <c r="P62" i="4"/>
  <c r="P54" i="4"/>
  <c r="R71" i="4"/>
  <c r="R105" i="4"/>
  <c r="R66" i="4"/>
  <c r="R72" i="4"/>
  <c r="R64" i="4"/>
  <c r="R56" i="4"/>
  <c r="R110" i="4"/>
  <c r="R94" i="4"/>
  <c r="R70" i="4"/>
  <c r="R62" i="4"/>
  <c r="R54" i="4"/>
  <c r="R51" i="4"/>
  <c r="R48" i="4"/>
  <c r="R49" i="4"/>
  <c r="P53" i="4"/>
  <c r="P52" i="4"/>
  <c r="P51" i="4"/>
  <c r="X86" i="4" l="1"/>
  <c r="W86" i="4"/>
  <c r="Y85" i="4"/>
  <c r="Y84" i="4"/>
  <c r="O13" i="4"/>
  <c r="O14" i="4"/>
  <c r="O15" i="4"/>
  <c r="E8" i="5" s="1"/>
  <c r="O16" i="4"/>
  <c r="E9" i="5" s="1"/>
  <c r="O17" i="4"/>
  <c r="E10" i="5" s="1"/>
  <c r="O18" i="4"/>
  <c r="E11" i="5" s="1"/>
  <c r="O19" i="4"/>
  <c r="E12" i="5" s="1"/>
  <c r="O20" i="4"/>
  <c r="E13" i="5" s="1"/>
  <c r="O21" i="4"/>
  <c r="E14" i="5" s="1"/>
  <c r="O22" i="4"/>
  <c r="E15" i="5" s="1"/>
  <c r="O23" i="4"/>
  <c r="E16" i="5" s="1"/>
  <c r="O24" i="4"/>
  <c r="E17" i="5" s="1"/>
  <c r="O25" i="4"/>
  <c r="E18" i="5" s="1"/>
  <c r="O26" i="4"/>
  <c r="E19" i="5" s="1"/>
  <c r="O27" i="4"/>
  <c r="E20" i="5" s="1"/>
  <c r="O28" i="4"/>
  <c r="E21" i="5" s="1"/>
  <c r="O29" i="4"/>
  <c r="E22" i="5" s="1"/>
  <c r="O30" i="4"/>
  <c r="E23" i="5" s="1"/>
  <c r="O31" i="4"/>
  <c r="E24" i="5" s="1"/>
  <c r="O32" i="4"/>
  <c r="E25" i="5" s="1"/>
  <c r="O33" i="4"/>
  <c r="E26" i="5" s="1"/>
  <c r="O34" i="4"/>
  <c r="E27" i="5" s="1"/>
  <c r="O35" i="4"/>
  <c r="E28" i="5" s="1"/>
  <c r="O36" i="4"/>
  <c r="E29" i="5" s="1"/>
  <c r="O37" i="4"/>
  <c r="E30" i="5" s="1"/>
  <c r="O38" i="4"/>
  <c r="E31" i="5" s="1"/>
  <c r="O39" i="4"/>
  <c r="E32" i="5" s="1"/>
  <c r="O40" i="4"/>
  <c r="E33" i="5" s="1"/>
  <c r="O41" i="4"/>
  <c r="E34" i="5" s="1"/>
  <c r="O12" i="4"/>
  <c r="Y86" i="4" l="1"/>
  <c r="E5" i="5"/>
  <c r="O84" i="4"/>
  <c r="E75" i="5" s="1"/>
  <c r="E7" i="5"/>
  <c r="O86" i="4"/>
  <c r="E77" i="5" s="1"/>
  <c r="E6" i="5"/>
  <c r="O85" i="4"/>
  <c r="E76" i="5" s="1"/>
  <c r="O62" i="4"/>
  <c r="E54" i="5" s="1"/>
  <c r="O98" i="4"/>
  <c r="E89" i="5" s="1"/>
  <c r="O77" i="4"/>
  <c r="E69" i="5" s="1"/>
  <c r="O113" i="4"/>
  <c r="E104" i="5" s="1"/>
  <c r="O69" i="4"/>
  <c r="E61" i="5" s="1"/>
  <c r="O105" i="4"/>
  <c r="E96" i="5" s="1"/>
  <c r="O61" i="4"/>
  <c r="E53" i="5" s="1"/>
  <c r="O97" i="4"/>
  <c r="E88" i="5" s="1"/>
  <c r="O53" i="4"/>
  <c r="E45" i="5" s="1"/>
  <c r="O89" i="4"/>
  <c r="E80" i="5" s="1"/>
  <c r="O52" i="4"/>
  <c r="E44" i="5" s="1"/>
  <c r="O88" i="4"/>
  <c r="E79" i="5" s="1"/>
  <c r="O111" i="4"/>
  <c r="E102" i="5" s="1"/>
  <c r="O75" i="4"/>
  <c r="E67" i="5" s="1"/>
  <c r="O103" i="4"/>
  <c r="E94" i="5" s="1"/>
  <c r="O67" i="4"/>
  <c r="E59" i="5" s="1"/>
  <c r="O95" i="4"/>
  <c r="E86" i="5" s="1"/>
  <c r="O59" i="4"/>
  <c r="E51" i="5" s="1"/>
  <c r="O87" i="4"/>
  <c r="E78" i="5" s="1"/>
  <c r="O51" i="4"/>
  <c r="E43" i="5" s="1"/>
  <c r="O106" i="4"/>
  <c r="E97" i="5" s="1"/>
  <c r="O70" i="4"/>
  <c r="E62" i="5" s="1"/>
  <c r="O74" i="4"/>
  <c r="E66" i="5" s="1"/>
  <c r="O110" i="4"/>
  <c r="E101" i="5" s="1"/>
  <c r="O66" i="4"/>
  <c r="E58" i="5" s="1"/>
  <c r="O102" i="4"/>
  <c r="E93" i="5" s="1"/>
  <c r="O58" i="4"/>
  <c r="E50" i="5" s="1"/>
  <c r="O94" i="4"/>
  <c r="E85" i="5" s="1"/>
  <c r="O50" i="4"/>
  <c r="E42" i="5" s="1"/>
  <c r="O48" i="4"/>
  <c r="E40" i="5" s="1"/>
  <c r="O104" i="4"/>
  <c r="E95" i="5" s="1"/>
  <c r="O68" i="4"/>
  <c r="E60" i="5" s="1"/>
  <c r="O109" i="4"/>
  <c r="E100" i="5" s="1"/>
  <c r="O73" i="4"/>
  <c r="E65" i="5" s="1"/>
  <c r="O101" i="4"/>
  <c r="E92" i="5" s="1"/>
  <c r="O65" i="4"/>
  <c r="E57" i="5" s="1"/>
  <c r="O57" i="4"/>
  <c r="E49" i="5" s="1"/>
  <c r="O93" i="4"/>
  <c r="E84" i="5" s="1"/>
  <c r="O49" i="4"/>
  <c r="E41" i="5" s="1"/>
  <c r="O90" i="4"/>
  <c r="E81" i="5" s="1"/>
  <c r="O54" i="4"/>
  <c r="E46" i="5" s="1"/>
  <c r="O72" i="4"/>
  <c r="E64" i="5" s="1"/>
  <c r="O108" i="4"/>
  <c r="E99" i="5" s="1"/>
  <c r="O64" i="4"/>
  <c r="E56" i="5" s="1"/>
  <c r="O100" i="4"/>
  <c r="E91" i="5" s="1"/>
  <c r="O56" i="4"/>
  <c r="E48" i="5" s="1"/>
  <c r="O92" i="4"/>
  <c r="E83" i="5" s="1"/>
  <c r="O76" i="4"/>
  <c r="E68" i="5" s="1"/>
  <c r="O112" i="4"/>
  <c r="E103" i="5" s="1"/>
  <c r="O96" i="4"/>
  <c r="E87" i="5" s="1"/>
  <c r="O60" i="4"/>
  <c r="E52" i="5" s="1"/>
  <c r="O71" i="4"/>
  <c r="E63" i="5" s="1"/>
  <c r="O107" i="4"/>
  <c r="E98" i="5" s="1"/>
  <c r="O63" i="4"/>
  <c r="E55" i="5" s="1"/>
  <c r="O99" i="4"/>
  <c r="E90" i="5" s="1"/>
  <c r="O55" i="4"/>
  <c r="E47" i="5" s="1"/>
  <c r="O91" i="4"/>
  <c r="E82" i="5" s="1"/>
  <c r="AA25" i="2"/>
  <c r="AA28" i="2"/>
  <c r="AA31" i="2"/>
  <c r="AA34" i="2"/>
  <c r="AA40" i="2"/>
  <c r="AA42" i="2"/>
  <c r="AA43" i="2"/>
  <c r="T22" i="2"/>
  <c r="T25" i="2"/>
  <c r="T31" i="2"/>
  <c r="T34" i="2"/>
  <c r="T40" i="2"/>
  <c r="T42" i="2"/>
  <c r="T43" i="2"/>
  <c r="T81" i="2"/>
  <c r="T82" i="2"/>
  <c r="R22" i="2"/>
  <c r="R25" i="2"/>
  <c r="R26" i="2"/>
  <c r="R27" i="2"/>
  <c r="R28" i="2"/>
  <c r="R29" i="2"/>
  <c r="R30" i="2"/>
  <c r="R31" i="2"/>
  <c r="R32" i="2"/>
  <c r="R33" i="2"/>
  <c r="R34" i="2"/>
  <c r="R35" i="2"/>
  <c r="R36" i="2"/>
  <c r="R37" i="2"/>
  <c r="R40" i="2"/>
  <c r="R42" i="2"/>
  <c r="R43" i="2"/>
  <c r="R80" i="2"/>
  <c r="R81" i="2"/>
  <c r="R82" i="2"/>
  <c r="F79" i="4"/>
  <c r="B27" i="4" l="1"/>
  <c r="A79" i="4"/>
  <c r="A115" i="4"/>
  <c r="B87" i="4" l="1"/>
  <c r="B111" i="4"/>
  <c r="B90" i="4"/>
  <c r="B93" i="4"/>
  <c r="B84" i="4"/>
  <c r="B96" i="4"/>
  <c r="B99" i="4"/>
  <c r="B102" i="4"/>
  <c r="B105" i="4"/>
  <c r="B108" i="4"/>
  <c r="B72" i="4"/>
  <c r="B60" i="4"/>
  <c r="B51" i="4"/>
  <c r="B75" i="4"/>
  <c r="B69" i="4"/>
  <c r="B54" i="4"/>
  <c r="B63" i="4"/>
  <c r="B48" i="4"/>
  <c r="B57" i="4"/>
  <c r="B66" i="4"/>
  <c r="D27" i="4"/>
  <c r="E27" i="4"/>
  <c r="B21" i="4"/>
  <c r="C27" i="4"/>
  <c r="B39" i="4"/>
  <c r="B15" i="4"/>
  <c r="E15" i="4" s="1"/>
  <c r="B36" i="4"/>
  <c r="B24" i="4"/>
  <c r="B18" i="4"/>
  <c r="E18" i="4" s="1"/>
  <c r="B33" i="4"/>
  <c r="B30" i="4"/>
  <c r="E102" i="4" l="1"/>
  <c r="C102" i="4"/>
  <c r="E96" i="4"/>
  <c r="C96" i="4"/>
  <c r="E99" i="4"/>
  <c r="C99" i="4"/>
  <c r="E93" i="4"/>
  <c r="C93" i="4"/>
  <c r="E90" i="4"/>
  <c r="C90" i="4"/>
  <c r="E108" i="4"/>
  <c r="C108" i="4"/>
  <c r="E111" i="4"/>
  <c r="C111" i="4"/>
  <c r="E105" i="4"/>
  <c r="C105" i="4"/>
  <c r="E87" i="4"/>
  <c r="C87" i="4"/>
  <c r="C75" i="4"/>
  <c r="E75" i="4"/>
  <c r="C54" i="4"/>
  <c r="E54" i="4"/>
  <c r="C60" i="4"/>
  <c r="E60" i="4"/>
  <c r="C51" i="4"/>
  <c r="E51" i="4"/>
  <c r="E57" i="4"/>
  <c r="C57" i="4"/>
  <c r="C72" i="4"/>
  <c r="E72" i="4"/>
  <c r="C63" i="4"/>
  <c r="E63" i="4"/>
  <c r="C69" i="4"/>
  <c r="E69" i="4"/>
  <c r="E66" i="4"/>
  <c r="C66" i="4"/>
  <c r="D105" i="4"/>
  <c r="D96" i="4"/>
  <c r="D93" i="4"/>
  <c r="D90" i="4"/>
  <c r="D87" i="4"/>
  <c r="D102" i="4"/>
  <c r="D99" i="4"/>
  <c r="C84" i="4"/>
  <c r="D84" i="4"/>
  <c r="E84" i="4"/>
  <c r="D108" i="4"/>
  <c r="D111" i="4"/>
  <c r="D69" i="4"/>
  <c r="D75" i="4"/>
  <c r="D51" i="4"/>
  <c r="D54" i="4"/>
  <c r="D60" i="4"/>
  <c r="C48" i="4"/>
  <c r="E48" i="4"/>
  <c r="D63" i="4"/>
  <c r="D48" i="4"/>
  <c r="D66" i="4"/>
  <c r="D57" i="4"/>
  <c r="D72" i="4"/>
  <c r="C33" i="4"/>
  <c r="E33" i="4"/>
  <c r="C36" i="4"/>
  <c r="E36" i="4"/>
  <c r="C39" i="4"/>
  <c r="E39" i="4"/>
  <c r="C24" i="4"/>
  <c r="E24" i="4"/>
  <c r="D21" i="4"/>
  <c r="E21" i="4"/>
  <c r="C30" i="4"/>
  <c r="E30" i="4"/>
  <c r="D12" i="4"/>
  <c r="E12" i="4"/>
  <c r="D18" i="4"/>
  <c r="C18" i="4"/>
  <c r="D15" i="4"/>
  <c r="C15" i="4"/>
  <c r="C21" i="4"/>
  <c r="D24" i="4"/>
  <c r="D36" i="4"/>
  <c r="D39" i="4"/>
  <c r="D30" i="4"/>
  <c r="D33" i="4"/>
  <c r="D115" i="4" l="1"/>
  <c r="D43" i="4"/>
  <c r="S87" i="4" l="1"/>
  <c r="T87" i="4"/>
  <c r="S88" i="4"/>
  <c r="T88" i="4"/>
  <c r="S89" i="4"/>
  <c r="T89" i="4"/>
  <c r="S90" i="4"/>
  <c r="T90" i="4"/>
  <c r="S91" i="4"/>
  <c r="T91" i="4"/>
  <c r="S92" i="4"/>
  <c r="T92" i="4"/>
  <c r="S93" i="4"/>
  <c r="T93" i="4"/>
  <c r="S94" i="4"/>
  <c r="T94" i="4"/>
  <c r="S95" i="4"/>
  <c r="T95" i="4"/>
  <c r="S96" i="4"/>
  <c r="T96" i="4"/>
  <c r="S97" i="4"/>
  <c r="T97" i="4"/>
  <c r="S98" i="4"/>
  <c r="T98" i="4"/>
  <c r="S99" i="4"/>
  <c r="T99" i="4"/>
  <c r="S100" i="4"/>
  <c r="T100" i="4"/>
  <c r="S101" i="4"/>
  <c r="T101" i="4"/>
  <c r="S102" i="4"/>
  <c r="T102" i="4"/>
  <c r="S103" i="4"/>
  <c r="T103" i="4"/>
  <c r="S104" i="4"/>
  <c r="T104" i="4"/>
  <c r="S105" i="4"/>
  <c r="T105" i="4"/>
  <c r="S106" i="4"/>
  <c r="T106" i="4"/>
  <c r="S107" i="4"/>
  <c r="T107" i="4"/>
  <c r="S108" i="4"/>
  <c r="T108" i="4"/>
  <c r="S109" i="4"/>
  <c r="T109" i="4"/>
  <c r="S110" i="4"/>
  <c r="T110" i="4"/>
  <c r="S111" i="4"/>
  <c r="T111" i="4"/>
  <c r="S112" i="4"/>
  <c r="T112" i="4"/>
  <c r="S113" i="4"/>
  <c r="T113" i="4"/>
  <c r="S51" i="4"/>
  <c r="T51" i="4"/>
  <c r="S52" i="4"/>
  <c r="T52" i="4"/>
  <c r="S53" i="4"/>
  <c r="T53" i="4"/>
  <c r="S54" i="4"/>
  <c r="T54" i="4"/>
  <c r="S55" i="4"/>
  <c r="T55" i="4"/>
  <c r="S56" i="4"/>
  <c r="T56" i="4"/>
  <c r="S57" i="4"/>
  <c r="T57" i="4"/>
  <c r="S58" i="4"/>
  <c r="T58" i="4"/>
  <c r="S59" i="4"/>
  <c r="T59" i="4"/>
  <c r="S60" i="4"/>
  <c r="T60" i="4"/>
  <c r="S61" i="4"/>
  <c r="T61" i="4"/>
  <c r="S62" i="4"/>
  <c r="T62" i="4"/>
  <c r="S63" i="4"/>
  <c r="T63" i="4"/>
  <c r="S64" i="4"/>
  <c r="T64" i="4"/>
  <c r="S65" i="4"/>
  <c r="T65" i="4"/>
  <c r="S66" i="4"/>
  <c r="T66" i="4"/>
  <c r="S67" i="4"/>
  <c r="T67" i="4"/>
  <c r="S68" i="4"/>
  <c r="T68" i="4"/>
  <c r="S69" i="4"/>
  <c r="T69" i="4"/>
  <c r="S70" i="4"/>
  <c r="T70" i="4"/>
  <c r="S71" i="4"/>
  <c r="T71" i="4"/>
  <c r="S72" i="4"/>
  <c r="T72" i="4"/>
  <c r="S73" i="4"/>
  <c r="T73" i="4"/>
  <c r="S74" i="4"/>
  <c r="T74" i="4"/>
  <c r="S75" i="4"/>
  <c r="T75" i="4"/>
  <c r="S76" i="4"/>
  <c r="T76" i="4"/>
  <c r="S77" i="4"/>
  <c r="T77" i="4"/>
  <c r="T48" i="4"/>
  <c r="S15" i="4"/>
  <c r="T15" i="4"/>
  <c r="S16" i="4"/>
  <c r="T16" i="4"/>
  <c r="S17" i="4"/>
  <c r="T17" i="4"/>
  <c r="S18" i="4"/>
  <c r="T18" i="4"/>
  <c r="S19" i="4"/>
  <c r="T19" i="4"/>
  <c r="S20" i="4"/>
  <c r="T20" i="4"/>
  <c r="S21" i="4"/>
  <c r="T21" i="4"/>
  <c r="S22" i="4"/>
  <c r="T22" i="4"/>
  <c r="S23" i="4"/>
  <c r="T23" i="4"/>
  <c r="S24" i="4"/>
  <c r="T24" i="4"/>
  <c r="S25" i="4"/>
  <c r="T25" i="4"/>
  <c r="S26" i="4"/>
  <c r="T26" i="4"/>
  <c r="S27" i="4"/>
  <c r="T27" i="4"/>
  <c r="S28" i="4"/>
  <c r="T28" i="4"/>
  <c r="S29" i="4"/>
  <c r="T29" i="4"/>
  <c r="S30" i="4"/>
  <c r="T30" i="4"/>
  <c r="S31" i="4"/>
  <c r="T31" i="4"/>
  <c r="S32" i="4"/>
  <c r="T32" i="4"/>
  <c r="S33" i="4"/>
  <c r="T33" i="4"/>
  <c r="S34" i="4"/>
  <c r="T34" i="4"/>
  <c r="S35" i="4"/>
  <c r="T35" i="4"/>
  <c r="S36" i="4"/>
  <c r="T36" i="4"/>
  <c r="S37" i="4"/>
  <c r="T37" i="4"/>
  <c r="S38" i="4"/>
  <c r="T38" i="4"/>
  <c r="S39" i="4"/>
  <c r="T39" i="4"/>
  <c r="S40" i="4"/>
  <c r="T40" i="4"/>
  <c r="S41" i="4"/>
  <c r="T41" i="4"/>
  <c r="T12" i="4"/>
  <c r="S50" i="4"/>
  <c r="T50" i="4"/>
  <c r="S49" i="4"/>
  <c r="T49" i="4"/>
  <c r="S12" i="4"/>
  <c r="U17" i="4" l="1"/>
  <c r="U32" i="4"/>
  <c r="U24" i="4"/>
  <c r="U40" i="4"/>
  <c r="U36" i="4"/>
  <c r="U28" i="4"/>
  <c r="U35" i="4"/>
  <c r="U27" i="4"/>
  <c r="U21" i="4"/>
  <c r="U34" i="4"/>
  <c r="U26" i="4"/>
  <c r="U15" i="4"/>
  <c r="U39" i="4"/>
  <c r="U31" i="4"/>
  <c r="U23" i="4"/>
  <c r="U29" i="4"/>
  <c r="U25" i="4"/>
  <c r="U37" i="4"/>
  <c r="U41" i="4"/>
  <c r="U33" i="4"/>
  <c r="U38" i="4"/>
  <c r="U30" i="4"/>
  <c r="U22" i="4"/>
  <c r="U19" i="4"/>
  <c r="U20" i="4"/>
  <c r="U18" i="4"/>
  <c r="U12" i="4"/>
  <c r="U16" i="4"/>
  <c r="U76" i="4"/>
  <c r="U68" i="4"/>
  <c r="U60" i="4"/>
  <c r="U52" i="4"/>
  <c r="U111" i="4"/>
  <c r="U103" i="4"/>
  <c r="U95" i="4"/>
  <c r="U87" i="4"/>
  <c r="U73" i="4"/>
  <c r="U65" i="4"/>
  <c r="U57" i="4"/>
  <c r="U64" i="4"/>
  <c r="U112" i="4"/>
  <c r="U63" i="4"/>
  <c r="U106" i="4"/>
  <c r="U98" i="4"/>
  <c r="U101" i="4"/>
  <c r="U113" i="4"/>
  <c r="U105" i="4"/>
  <c r="U97" i="4"/>
  <c r="U71" i="4"/>
  <c r="U72" i="4"/>
  <c r="U56" i="4"/>
  <c r="U104" i="4"/>
  <c r="U109" i="4"/>
  <c r="U93" i="4"/>
  <c r="U108" i="4"/>
  <c r="U100" i="4"/>
  <c r="U75" i="4"/>
  <c r="U67" i="4"/>
  <c r="U59" i="4"/>
  <c r="U96" i="4"/>
  <c r="U74" i="4"/>
  <c r="U66" i="4"/>
  <c r="U58" i="4"/>
  <c r="U90" i="4"/>
  <c r="U55" i="4"/>
  <c r="U92" i="4"/>
  <c r="U89" i="4"/>
  <c r="U88" i="4"/>
  <c r="U51" i="4"/>
  <c r="U77" i="4"/>
  <c r="U69" i="4"/>
  <c r="U61" i="4"/>
  <c r="U53" i="4"/>
  <c r="U110" i="4"/>
  <c r="U102" i="4"/>
  <c r="U94" i="4"/>
  <c r="U70" i="4"/>
  <c r="U62" i="4"/>
  <c r="U54" i="4"/>
  <c r="U107" i="4"/>
  <c r="U99" i="4"/>
  <c r="U91" i="4"/>
  <c r="S48" i="4"/>
  <c r="U49" i="4"/>
  <c r="T13" i="4"/>
  <c r="S13" i="4"/>
  <c r="U50" i="4"/>
  <c r="T14" i="4"/>
  <c r="S14" i="4"/>
  <c r="U14" i="4" l="1"/>
  <c r="U13" i="4"/>
  <c r="U48" i="4"/>
  <c r="F43" i="4"/>
  <c r="E43" i="4" s="1"/>
  <c r="D5" i="5" s="1"/>
  <c r="F115" i="4" l="1"/>
  <c r="E115" i="4" s="1"/>
  <c r="D75" i="5" s="1"/>
  <c r="B78" i="5" l="1"/>
  <c r="B81" i="5"/>
  <c r="B84" i="5"/>
  <c r="B87" i="5"/>
  <c r="B90" i="5"/>
  <c r="B93" i="5"/>
  <c r="B96" i="5"/>
  <c r="B99" i="5"/>
  <c r="B102" i="5"/>
  <c r="B75" i="5"/>
  <c r="C75" i="5"/>
  <c r="B43" i="5"/>
  <c r="B46" i="5"/>
  <c r="B49" i="5"/>
  <c r="B52" i="5"/>
  <c r="B55" i="5"/>
  <c r="B58" i="5"/>
  <c r="B61" i="5"/>
  <c r="B64" i="5"/>
  <c r="B67" i="5"/>
  <c r="B8" i="5"/>
  <c r="B11" i="5"/>
  <c r="B14" i="5"/>
  <c r="B17" i="5"/>
  <c r="B20" i="5"/>
  <c r="B23" i="5"/>
  <c r="B26" i="5"/>
  <c r="B29" i="5"/>
  <c r="B32" i="5"/>
  <c r="C99" i="5"/>
  <c r="C5" i="5"/>
  <c r="V90" i="4"/>
  <c r="V48" i="4"/>
  <c r="W48" i="4" l="1"/>
  <c r="X48" i="4"/>
  <c r="W90" i="4"/>
  <c r="X90" i="4"/>
  <c r="C78" i="5"/>
  <c r="C26" i="5"/>
  <c r="C96" i="5"/>
  <c r="C58" i="5"/>
  <c r="C93" i="5"/>
  <c r="C55" i="5"/>
  <c r="C90" i="5"/>
  <c r="C17" i="5"/>
  <c r="C87" i="5"/>
  <c r="C14" i="5"/>
  <c r="C84" i="5"/>
  <c r="C46" i="5"/>
  <c r="C102" i="5"/>
  <c r="C67" i="5"/>
  <c r="C52" i="5"/>
  <c r="C49" i="5"/>
  <c r="C11" i="5"/>
  <c r="C64" i="5"/>
  <c r="C29" i="5"/>
  <c r="V98" i="4"/>
  <c r="F89" i="5" s="1"/>
  <c r="V94" i="4"/>
  <c r="V106" i="4"/>
  <c r="F97" i="5" s="1"/>
  <c r="V102" i="4"/>
  <c r="V109" i="4"/>
  <c r="F100" i="5" s="1"/>
  <c r="V101" i="4"/>
  <c r="V93" i="4"/>
  <c r="C32" i="5"/>
  <c r="C43" i="5"/>
  <c r="C8" i="5"/>
  <c r="V96" i="4"/>
  <c r="V113" i="4"/>
  <c r="F104" i="5" s="1"/>
  <c r="V105" i="4"/>
  <c r="V97" i="4"/>
  <c r="V89" i="4"/>
  <c r="F80" i="5" s="1"/>
  <c r="V110" i="4"/>
  <c r="F101" i="5" s="1"/>
  <c r="V112" i="4"/>
  <c r="F103" i="5" s="1"/>
  <c r="C61" i="5"/>
  <c r="V111" i="4"/>
  <c r="F102" i="5" s="1"/>
  <c r="V103" i="4"/>
  <c r="V95" i="4"/>
  <c r="F86" i="5" s="1"/>
  <c r="V87" i="4"/>
  <c r="V104" i="4"/>
  <c r="F95" i="5" s="1"/>
  <c r="V88" i="4"/>
  <c r="V108" i="4"/>
  <c r="V100" i="4"/>
  <c r="V92" i="4"/>
  <c r="F83" i="5" s="1"/>
  <c r="C23" i="5"/>
  <c r="C20" i="5"/>
  <c r="V107" i="4"/>
  <c r="F98" i="5" s="1"/>
  <c r="V99" i="4"/>
  <c r="V91" i="4"/>
  <c r="G102" i="5" l="1"/>
  <c r="F76" i="5"/>
  <c r="Y48" i="4"/>
  <c r="F40" i="5" s="1"/>
  <c r="Y90" i="4"/>
  <c r="F81" i="5" s="1"/>
  <c r="F77" i="5"/>
  <c r="W107" i="4"/>
  <c r="X107" i="4"/>
  <c r="X95" i="4"/>
  <c r="W95" i="4"/>
  <c r="W105" i="4"/>
  <c r="X105" i="4"/>
  <c r="W101" i="4"/>
  <c r="X101" i="4"/>
  <c r="W110" i="4"/>
  <c r="X110" i="4"/>
  <c r="W97" i="4"/>
  <c r="X97" i="4"/>
  <c r="X103" i="4"/>
  <c r="W103" i="4"/>
  <c r="W113" i="4"/>
  <c r="X113" i="4"/>
  <c r="W109" i="4"/>
  <c r="X109" i="4"/>
  <c r="W98" i="4"/>
  <c r="X98" i="4"/>
  <c r="W93" i="4"/>
  <c r="X93" i="4"/>
  <c r="W102" i="4"/>
  <c r="X102" i="4"/>
  <c r="X99" i="4"/>
  <c r="W99" i="4"/>
  <c r="W96" i="4"/>
  <c r="X96" i="4"/>
  <c r="W100" i="4"/>
  <c r="X100" i="4"/>
  <c r="W106" i="4"/>
  <c r="X106" i="4"/>
  <c r="W104" i="4"/>
  <c r="X104" i="4"/>
  <c r="X111" i="4"/>
  <c r="W111" i="4"/>
  <c r="W108" i="4"/>
  <c r="X108" i="4"/>
  <c r="W112" i="4"/>
  <c r="X112" i="4"/>
  <c r="W94" i="4"/>
  <c r="X94" i="4"/>
  <c r="X91" i="4"/>
  <c r="W91" i="4"/>
  <c r="W92" i="4"/>
  <c r="X92" i="4"/>
  <c r="W87" i="4"/>
  <c r="X87" i="4"/>
  <c r="W89" i="4"/>
  <c r="X89" i="4"/>
  <c r="W88" i="4"/>
  <c r="X88" i="4"/>
  <c r="C81" i="5"/>
  <c r="Y87" i="4" l="1"/>
  <c r="F78" i="5" s="1"/>
  <c r="Y106" i="4"/>
  <c r="Y88" i="4"/>
  <c r="F79" i="5" s="1"/>
  <c r="Y96" i="4"/>
  <c r="F87" i="5" s="1"/>
  <c r="Y100" i="4"/>
  <c r="F91" i="5" s="1"/>
  <c r="Y93" i="4"/>
  <c r="F84" i="5" s="1"/>
  <c r="Y103" i="4"/>
  <c r="F94" i="5" s="1"/>
  <c r="Y91" i="4"/>
  <c r="F82" i="5" s="1"/>
  <c r="G81" i="5" s="1"/>
  <c r="Y111" i="4"/>
  <c r="Y89" i="4"/>
  <c r="Y104" i="4"/>
  <c r="Y107" i="4"/>
  <c r="Y92" i="4"/>
  <c r="Y108" i="4"/>
  <c r="F99" i="5" s="1"/>
  <c r="G99" i="5" s="1"/>
  <c r="Y102" i="4"/>
  <c r="F93" i="5" s="1"/>
  <c r="Y109" i="4"/>
  <c r="Y110" i="4"/>
  <c r="Y95" i="4"/>
  <c r="Y113" i="4"/>
  <c r="Y101" i="4"/>
  <c r="F92" i="5" s="1"/>
  <c r="Y94" i="4"/>
  <c r="F85" i="5" s="1"/>
  <c r="Y105" i="4"/>
  <c r="F96" i="5" s="1"/>
  <c r="G96" i="5" s="1"/>
  <c r="Y112" i="4"/>
  <c r="Y99" i="4"/>
  <c r="F90" i="5" s="1"/>
  <c r="Y98" i="4"/>
  <c r="Y97" i="4"/>
  <c r="F88" i="5" s="1"/>
  <c r="J4" i="6"/>
  <c r="H4" i="6"/>
  <c r="G93" i="5" l="1"/>
  <c r="G84" i="5"/>
  <c r="G90" i="5"/>
  <c r="G87" i="5"/>
  <c r="G78" i="5"/>
  <c r="V25" i="4"/>
  <c r="F18" i="5" s="1"/>
  <c r="V61" i="4"/>
  <c r="V16" i="4"/>
  <c r="V52" i="4"/>
  <c r="V34" i="4"/>
  <c r="F27" i="5" s="1"/>
  <c r="V70" i="4"/>
  <c r="F62" i="5" s="1"/>
  <c r="V41" i="4"/>
  <c r="F34" i="5" s="1"/>
  <c r="V77" i="4"/>
  <c r="F69" i="5" s="1"/>
  <c r="V40" i="4"/>
  <c r="F33" i="5" s="1"/>
  <c r="V76" i="4"/>
  <c r="F68" i="5" s="1"/>
  <c r="V31" i="4"/>
  <c r="V67" i="4"/>
  <c r="V30" i="4"/>
  <c r="V66" i="4"/>
  <c r="V18" i="4"/>
  <c r="F11" i="5" s="1"/>
  <c r="G11" i="5" s="1"/>
  <c r="V54" i="4"/>
  <c r="V33" i="4"/>
  <c r="V69" i="4"/>
  <c r="V24" i="4"/>
  <c r="F17" i="5" s="1"/>
  <c r="G17" i="5" s="1"/>
  <c r="V60" i="4"/>
  <c r="V38" i="4"/>
  <c r="F31" i="5" s="1"/>
  <c r="V74" i="4"/>
  <c r="F66" i="5" s="1"/>
  <c r="V22" i="4"/>
  <c r="V58" i="4"/>
  <c r="V37" i="4"/>
  <c r="F30" i="5" s="1"/>
  <c r="V73" i="4"/>
  <c r="F65" i="5" s="1"/>
  <c r="V20" i="4"/>
  <c r="F13" i="5" s="1"/>
  <c r="V56" i="4"/>
  <c r="F48" i="5" s="1"/>
  <c r="V26" i="4"/>
  <c r="F19" i="5" s="1"/>
  <c r="V62" i="4"/>
  <c r="F54" i="5" s="1"/>
  <c r="V17" i="4"/>
  <c r="F10" i="5" s="1"/>
  <c r="V53" i="4"/>
  <c r="F45" i="5" s="1"/>
  <c r="V32" i="4"/>
  <c r="F25" i="5" s="1"/>
  <c r="V68" i="4"/>
  <c r="F60" i="5" s="1"/>
  <c r="V39" i="4"/>
  <c r="F32" i="5" s="1"/>
  <c r="G32" i="5" s="1"/>
  <c r="V75" i="4"/>
  <c r="F67" i="5" s="1"/>
  <c r="V23" i="4"/>
  <c r="F16" i="5" s="1"/>
  <c r="V59" i="4"/>
  <c r="F51" i="5" s="1"/>
  <c r="V29" i="4"/>
  <c r="V65" i="4"/>
  <c r="V21" i="4"/>
  <c r="V57" i="4"/>
  <c r="V36" i="4"/>
  <c r="F29" i="5" s="1"/>
  <c r="G29" i="5" s="1"/>
  <c r="V72" i="4"/>
  <c r="F64" i="5" s="1"/>
  <c r="G64" i="5" s="1"/>
  <c r="V28" i="4"/>
  <c r="F21" i="5" s="1"/>
  <c r="V64" i="4"/>
  <c r="V35" i="4"/>
  <c r="F28" i="5" s="1"/>
  <c r="V71" i="4"/>
  <c r="F63" i="5" s="1"/>
  <c r="V27" i="4"/>
  <c r="V63" i="4"/>
  <c r="V19" i="4"/>
  <c r="V55" i="4"/>
  <c r="V12" i="4"/>
  <c r="V15" i="4"/>
  <c r="V51" i="4"/>
  <c r="V14" i="4"/>
  <c r="V50" i="4"/>
  <c r="V13" i="4"/>
  <c r="V49" i="4"/>
  <c r="AB20" i="2"/>
  <c r="AD20" i="2" s="1"/>
  <c r="AB21" i="2"/>
  <c r="AC21" i="2" s="1"/>
  <c r="G67" i="5" l="1"/>
  <c r="X15" i="4"/>
  <c r="W15" i="4"/>
  <c r="X12" i="4"/>
  <c r="W12" i="4"/>
  <c r="X16" i="4"/>
  <c r="W16" i="4"/>
  <c r="W13" i="4"/>
  <c r="X13" i="4"/>
  <c r="X14" i="4"/>
  <c r="W14" i="4"/>
  <c r="W49" i="4"/>
  <c r="X49" i="4"/>
  <c r="W50" i="4"/>
  <c r="X50" i="4"/>
  <c r="W73" i="4"/>
  <c r="X73" i="4"/>
  <c r="W71" i="4"/>
  <c r="X71" i="4"/>
  <c r="W65" i="4"/>
  <c r="X65" i="4"/>
  <c r="X58" i="4"/>
  <c r="W58" i="4"/>
  <c r="W77" i="4"/>
  <c r="X77" i="4"/>
  <c r="W63" i="4"/>
  <c r="X63" i="4"/>
  <c r="W76" i="4"/>
  <c r="X76" i="4"/>
  <c r="W57" i="4"/>
  <c r="X57" i="4"/>
  <c r="W62" i="4"/>
  <c r="X62" i="4"/>
  <c r="W74" i="4"/>
  <c r="X74" i="4"/>
  <c r="X66" i="4"/>
  <c r="W66" i="4"/>
  <c r="W68" i="4"/>
  <c r="X68" i="4"/>
  <c r="W64" i="4"/>
  <c r="X64" i="4"/>
  <c r="X70" i="4"/>
  <c r="W70" i="4"/>
  <c r="W69" i="4"/>
  <c r="X69" i="4"/>
  <c r="W61" i="4"/>
  <c r="X61" i="4"/>
  <c r="W59" i="4"/>
  <c r="X59" i="4"/>
  <c r="W72" i="4"/>
  <c r="X72" i="4"/>
  <c r="X75" i="4"/>
  <c r="W75" i="4"/>
  <c r="W60" i="4"/>
  <c r="X60" i="4"/>
  <c r="W67" i="4"/>
  <c r="X67" i="4"/>
  <c r="X55" i="4"/>
  <c r="W55" i="4"/>
  <c r="W56" i="4"/>
  <c r="X56" i="4"/>
  <c r="W54" i="4"/>
  <c r="X54" i="4"/>
  <c r="W18" i="4"/>
  <c r="X18" i="4"/>
  <c r="W52" i="4"/>
  <c r="X52" i="4"/>
  <c r="W53" i="4"/>
  <c r="X53" i="4"/>
  <c r="W51" i="4"/>
  <c r="X51" i="4"/>
  <c r="X31" i="4"/>
  <c r="W31" i="4"/>
  <c r="W36" i="4"/>
  <c r="X36" i="4"/>
  <c r="W37" i="4"/>
  <c r="X37" i="4"/>
  <c r="W40" i="4"/>
  <c r="X40" i="4"/>
  <c r="X19" i="4"/>
  <c r="W19" i="4"/>
  <c r="X27" i="4"/>
  <c r="W27" i="4"/>
  <c r="W25" i="4"/>
  <c r="X25" i="4"/>
  <c r="W20" i="4"/>
  <c r="X20" i="4"/>
  <c r="W39" i="4"/>
  <c r="X39" i="4"/>
  <c r="W32" i="4"/>
  <c r="X32" i="4"/>
  <c r="W29" i="4"/>
  <c r="X29" i="4"/>
  <c r="W41" i="4"/>
  <c r="X41" i="4"/>
  <c r="W21" i="4"/>
  <c r="X21" i="4"/>
  <c r="W17" i="4"/>
  <c r="X17" i="4"/>
  <c r="W23" i="4"/>
  <c r="X23" i="4"/>
  <c r="W26" i="4"/>
  <c r="X26" i="4"/>
  <c r="W38" i="4"/>
  <c r="X38" i="4"/>
  <c r="X30" i="4"/>
  <c r="W30" i="4"/>
  <c r="W24" i="4"/>
  <c r="X24" i="4"/>
  <c r="W33" i="4"/>
  <c r="X33" i="4"/>
  <c r="X35" i="4"/>
  <c r="W35" i="4"/>
  <c r="X22" i="4"/>
  <c r="W22" i="4"/>
  <c r="W28" i="4"/>
  <c r="X28" i="4"/>
  <c r="X34" i="4"/>
  <c r="W34" i="4"/>
  <c r="AC20" i="2"/>
  <c r="AN12" i="2"/>
  <c r="Y57" i="4" l="1"/>
  <c r="F49" i="5" s="1"/>
  <c r="Y14" i="4"/>
  <c r="F7" i="5" s="1"/>
  <c r="Y15" i="4"/>
  <c r="F8" i="5" s="1"/>
  <c r="Y16" i="4"/>
  <c r="F9" i="5" s="1"/>
  <c r="Y29" i="4"/>
  <c r="F22" i="5" s="1"/>
  <c r="Y32" i="4"/>
  <c r="Y17" i="4"/>
  <c r="Y52" i="4"/>
  <c r="F44" i="5" s="1"/>
  <c r="Y71" i="4"/>
  <c r="Y51" i="4"/>
  <c r="F43" i="5" s="1"/>
  <c r="Y38" i="4"/>
  <c r="Y21" i="4"/>
  <c r="F14" i="5" s="1"/>
  <c r="Y36" i="4"/>
  <c r="Y56" i="4"/>
  <c r="Y26" i="4"/>
  <c r="Y24" i="4"/>
  <c r="Y23" i="4"/>
  <c r="Y64" i="4"/>
  <c r="F56" i="5" s="1"/>
  <c r="Y58" i="4"/>
  <c r="F50" i="5" s="1"/>
  <c r="Y76" i="4"/>
  <c r="Y35" i="4"/>
  <c r="Y39" i="4"/>
  <c r="Y75" i="4"/>
  <c r="Y66" i="4"/>
  <c r="F58" i="5" s="1"/>
  <c r="Y30" i="4"/>
  <c r="F23" i="5" s="1"/>
  <c r="Y22" i="4"/>
  <c r="F15" i="5" s="1"/>
  <c r="Y34" i="4"/>
  <c r="Y19" i="4"/>
  <c r="F12" i="5" s="1"/>
  <c r="Y50" i="4"/>
  <c r="F42" i="5" s="1"/>
  <c r="Y33" i="4"/>
  <c r="F26" i="5" s="1"/>
  <c r="G26" i="5" s="1"/>
  <c r="Y25" i="4"/>
  <c r="Y40" i="4"/>
  <c r="Y61" i="4"/>
  <c r="F53" i="5" s="1"/>
  <c r="Y70" i="4"/>
  <c r="Y74" i="4"/>
  <c r="Y28" i="4"/>
  <c r="Y37" i="4"/>
  <c r="Y31" i="4"/>
  <c r="F24" i="5" s="1"/>
  <c r="Y55" i="4"/>
  <c r="F47" i="5" s="1"/>
  <c r="Y69" i="4"/>
  <c r="F61" i="5" s="1"/>
  <c r="G61" i="5" s="1"/>
  <c r="Y62" i="4"/>
  <c r="Y65" i="4"/>
  <c r="F57" i="5" s="1"/>
  <c r="Y18" i="4"/>
  <c r="Y67" i="4"/>
  <c r="F59" i="5" s="1"/>
  <c r="Y72" i="4"/>
  <c r="Y68" i="4"/>
  <c r="Y63" i="4"/>
  <c r="F55" i="5" s="1"/>
  <c r="Y41" i="4"/>
  <c r="Y27" i="4"/>
  <c r="F20" i="5" s="1"/>
  <c r="Y53" i="4"/>
  <c r="Y54" i="4"/>
  <c r="F46" i="5" s="1"/>
  <c r="Y60" i="4"/>
  <c r="F52" i="5" s="1"/>
  <c r="Y49" i="4"/>
  <c r="F41" i="5" s="1"/>
  <c r="Y20" i="4"/>
  <c r="Y59" i="4"/>
  <c r="Y77" i="4"/>
  <c r="Y73" i="4"/>
  <c r="Y13" i="4"/>
  <c r="F6" i="5" s="1"/>
  <c r="F75" i="5"/>
  <c r="Y12" i="4"/>
  <c r="F5" i="5" s="1"/>
  <c r="AB23" i="2"/>
  <c r="AC23" i="2" s="1"/>
  <c r="AB24" i="2"/>
  <c r="AD24" i="2" s="1"/>
  <c r="AB25" i="2"/>
  <c r="AD25" i="2" s="1"/>
  <c r="AB26" i="2"/>
  <c r="AC26" i="2" s="1"/>
  <c r="AB27" i="2"/>
  <c r="AC27" i="2" s="1"/>
  <c r="AB28" i="2"/>
  <c r="AC28" i="2" s="1"/>
  <c r="AB29" i="2"/>
  <c r="AC29" i="2" s="1"/>
  <c r="AB30" i="2"/>
  <c r="AD30" i="2" s="1"/>
  <c r="AB31" i="2"/>
  <c r="AC31" i="2" s="1"/>
  <c r="AB32" i="2"/>
  <c r="AD32" i="2" s="1"/>
  <c r="AB33" i="2"/>
  <c r="AD33" i="2" s="1"/>
  <c r="AB34" i="2"/>
  <c r="AC34" i="2" s="1"/>
  <c r="AB35" i="2"/>
  <c r="AC35" i="2" s="1"/>
  <c r="AB36" i="2"/>
  <c r="AC36" i="2" s="1"/>
  <c r="AB37" i="2"/>
  <c r="AC37" i="2" s="1"/>
  <c r="AB38" i="2"/>
  <c r="AD38" i="2" s="1"/>
  <c r="AB39" i="2"/>
  <c r="AC39" i="2" s="1"/>
  <c r="AB40" i="2"/>
  <c r="AD40" i="2" s="1"/>
  <c r="AB41" i="2"/>
  <c r="AD41" i="2" s="1"/>
  <c r="AB42" i="2"/>
  <c r="AC42" i="2" s="1"/>
  <c r="AB43" i="2"/>
  <c r="AC43" i="2" s="1"/>
  <c r="AB80" i="2"/>
  <c r="AC80" i="2" s="1"/>
  <c r="AB81" i="2"/>
  <c r="AC81" i="2" s="1"/>
  <c r="AB82" i="2"/>
  <c r="AD82" i="2" s="1"/>
  <c r="AB22" i="2"/>
  <c r="AC22" i="2" s="1"/>
  <c r="G58" i="5" l="1"/>
  <c r="G14" i="5"/>
  <c r="G23" i="5"/>
  <c r="G55" i="5"/>
  <c r="G20" i="5"/>
  <c r="G52" i="5"/>
  <c r="G49" i="5"/>
  <c r="G46" i="5"/>
  <c r="G8" i="5"/>
  <c r="G43" i="5"/>
  <c r="G40" i="5"/>
  <c r="G5" i="5"/>
  <c r="G75" i="5"/>
  <c r="E4" i="6" s="1"/>
  <c r="AD34" i="2"/>
  <c r="AD26" i="2"/>
  <c r="AC30" i="2"/>
  <c r="AD22" i="2"/>
  <c r="AD42" i="2"/>
  <c r="AC38" i="2"/>
  <c r="AC33" i="2"/>
  <c r="AC25" i="2"/>
  <c r="AD29" i="2"/>
  <c r="AC41" i="2"/>
  <c r="AD37" i="2"/>
  <c r="AC24" i="2"/>
  <c r="AC32" i="2"/>
  <c r="AC40" i="2"/>
  <c r="AC82" i="2"/>
  <c r="AD81" i="2"/>
  <c r="AD43" i="2"/>
  <c r="AD35" i="2"/>
  <c r="AD27" i="2"/>
  <c r="AD39" i="2"/>
  <c r="AF38" i="2" s="1"/>
  <c r="AH38" i="2" s="1"/>
  <c r="AK38" i="2" s="1"/>
  <c r="AL38" i="2" s="1"/>
  <c r="AD31" i="2"/>
  <c r="AD23" i="2"/>
  <c r="AD80" i="2"/>
  <c r="AD36" i="2"/>
  <c r="AD28" i="2"/>
  <c r="AE38" i="2" l="1"/>
  <c r="AG38" i="2" s="1"/>
  <c r="D4" i="6"/>
  <c r="C4" i="6"/>
  <c r="F4" i="6" l="1"/>
  <c r="AE23" i="2"/>
  <c r="AG23" i="2" s="1"/>
  <c r="AF23" i="2" l="1"/>
  <c r="AH23" i="2" s="1"/>
  <c r="AK23" i="2" s="1"/>
  <c r="AE20" i="2" l="1"/>
  <c r="AD21" i="2"/>
  <c r="K23" i="3"/>
  <c r="K24" i="3"/>
  <c r="K25" i="3"/>
  <c r="K22" i="3"/>
  <c r="L22" i="3" s="1"/>
  <c r="AF20" i="2" l="1"/>
  <c r="L23" i="3"/>
  <c r="L24" i="3" s="1"/>
  <c r="L25" i="3" s="1"/>
  <c r="AE29" i="2" l="1"/>
  <c r="AG29" i="2" s="1"/>
  <c r="AJ29" i="2" s="1"/>
  <c r="AE35" i="2"/>
  <c r="AG35" i="2" s="1"/>
  <c r="AJ35" i="2" s="1"/>
  <c r="AE41" i="2"/>
  <c r="AG41" i="2" s="1"/>
  <c r="AJ41" i="2" s="1"/>
  <c r="AF29" i="2"/>
  <c r="AH29" i="2" s="1"/>
  <c r="AK29" i="2" s="1"/>
  <c r="AE26" i="2"/>
  <c r="AG26" i="2" s="1"/>
  <c r="AF35" i="2"/>
  <c r="AH35" i="2" s="1"/>
  <c r="AK35" i="2" s="1"/>
  <c r="AE32" i="2"/>
  <c r="AG32" i="2" s="1"/>
  <c r="AJ32" i="2" s="1"/>
  <c r="AF26" i="2"/>
  <c r="AH26" i="2" s="1"/>
  <c r="AE80" i="2"/>
  <c r="AG80" i="2" s="1"/>
  <c r="AJ80" i="2" s="1"/>
  <c r="AF32" i="2"/>
  <c r="AH32" i="2" s="1"/>
  <c r="AK32" i="2" s="1"/>
  <c r="AF41" i="2"/>
  <c r="AH41" i="2" s="1"/>
  <c r="AK41" i="2" s="1"/>
  <c r="AF80" i="2"/>
  <c r="AH80" i="2" s="1"/>
  <c r="AK80" i="2" s="1"/>
  <c r="AK26" i="2" l="1"/>
  <c r="AJ26" i="2"/>
  <c r="B47" i="4"/>
  <c r="B83" i="4" s="1"/>
  <c r="B5" i="5" l="1"/>
  <c r="G22" i="3"/>
  <c r="G18" i="3"/>
  <c r="G14" i="3"/>
  <c r="G10" i="3"/>
  <c r="G6" i="3"/>
  <c r="G2" i="3"/>
  <c r="G25" i="3"/>
  <c r="G24" i="3"/>
  <c r="G23" i="3"/>
  <c r="G21" i="3"/>
  <c r="G20" i="3"/>
  <c r="G19" i="3"/>
  <c r="G17" i="3"/>
  <c r="G16" i="3"/>
  <c r="G15" i="3"/>
  <c r="G13" i="3"/>
  <c r="G12" i="3"/>
  <c r="G11" i="3"/>
  <c r="G9" i="3"/>
  <c r="G8" i="3"/>
  <c r="G7" i="3"/>
  <c r="G5" i="3"/>
  <c r="G4" i="3"/>
  <c r="G3" i="3"/>
  <c r="G1" i="3"/>
  <c r="C25" i="3"/>
  <c r="C24" i="3"/>
  <c r="C23" i="3"/>
  <c r="C22" i="3"/>
  <c r="C21" i="3"/>
  <c r="C20" i="3"/>
  <c r="C19" i="3"/>
  <c r="C18" i="3"/>
  <c r="C17" i="3"/>
  <c r="C16" i="3"/>
  <c r="C15" i="3"/>
  <c r="C14" i="3"/>
  <c r="C13" i="3"/>
  <c r="C12" i="3"/>
  <c r="C11" i="3"/>
  <c r="C10" i="3"/>
  <c r="C9" i="3"/>
  <c r="C8" i="3"/>
  <c r="C7" i="3"/>
  <c r="C6" i="3"/>
  <c r="C5" i="3"/>
  <c r="C4" i="3"/>
  <c r="C3" i="3"/>
  <c r="C2" i="3"/>
  <c r="C1" i="3"/>
  <c r="J80" i="2" l="1"/>
  <c r="J26" i="2"/>
  <c r="J38" i="2"/>
  <c r="J29" i="2"/>
  <c r="J32" i="2"/>
  <c r="J41" i="2"/>
  <c r="J35" i="2"/>
  <c r="D79" i="4"/>
  <c r="C40" i="5"/>
  <c r="B40" i="5"/>
  <c r="AL41" i="2"/>
  <c r="AL29" i="2"/>
  <c r="AL35" i="2"/>
  <c r="AL80" i="2"/>
  <c r="AL32" i="2"/>
  <c r="AL26" i="2"/>
  <c r="AG20" i="2"/>
  <c r="AJ20" i="2" s="1"/>
  <c r="AH20" i="2"/>
  <c r="AK20" i="2" s="1"/>
  <c r="E79" i="4" l="1"/>
  <c r="D40" i="5" s="1"/>
  <c r="I4" i="6" s="1"/>
  <c r="K4" i="6" s="1"/>
</calcChain>
</file>

<file path=xl/sharedStrings.xml><?xml version="1.0" encoding="utf-8"?>
<sst xmlns="http://schemas.openxmlformats.org/spreadsheetml/2006/main" count="3229" uniqueCount="1098">
  <si>
    <t>NIVEL DEL RIESGO</t>
  </si>
  <si>
    <t>Aprobó</t>
  </si>
  <si>
    <t>DESCRIPCIÓN</t>
  </si>
  <si>
    <t>RIESGO</t>
  </si>
  <si>
    <t xml:space="preserve">TIPO </t>
  </si>
  <si>
    <t>CAUSAS</t>
  </si>
  <si>
    <t>CONSECUENCIAS</t>
  </si>
  <si>
    <t>PROBABILIDAD</t>
  </si>
  <si>
    <t xml:space="preserve">IMPACTO </t>
  </si>
  <si>
    <t>CONTROLES</t>
  </si>
  <si>
    <t>IMPACTO</t>
  </si>
  <si>
    <t xml:space="preserve">RIESGO RESIDUAL </t>
  </si>
  <si>
    <t>IDENTIFICACIÓN DEL RIESGO</t>
  </si>
  <si>
    <t>Rara vez</t>
  </si>
  <si>
    <t>Improbable</t>
  </si>
  <si>
    <t>Posible</t>
  </si>
  <si>
    <t>Casi seguro</t>
  </si>
  <si>
    <t>Insignificante</t>
  </si>
  <si>
    <t>Menor</t>
  </si>
  <si>
    <t>Moderado</t>
  </si>
  <si>
    <t xml:space="preserve">Mayor </t>
  </si>
  <si>
    <t>Catastrofico</t>
  </si>
  <si>
    <t>Probabilidad</t>
  </si>
  <si>
    <t>Impacto</t>
  </si>
  <si>
    <t>Bajo</t>
  </si>
  <si>
    <t>Extremo</t>
  </si>
  <si>
    <t>Verde</t>
  </si>
  <si>
    <t>Amarillo</t>
  </si>
  <si>
    <t>Alto</t>
  </si>
  <si>
    <t>Naranja</t>
  </si>
  <si>
    <t>Rojo</t>
  </si>
  <si>
    <t>Probable</t>
  </si>
  <si>
    <t>Financieros</t>
  </si>
  <si>
    <t>Cumplimiento</t>
  </si>
  <si>
    <t>Imagen o Reputacional</t>
  </si>
  <si>
    <t>Corrupción</t>
  </si>
  <si>
    <t>Estratégicos</t>
  </si>
  <si>
    <t>Tecnológicos</t>
  </si>
  <si>
    <t>¿Esta definido el responsable?</t>
  </si>
  <si>
    <t>¿Cuenta con una periodicidad definida?</t>
  </si>
  <si>
    <t>¿Cuenta con evidencias de la aplicación del control?</t>
  </si>
  <si>
    <t>Si</t>
  </si>
  <si>
    <t>No</t>
  </si>
  <si>
    <t>¿El control contribuye a disminuir la Probabilidad, el Impacto?</t>
  </si>
  <si>
    <t xml:space="preserve">Riesgo </t>
  </si>
  <si>
    <t>Tipo de riesgo</t>
  </si>
  <si>
    <t>¿El control fue eficaz?</t>
  </si>
  <si>
    <t>Responsable</t>
  </si>
  <si>
    <t xml:space="preserve">Plazo de ejecución </t>
  </si>
  <si>
    <t>¿SE MATERIALIZO EL RIESGO?</t>
  </si>
  <si>
    <t>Casi Seguro</t>
  </si>
  <si>
    <t>Rara Vez</t>
  </si>
  <si>
    <t>MATRIZ DE MONITOREO DE RIESGOS 1 CORTE (ENERO - ABRIL)</t>
  </si>
  <si>
    <t>Probalidad</t>
  </si>
  <si>
    <t>Solo Aplica a Probabilidad</t>
  </si>
  <si>
    <t>Solo Aplica a Impacto</t>
  </si>
  <si>
    <t>todas si</t>
  </si>
  <si>
    <t>CUADRANTES A DISMINUIR
Probabilidad</t>
  </si>
  <si>
    <t>CUADRANTES A DISMINUIR
Impacto</t>
  </si>
  <si>
    <t>Registros</t>
  </si>
  <si>
    <t>PLAN DE MANEJO Y/O MITIGACIÓN DEL RIESGO 
(Diligencie en caso de haberse materializado el riesgo)</t>
  </si>
  <si>
    <t>PUNTAJE DEL CONTROL</t>
  </si>
  <si>
    <t>N° DE CONTROLES A REALIZAR</t>
  </si>
  <si>
    <t>MATRIZ DE MONITOREO DE RIESGOS 2 CORTE (MAYO - AGOSTO)</t>
  </si>
  <si>
    <t>1 Corte 
(Enero - Abril)</t>
  </si>
  <si>
    <t>2 Corte 
(Mayo - Agosto)</t>
  </si>
  <si>
    <t>3 Corte 
(Septiembre - Diciembre)</t>
  </si>
  <si>
    <t>Seguridad del paciente</t>
  </si>
  <si>
    <t>OFICINA: ASESORA DE PLANEACION</t>
  </si>
  <si>
    <t>PROCESO: PLANEACION</t>
  </si>
  <si>
    <t>HOSPITAL MILITAR CENTRAL</t>
  </si>
  <si>
    <t>Revisó</t>
  </si>
  <si>
    <t>Permanente</t>
  </si>
  <si>
    <t>Mensual</t>
  </si>
  <si>
    <t>FORMATO: MAPA DE RIESGOS POR PROCESO</t>
  </si>
  <si>
    <t>CÓDIGO: PL-OAPL-PR-05-FT-02</t>
  </si>
  <si>
    <t>SISTEMA DE GESTION INTEGRADO SGI</t>
  </si>
  <si>
    <t>Página 1 de 1</t>
  </si>
  <si>
    <t>FORMATO: SEGUIMIENTOS Y MONITOREO MAPA DE RIESGOS</t>
  </si>
  <si>
    <t>Operativo</t>
  </si>
  <si>
    <t>Si se materializo el riesgo describa brevemente el hecho y especifique el área y/o servicio en donde tuvo lugar</t>
  </si>
  <si>
    <t>OPCIÓN DE MANEJO</t>
  </si>
  <si>
    <t>VALORACION Y MITIGACIÓN DEL RIESGO</t>
  </si>
  <si>
    <t xml:space="preserve">Describa numericamente cuantos hechos se presentaron </t>
  </si>
  <si>
    <t>Evitar</t>
  </si>
  <si>
    <t>Reducir</t>
  </si>
  <si>
    <t xml:space="preserve">Compartir </t>
  </si>
  <si>
    <t>Asumir</t>
  </si>
  <si>
    <t>RIESGO INHERENTE</t>
  </si>
  <si>
    <t>INDICADOR</t>
  </si>
  <si>
    <t>Semanal</t>
  </si>
  <si>
    <t>Trimestral</t>
  </si>
  <si>
    <t>¿Tenia que aplicar controles para este  periodo?</t>
  </si>
  <si>
    <t xml:space="preserve">Periodicidad del control </t>
  </si>
  <si>
    <t>Mas de 10</t>
  </si>
  <si>
    <t>¿Cuantas acciones de control realizo?</t>
  </si>
  <si>
    <t>¿Cuantas acciones de control tenia planificadas para el periodo?</t>
  </si>
  <si>
    <t>Acciones desarrolladas para mitigar el riesgo</t>
  </si>
  <si>
    <t xml:space="preserve">Fecha de aplicación </t>
  </si>
  <si>
    <t xml:space="preserve"> ACTIVIDAD DE CONTROL 
(Especifique el proposito y la forma como se realiza)</t>
  </si>
  <si>
    <t xml:space="preserve">Fecha de monitoreo </t>
  </si>
  <si>
    <t>Enero-Abril</t>
  </si>
  <si>
    <t>Mayo-Agosto</t>
  </si>
  <si>
    <t>Nombre del Control</t>
  </si>
  <si>
    <t>Controles</t>
  </si>
  <si>
    <t>Nombre el control</t>
  </si>
  <si>
    <t>ENERO - ABRIL</t>
  </si>
  <si>
    <t>MATRIZ DE MONITOREO DE RIESGOS 3 CORTE (SEPTIEMBRE - DICIEMBRE)</t>
  </si>
  <si>
    <t>Septiembre-Diciembre</t>
  </si>
  <si>
    <t>Riesgo</t>
  </si>
  <si>
    <t>Nivel de Efectividad</t>
  </si>
  <si>
    <t>MAYO - AGOSTO</t>
  </si>
  <si>
    <t>SEPTIEMBRE - DICIEMBRE</t>
  </si>
  <si>
    <t>TOTAL</t>
  </si>
  <si>
    <t>MAPA DE RIESGOS DEL PROCESO 1</t>
  </si>
  <si>
    <t>Nivel de Aplicación de los Controles del Riesgo</t>
  </si>
  <si>
    <t>Nivel de Aplicación Discriminado por Controles</t>
  </si>
  <si>
    <t>Enero- Abril</t>
  </si>
  <si>
    <t>Mayo- Julio</t>
  </si>
  <si>
    <t>Sep- Dic</t>
  </si>
  <si>
    <t xml:space="preserve">MAYO - AGOSTO </t>
  </si>
  <si>
    <t>MAYO AGOSTO</t>
  </si>
  <si>
    <t>ANUAL</t>
  </si>
  <si>
    <t>Enero</t>
  </si>
  <si>
    <t>Febrero</t>
  </si>
  <si>
    <t>Marzo</t>
  </si>
  <si>
    <t>Abril</t>
  </si>
  <si>
    <t>Mayo</t>
  </si>
  <si>
    <t>Junio</t>
  </si>
  <si>
    <t>Julio</t>
  </si>
  <si>
    <t>Agosto</t>
  </si>
  <si>
    <t>Septiembre</t>
  </si>
  <si>
    <t>Octubre</t>
  </si>
  <si>
    <t>Noviembre</t>
  </si>
  <si>
    <t>Diciembre</t>
  </si>
  <si>
    <t>FECHA DEL REPORTE DEL MONITOREO</t>
  </si>
  <si>
    <t>Nivel de Aplicación Discriminado por Control</t>
  </si>
  <si>
    <t>Nivel de Aplicación de los Control del Riesgo</t>
  </si>
  <si>
    <t>PERIODICIDAD</t>
  </si>
  <si>
    <t>Bimestral</t>
  </si>
  <si>
    <t>Cuatrimestral</t>
  </si>
  <si>
    <t>¿Cuál es el control automático?</t>
  </si>
  <si>
    <t>¿Cuál es la periodicidad?</t>
  </si>
  <si>
    <t>¿Cuál o cuales son las evidencias?</t>
  </si>
  <si>
    <t>¿El control es automático?</t>
  </si>
  <si>
    <t>¿Quién es el responsable?</t>
  </si>
  <si>
    <t>Fecha de aplicación del control de acuerdo a los periodos de reporte y monitoreo de riesgos</t>
  </si>
  <si>
    <t xml:space="preserve"> En caso de encontrar información
faltante para la aplicación del control, ¿Qué acción debe de realizarse?</t>
  </si>
  <si>
    <t>Causa-Raiz</t>
  </si>
  <si>
    <t xml:space="preserve">Describa el Análisis </t>
  </si>
  <si>
    <t>Realizo Análisis Causa -Raiz</t>
  </si>
  <si>
    <t>Semestral</t>
  </si>
  <si>
    <t>Anual</t>
  </si>
  <si>
    <t>FECHA DE EMISIÓN: 13-02-2019</t>
  </si>
  <si>
    <t>VERSIÓN: 04</t>
  </si>
  <si>
    <t>VERSIÓN: 02</t>
  </si>
  <si>
    <t>CÓDIGO: PL-OAPL-PR-05-FT-01</t>
  </si>
  <si>
    <t>Cierre de áreas debido a infecciones asociada a la atencion en salud hospitalaria</t>
  </si>
  <si>
    <t xml:space="preserve">Brotes en áreas o servicios asociados a la atención hospitalaria </t>
  </si>
  <si>
    <t>Fallas de adherencia a la guías protocolos y procedimientos</t>
  </si>
  <si>
    <t>Listas de verificación guías protocolos y procedimientos</t>
  </si>
  <si>
    <t>Parada de seguridad</t>
  </si>
  <si>
    <t>Alta Rotación del personal en entrenamiento universartario en salas de cirugia</t>
  </si>
  <si>
    <t>Verificar el cumplimiento de los lineamientos institucionales asociados a la atención hospitalaria</t>
  </si>
  <si>
    <t>Realizar la verificación de los estandares necesarios para relizar los procedimientos quirurgicos</t>
  </si>
  <si>
    <t xml:space="preserve">Socializar y evaluar los lineamientos </t>
  </si>
  <si>
    <t xml:space="preserve">Reportes de cumplimiento de condiciones de seguridad </t>
  </si>
  <si>
    <t>N/A</t>
  </si>
  <si>
    <t>Lider del grupo de Calidad</t>
  </si>
  <si>
    <t>Lider de la oficina de programación de cirugia</t>
  </si>
  <si>
    <t>Evaluaciones y sociales de adherencia</t>
  </si>
  <si>
    <t>registros de la parada de seguridad</t>
  </si>
  <si>
    <t>Fallas en la inducción y reinducción del personal en el sitio de trabajo</t>
  </si>
  <si>
    <t>Ocurrencia errores asociados a la atención en salud</t>
  </si>
  <si>
    <t>Lesión o daño en el paciente durante la prestación del servicio</t>
  </si>
  <si>
    <t>Aparición repentina de una enfermedad debida a una infección en un lugar específico</t>
  </si>
  <si>
    <t>EFICACIA: Índice de cumplimiento actividades= (# de actividades cumplidas / # de actividades programadas) x 100</t>
  </si>
  <si>
    <t>alto</t>
  </si>
  <si>
    <t xml:space="preserve">Fallecimientos de pacientes por Eventos adversos </t>
  </si>
  <si>
    <t xml:space="preserve"> Clasificación equivocada en la atención médica inmediata (triage)</t>
  </si>
  <si>
    <t>Valoración de los pacientes que no se encuentra de acuerdo a lo lineamientos para la atención médica</t>
  </si>
  <si>
    <t xml:space="preserve">Falta de adherencia a las guías </t>
  </si>
  <si>
    <t xml:space="preserve">La no oportunidad en la prestación del servicio </t>
  </si>
  <si>
    <t xml:space="preserve">Fallas en la clasificación debido a la alta rotación de pacientes que solicitan la atención médica </t>
  </si>
  <si>
    <t xml:space="preserve">Salida de pacientes sin autorización medica </t>
  </si>
  <si>
    <t>Salida de pacientes sin la definición de conducta y orden medica con recomendaciones para continuar su manejo ambulatorio</t>
  </si>
  <si>
    <t xml:space="preserve">Ausencia de identificación de los pacientes </t>
  </si>
  <si>
    <t>Falta de cierre del ciclo de atención de los pacientes en el servicio de urgencias (asistencial y administrativa)</t>
  </si>
  <si>
    <t>Múltiples vías de ingreso y salidas no controladas</t>
  </si>
  <si>
    <t xml:space="preserve">Asignación de citas con servicios que no correspondan a la orden medica y a la autorización </t>
  </si>
  <si>
    <t xml:space="preserve">Remite a los pacientes a servicios que no corresponden a las ordenes médicas </t>
  </si>
  <si>
    <t>Incumplimiento al procedimiento de asignación de citas medicas</t>
  </si>
  <si>
    <t>Insatisfacción del usuario 
Reprocesos administrativos</t>
  </si>
  <si>
    <t>Fallas en la digitación y en la asignación del servicio</t>
  </si>
  <si>
    <t>Infecciones asociadas al cuidado de la salud en procedimientos ambulatorios</t>
  </si>
  <si>
    <t>Presencia de infecciones posterior a la intervenciones ambulatorias</t>
  </si>
  <si>
    <t>Dispositivos contaminados o averiados</t>
  </si>
  <si>
    <t>Aumento del número de pacientes que tengan infección asociada a la atención sanitaria</t>
  </si>
  <si>
    <t>Fallas de mantenimiento e infraestructura</t>
  </si>
  <si>
    <t>Manejo de influencias en la asignación de citas médicas.</t>
  </si>
  <si>
    <t xml:space="preserve">Otorgar citas y procedimientos ambulatorios que no cumplan con los requisitos establecidos en los procedimientos de asignación de citas </t>
  </si>
  <si>
    <t xml:space="preserve">Falla  en adherencia a los protocolos institucionales por parte de los funcionarios de asignación de citas </t>
  </si>
  <si>
    <t>Sanciones 
Perdida de la imagen institucional</t>
  </si>
  <si>
    <t>Evaluación de adherencia</t>
  </si>
  <si>
    <t>Verificar el conocimiento y aplicación de las directrices de la guía de manejo de triage</t>
  </si>
  <si>
    <t xml:space="preserve">Verificación de los casos que han sido mal clasificados y acta de compromiso  </t>
  </si>
  <si>
    <t xml:space="preserve">Rotación de personal por todas las áreas asistenciales de urgencias </t>
  </si>
  <si>
    <t>Evitar la rutina en la prestación del servicio facilitando así la sincronía en el ciclo de atención del servicio de urgencias</t>
  </si>
  <si>
    <t>Pausas activas y descansos periódicos en el desempeño del turno</t>
  </si>
  <si>
    <t xml:space="preserve">Asignación de elementos y/o  prendas de identificación </t>
  </si>
  <si>
    <t>Identificar a los paciente que esta en manejo asistencial</t>
  </si>
  <si>
    <t>Uso de elementos de respaldo para la identificación de los pacientes</t>
  </si>
  <si>
    <t xml:space="preserve">Control de puertas por los guardias de seguridad y revisión por parte del personal de información </t>
  </si>
  <si>
    <t>Restringir y controlar el ingreso e egreso de pacientes y demás personal del área</t>
  </si>
  <si>
    <t xml:space="preserve">Censo de pacientes </t>
  </si>
  <si>
    <t>Responsable del servicio de urgencias</t>
  </si>
  <si>
    <t>Responsable del servicio de urgencias y enfermería</t>
  </si>
  <si>
    <t>Responsable del área de seguridad</t>
  </si>
  <si>
    <t>Mediciones y Evaluaciones de adherencia
Actas de compromisos</t>
  </si>
  <si>
    <t>Planilla mes vigente</t>
  </si>
  <si>
    <t xml:space="preserve">Formatos de solicitud y entrega de elementos de identificación </t>
  </si>
  <si>
    <t>Planillas de personal de seguridad asignado</t>
  </si>
  <si>
    <t>Evaluación de adherencia de protocolos y procedimientos</t>
  </si>
  <si>
    <t>Identificar y Fortalecer los conocimientos de los agentes encargados de la asignación de citas</t>
  </si>
  <si>
    <t xml:space="preserve">retroalimentación con los colaboradores que presentaron fallas </t>
  </si>
  <si>
    <t>Verificación de las características del  estado de los dispositivos médicos para el correcto uso de los mismos</t>
  </si>
  <si>
    <t>Verificación de  las  características de asepsia y antisepsia de los dispositivos médicos para garantizar su bue funcionamiento en la aplicación de las cirugías</t>
  </si>
  <si>
    <t>Remisión de los dispositivos  las áreas encargadas (biomédicos, farmacia o insumos)</t>
  </si>
  <si>
    <t>Inspección de las condiciones de cerramiento en caso de obras y mantenimientos</t>
  </si>
  <si>
    <t>Garantizar que las áreas cumplan con la normatividad y las recomendaciones para la prestación del servicio</t>
  </si>
  <si>
    <t xml:space="preserve">Observaciones del estado del no sellamiento </t>
  </si>
  <si>
    <t>Responsable del servicio de consulta externa</t>
  </si>
  <si>
    <t>Responsable del servicio
Equipo medico que realiza la intervención</t>
  </si>
  <si>
    <t>Registro de envió de dispositivos</t>
  </si>
  <si>
    <t xml:space="preserve">Informe de cumplimiento del estado de obras </t>
  </si>
  <si>
    <t>Monitoreo de asignación de citas</t>
  </si>
  <si>
    <t>Verificar el cumplimiento de los procedimientos y estándares definidos para la asignación de citas</t>
  </si>
  <si>
    <t>Retroalimentación sobre casos presentados</t>
  </si>
  <si>
    <t>Líder del grupo de Calidad</t>
  </si>
  <si>
    <t>Registro de casos con falencias</t>
  </si>
  <si>
    <t>Errores en resultados de examenes clinicos, patologicos y de imágenes</t>
  </si>
  <si>
    <t>Reportes inadecuados por la prestacion de los servicios en examenes clinicos, patologicos e imágenes.</t>
  </si>
  <si>
    <t>Identificación erronea del paciente</t>
  </si>
  <si>
    <t>1. Impacto en las decisiones medicas al paciente</t>
  </si>
  <si>
    <t>Errores en la interpretación, lectura y validación de los resultados</t>
  </si>
  <si>
    <t xml:space="preserve">Incumplir protocolos </t>
  </si>
  <si>
    <t>Perdida de muestras sanguineas, fluidos, biopsias, especimenes, citologias y otras</t>
  </si>
  <si>
    <t>Inadecuado manejo de las muestras sanguineas, fluidos, biopsias, especimenes, citologias y otras</t>
  </si>
  <si>
    <t>Incumplimiento de protocolos de recepción y procesamiento de muestras</t>
  </si>
  <si>
    <t>1. Ausencia de resultados para reporte un diagnostico medico
2. Eventos adversos</t>
  </si>
  <si>
    <t>Fallas en la clasificación y/u organización de las  muestras</t>
  </si>
  <si>
    <t>Validar la información (datos demograficos) en el Modulo de historia clinica en Dinamica</t>
  </si>
  <si>
    <t>Verificar datos del paciente contra ordenes medicas y/o el paciente</t>
  </si>
  <si>
    <t>Informar al área de bioestadsitica y urgencias de la novedad presentada</t>
  </si>
  <si>
    <t>Revisar la información (resultados) en el Modulo de historia clinica en Dinamica</t>
  </si>
  <si>
    <t>Revisar la informaicón del  historico del paciente</t>
  </si>
  <si>
    <t>Adherencia del protocolo</t>
  </si>
  <si>
    <t>Verificar el cumplimiento del protocolo</t>
  </si>
  <si>
    <t>Capacitar al personal</t>
  </si>
  <si>
    <t>Manejo de muestras</t>
  </si>
  <si>
    <t>verificar el cumplimiento del protocolo de recepción y procesamiento de muestras</t>
  </si>
  <si>
    <t>Modulo de historia clinica en Dinamica</t>
  </si>
  <si>
    <t>Modulo de historia clinica en Dinamica y/o sistema de información del servicio</t>
  </si>
  <si>
    <t>Personal Asistencial</t>
  </si>
  <si>
    <t>Líder de calidad</t>
  </si>
  <si>
    <t>Registro de novedad</t>
  </si>
  <si>
    <t>Registro de evento adverso</t>
  </si>
  <si>
    <t>Lista de chequeo del cumplimiento del protocolo</t>
  </si>
  <si>
    <t>Lista de verificación del cumplimiento del prtotocolo</t>
  </si>
  <si>
    <t>Perdida de medicamentos, reactivos y/o insumos</t>
  </si>
  <si>
    <t>Inadecuado manejo de inventarios de los medicamentos, reactivos e insumos</t>
  </si>
  <si>
    <t>Inventarios desactualizados</t>
  </si>
  <si>
    <t>1. Detrimiento patrimonial
2. Investigaciones administrativas</t>
  </si>
  <si>
    <t>Inadecauda recepción de los medicamentos, reactivos e insumos</t>
  </si>
  <si>
    <t>Controles inefectivos o insuficientes</t>
  </si>
  <si>
    <t xml:space="preserve">Ausencia de insumos para la realización de examenes medicos, estudios y procedimientos </t>
  </si>
  <si>
    <t xml:space="preserve">Desabastecimiento de los insumos en los inventarios </t>
  </si>
  <si>
    <t>Fallas en la planeación de insumos y reactivos</t>
  </si>
  <si>
    <t xml:space="preserve">1. Inoportunidad en la entrega de resultados de examenes medicos,  estudios y procedimientos </t>
  </si>
  <si>
    <t>Aumento de la demanda de pacientes</t>
  </si>
  <si>
    <t xml:space="preserve">Falta de control en la rotacion de inventarios </t>
  </si>
  <si>
    <t>Descargue de inventarios en tiempo real respecto de la dispensación de los medicamentos</t>
  </si>
  <si>
    <t>Informar al jefe de la bodega y/o almacen</t>
  </si>
  <si>
    <t>Recepción de los medicamentos, reactivos e insumos y control del diligenciamiento total de la información del formato</t>
  </si>
  <si>
    <t>Verificar los insumos solicitados vs la factura y el contrato</t>
  </si>
  <si>
    <t>No acepta la entrega del insumo con novedades y generar informe</t>
  </si>
  <si>
    <t>Selectivas control de existencias</t>
  </si>
  <si>
    <t>Verificar los inventarios en Dinamica contra las existencias fisicas</t>
  </si>
  <si>
    <t xml:space="preserve">Analizar información por digitar y registros realizados </t>
  </si>
  <si>
    <t>Requerimientos al plan anual de adquisiciones</t>
  </si>
  <si>
    <t>Verificar los inventarios en Dinamica contra las existecnias y analizar los historicos de los examenes procesados</t>
  </si>
  <si>
    <t>Solicitar la inclusión del requerimiento en el respectivo plan</t>
  </si>
  <si>
    <t xml:space="preserve">Historico de estadisticas de examenes medicos, estudios y procedimientos </t>
  </si>
  <si>
    <t xml:space="preserve">Realizar el seguimiento del comportamiento de la cantidad de pacientes para proyectar el crecimiento de la demanda. </t>
  </si>
  <si>
    <t>Acceder al back up del sistema de información</t>
  </si>
  <si>
    <t>Verificación de inventarios Dinamica</t>
  </si>
  <si>
    <t xml:space="preserve">Conteo aletorio de  los inventarios en Dinamica contra las existecnias </t>
  </si>
  <si>
    <t xml:space="preserve">Mantener actualizada la información de movimiento de inventarios </t>
  </si>
  <si>
    <t>Jefe del servicio y Encargado del almacen</t>
  </si>
  <si>
    <t>Encargado del almacen y supervisor del contrato</t>
  </si>
  <si>
    <t>Coordinador de Farmacia</t>
  </si>
  <si>
    <t>Jefe del servicio</t>
  </si>
  <si>
    <t>Encargado de la bodega auxiliar y Jefe de Servicio</t>
  </si>
  <si>
    <t>Informe de revista de almacen</t>
  </si>
  <si>
    <t xml:space="preserve">Formato de recepción técnica </t>
  </si>
  <si>
    <t>Formato selectivas</t>
  </si>
  <si>
    <t>Acta de revisión del Plan Anual de Adquisiciones</t>
  </si>
  <si>
    <t>Estadisticas del servicio</t>
  </si>
  <si>
    <t>Informe de revista de bodega auxiliar</t>
  </si>
  <si>
    <t>Sobreexposición de  radiación ionizante al personal ocupacionalmente expuesto</t>
  </si>
  <si>
    <t>Aparición de efectos nocivos para la salud de los trabajadores expuestos a  radiación ionizante</t>
  </si>
  <si>
    <t>Falta de calibraciòn de los equipos emisores de radiación ionizante</t>
  </si>
  <si>
    <t xml:space="preserve">Daños en la salud del persona (Efectos estocasticos o a largo plazo y efectos  deterministicos o a corto plazo) </t>
  </si>
  <si>
    <t>No uso del dosimetro y de los elementos de radioprotecciòn personal</t>
  </si>
  <si>
    <t>Desconocimiento del estado de salud del personal ocupacionalmente expuesto</t>
  </si>
  <si>
    <t>Dispensación inoportuna de medicamentos e insumos</t>
  </si>
  <si>
    <t>Impacto en la salud de los ususarios por la no dispensación oportuna, continua o suficiente de medicamentos e insumos</t>
  </si>
  <si>
    <t xml:space="preserve">No planeación oportuna en la adquisición de medicamentos e insumos </t>
  </si>
  <si>
    <t>1-Daño al paciente, reclamos, quejas, tutelas, derechos de petición, demandas.
2-Pérdida de la imagen y credibilidad institucional</t>
  </si>
  <si>
    <t>Ausencia de control sobre la dispensación y reposición de inventarios de medicamentos e insumos</t>
  </si>
  <si>
    <t>Cronograma de mantenimiento preventivo y correctivo para cada uno de los equipos emisores</t>
  </si>
  <si>
    <t>Realizar el mantenimiento preventivo y correctivo de los equipos emisores de radiación ionizante</t>
  </si>
  <si>
    <t>Informar a la supervición del contrato</t>
  </si>
  <si>
    <t>Revisión periodica del uso de dosimetro y elementos y radioprotecciòn</t>
  </si>
  <si>
    <t>Garantizar la contratación de dosimetro al personal ocupacionalmente expuesto</t>
  </si>
  <si>
    <t xml:space="preserve">Informar a la supervición del contrato y  retroalimentar al personal en la aplicación de las buenas practicas de protección radiologica </t>
  </si>
  <si>
    <t>Toma de examenes medicos del personal ocupacionalmente expuesto</t>
  </si>
  <si>
    <t>Evaluación de resultados de los examenes medicos del personal ocupacionalmente expuesto</t>
  </si>
  <si>
    <t>Informar al responsable de ARL, Coordinador del servicio y Comité de Radioprotección</t>
  </si>
  <si>
    <t>Monitoreo de los niveles de stocks de reposición de inventarios conforme al consumo puntual o estacional respecto de los insumos adquiridos directamente por el Hospital</t>
  </si>
  <si>
    <t>Seguimiento diario de los insumos o tecnologias en salud que llegan al stock de reposición sin solución inmediata</t>
  </si>
  <si>
    <t>Acceder a la caja menor dispuesta para estos insumos con el fin de adquirir oportunamente los insumos por agotarse</t>
  </si>
  <si>
    <t xml:space="preserve">Monitoreo de los niveles de stocks de reposición de inventarios conforme al consumo puntual o estacional respecto del operador logistico contratado para la dispensación y suministro de medicamentos </t>
  </si>
  <si>
    <t>Conminar al contratista al cumplimiento del contrato en el sentido de garantizar la oportunidad y continuidad de los tratamientos farmacologicos</t>
  </si>
  <si>
    <t>Dinamica Gerencial - Inventarios</t>
  </si>
  <si>
    <t>Coordinador Tecnologos, Asesor Fisicomedico, Oficial de Radioprotección y salud Ocupacional</t>
  </si>
  <si>
    <t>Salud Ocupacional</t>
  </si>
  <si>
    <t xml:space="preserve">Jefe de Farmacia </t>
  </si>
  <si>
    <t>Informe de mantinimiento de equipos</t>
  </si>
  <si>
    <t>Resultado de informe de dosimetria</t>
  </si>
  <si>
    <t>resultados de los examenes medicos del personal ocupacionalmente expuesto</t>
  </si>
  <si>
    <t>Formato requerimiento medicamentos e insumos</t>
  </si>
  <si>
    <t xml:space="preserve">Falsificación y adulteración de fórmulas medicas </t>
  </si>
  <si>
    <t>Reclamación de medicamentos e insumos con documentos adulterados o fraudulentos</t>
  </si>
  <si>
    <t>Hurto de talonarios de formulas medicas.</t>
  </si>
  <si>
    <t>1.Reclamacion de medicamentos e insumos de salud.
2.Detrimento patrimonial del SSFM.</t>
  </si>
  <si>
    <t>Adulteracion externa de formulas medicas.</t>
  </si>
  <si>
    <t xml:space="preserve">Interrupción en el suministro de gases medicinales </t>
  </si>
  <si>
    <t xml:space="preserve">Fallas en la cadena de logistica de abastecimiento de gases medicinales a los diferentes servicios </t>
  </si>
  <si>
    <t>Dificultades contractuales con  proveedores</t>
  </si>
  <si>
    <t>Fallas en el servicio del hospital y riesgo vital a los pacientes</t>
  </si>
  <si>
    <t>Falla técnica en la red de suministro</t>
  </si>
  <si>
    <t>Dispensación de medicamentos y/o gases medicinales vencidos o diferentes a los preescritos</t>
  </si>
  <si>
    <t xml:space="preserve">Sumistre medicamentos con fechas de vencimiento posteriores a lo establecido por el fabricante o que no correspondan a la preescripción medica </t>
  </si>
  <si>
    <t>Segregación inoportuna de los medicamentos proximos a vencer</t>
  </si>
  <si>
    <t xml:space="preserve">Fallas terapeuticas </t>
  </si>
  <si>
    <t xml:space="preserve">Deficiencias en la identificación y almacenaje de los medicamentos </t>
  </si>
  <si>
    <t>Entrega controlada de talonarios al área asistencial y del uso de los mismos</t>
  </si>
  <si>
    <t>Imprenta hace entrega de los talonarios al almacen, este hace entrega a las secretarias de los servicios y al interior de cada servicio se hace entrega de talonarios según demanda de los medicos asistenciales. No hay una trazabilidad de los talonarios especialmente al momento de la prescripción</t>
  </si>
  <si>
    <t xml:space="preserve">Requerir la acalración e investigación pertinente </t>
  </si>
  <si>
    <t>Validación de formulas medicas con DGH.Net.</t>
  </si>
  <si>
    <t xml:space="preserve">Dinamica gerencial genera la prescripción conforme a las claves de acceso de cada uno de los medicos tratantes </t>
  </si>
  <si>
    <t>Supervisión a la ejecución contractual</t>
  </si>
  <si>
    <t xml:space="preserve">Verificar el cumplimiento oportuno del suminstro y prevenir posibles desabastecimientos </t>
  </si>
  <si>
    <t xml:space="preserve">Revisión de cumplimiento en el comité de farmacia </t>
  </si>
  <si>
    <t>Mantenimientos preventivos y correctivos</t>
  </si>
  <si>
    <t>Verificar el estado de las redes y los puntos de uso</t>
  </si>
  <si>
    <t>Revisión de soportes de estado redes de suministro</t>
  </si>
  <si>
    <t>Sistema FEFO (Primero expirar primero en salir)</t>
  </si>
  <si>
    <t>Rotar el inventario que cuenta con fecha de vencimiento cercana</t>
  </si>
  <si>
    <t xml:space="preserve">Realizar inventarios peridodicos </t>
  </si>
  <si>
    <t>Clasificación de medicamentos LASA 
(Se ven parecido y/o tienen fonetica similar)</t>
  </si>
  <si>
    <t xml:space="preserve">Clasificar los medicamentos de acuerdo a categorias de agrupación </t>
  </si>
  <si>
    <t>Dinamica Gerencial - Historias Clinicas</t>
  </si>
  <si>
    <t>Jefe de Servicio Asistencial respectivo</t>
  </si>
  <si>
    <t xml:space="preserve">Tecnico de Farmacia </t>
  </si>
  <si>
    <t>Supervisor del contrato</t>
  </si>
  <si>
    <t xml:space="preserve">Jefe de mantenimiento </t>
  </si>
  <si>
    <t>Encargado de farmacia</t>
  </si>
  <si>
    <t>Formula medica</t>
  </si>
  <si>
    <t xml:space="preserve">Informes de supervisión </t>
  </si>
  <si>
    <t>Informe de mantenimietos</t>
  </si>
  <si>
    <t>Registros de dispensación</t>
  </si>
  <si>
    <t xml:space="preserve">Registros de identificación y clasificación de invetario </t>
  </si>
  <si>
    <t xml:space="preserve">Perdida de titularidad de derechos de propiedad intelectual </t>
  </si>
  <si>
    <t>Perdida de los derechos de titularidad, participación y control del Hospital Militar de los productos derivados de las investigaciones desarrolladas</t>
  </si>
  <si>
    <t>Falta de implementación de medidas necesarias para asegurar la titularidad patrimonial de autor y de derechos de propiedad industrial a favor del Hospital Militar Central</t>
  </si>
  <si>
    <t>Perdida de beneficios obtenidos a partir del reconocimiento de la titularidad de la propiedad  intelectual</t>
  </si>
  <si>
    <t xml:space="preserve">Suspensión del escenario de practica </t>
  </si>
  <si>
    <t>Cancelación del escenario de practica debido al incumplimiento de la normatividad referente al ingreso</t>
  </si>
  <si>
    <t>Autorizar practicas formativas sin convenio docencia servicio</t>
  </si>
  <si>
    <t>Sanciones por incumplimiento a la normatividad</t>
  </si>
  <si>
    <t xml:space="preserve">Declaración de autoría </t>
  </si>
  <si>
    <t>Documento en donde las partes involucradas en el desarrollo del proyecto firman un acuerdo en relación con los derechos de propiedad intelectual de los posibles productos derivados de la investigación</t>
  </si>
  <si>
    <t>Se debe firmar un nuevo documento que contenga la información veraz</t>
  </si>
  <si>
    <t>Acta de titularidad de propiedad intelectual</t>
  </si>
  <si>
    <t>Documento en donde las partes involucradas en el desarrollo del proyecto firman un acuerdo en relación con los derechos de propiedad intelectual de los posibles productos derivados de la investigación financiada</t>
  </si>
  <si>
    <t>Registro de estudiantes  en el sistema relación docencia servicio</t>
  </si>
  <si>
    <t>Desarrollar un control de los estudiantes que ingresan a realizar practicas formativas de acuerdo a los convenios y demás información de los estudiantes</t>
  </si>
  <si>
    <t xml:space="preserve">Retroalimentación con los servicios para identificar ingresos que no han sido aprobados </t>
  </si>
  <si>
    <t>Revisión y aprobación de cupos</t>
  </si>
  <si>
    <t xml:space="preserve">Establecer la relación de las áreas y cupos en los diferentes servicios en los cuales los estudiantes realizan sus practicas formativas para que exista control entre las áreas solicitadas y las áreas aprobadas por el Hospital </t>
  </si>
  <si>
    <t xml:space="preserve">Retroalimentación con los servicios para identificar los cupos que no fueron aprobados </t>
  </si>
  <si>
    <t>Sistema de Información de la relación Docencia Servicio (estudiantes)</t>
  </si>
  <si>
    <t>Sistema de Información de la relación Docencia Servicio (cupos)</t>
  </si>
  <si>
    <t>Jefe de la Unidad de Investigación Científica</t>
  </si>
  <si>
    <t>Líder del área de Formación y Docencia- área formación en salud</t>
  </si>
  <si>
    <t>Declaración de autoría firmados</t>
  </si>
  <si>
    <t>Acta de titularidad de propiedad intelectual firmada</t>
  </si>
  <si>
    <t>Registros de estudiantes en el sistema de información</t>
  </si>
  <si>
    <t>Registros de cupos en el sistema</t>
  </si>
  <si>
    <t>Imposibilidad de desarrollar practicas educativas con entidades externas (ESAE)</t>
  </si>
  <si>
    <t xml:space="preserve">El incumplimiento de lo establecido en el Decreto 2376 de 2010 implica la pérdida de la relación docencia-servicio y por tanto pérdida del campo de práctica </t>
  </si>
  <si>
    <t xml:space="preserve">Incumplimiento de requisitos para establecer los acuerdos de práctica </t>
  </si>
  <si>
    <t>Incumplimiento de la norma de competencia</t>
  </si>
  <si>
    <t>Ausencia de criterios pedagógicos en la prestación del servicio (ESAE)</t>
  </si>
  <si>
    <t>En cumplimiento de la NTC 5663 sobre requisitos sobre el personal docente</t>
  </si>
  <si>
    <t>Vinculación de docentes  sin experiencia relacionada</t>
  </si>
  <si>
    <t>Fallas en el aprendizaje de los estudiantes</t>
  </si>
  <si>
    <t>Ingreso de aspirantes sin el cumplimiento de requisitos por influencia  de terceros (ESAE)</t>
  </si>
  <si>
    <t xml:space="preserve">Cumplimiento del perfil de ingreso establecido según la Norma y el PEI institucional </t>
  </si>
  <si>
    <t>Falta de cumplimiento de los procedimientos admisión</t>
  </si>
  <si>
    <t>Falta de credibilidad de la Escuela de Enfermería</t>
  </si>
  <si>
    <t>Verificación de convenios</t>
  </si>
  <si>
    <t>Verificar el cumplimiento de requisitos de los acuerdo de práctica</t>
  </si>
  <si>
    <t xml:space="preserve">Corrección inmediata de los requisitos de cumplimiento de desarrollo de la práctica </t>
  </si>
  <si>
    <t>Verificación de experiencia en docencia</t>
  </si>
  <si>
    <t>Evaluación de desarrollo de piloto de clase</t>
  </si>
  <si>
    <t xml:space="preserve">No contratación y/o suspensión del mismo del personal  que incumpla con el requisito </t>
  </si>
  <si>
    <t>Lista de chequeo de requisitos de admisión</t>
  </si>
  <si>
    <t>Verificar la aprobación de pruebas de conocimiento y entrevista.</t>
  </si>
  <si>
    <t>suspensión de proceso de matricula</t>
  </si>
  <si>
    <t xml:space="preserve">Directora de la ESAE </t>
  </si>
  <si>
    <t xml:space="preserve">Directora de la ESAE.  Líder de procedimiento de Admisiones </t>
  </si>
  <si>
    <t xml:space="preserve">listas de verificación </t>
  </si>
  <si>
    <t xml:space="preserve">Evidencia selección personal ESAE </t>
  </si>
  <si>
    <t xml:space="preserve">Folios de vida </t>
  </si>
  <si>
    <t>Aumento de la rotación docente</t>
  </si>
  <si>
    <t xml:space="preserve">Ofrecimiento de mejores condiciones laborales para los docentes por parte de la competencia </t>
  </si>
  <si>
    <t xml:space="preserve">Baja oferta de docentes jefes de enfermería dedicados a la docencia </t>
  </si>
  <si>
    <t xml:space="preserve">Afectar la calidad o la continuidad del servicio </t>
  </si>
  <si>
    <t>Ausencia de oferta de los servicios académicos</t>
  </si>
  <si>
    <t>Falta de estrategias para captación de nuevos estudiantes (D2)</t>
  </si>
  <si>
    <t>No existe el personal que líderes actividades de mercadeo.</t>
  </si>
  <si>
    <t>Disminución de ingresos</t>
  </si>
  <si>
    <t>Incentivos de opción de educación continuada  o actualizaciones</t>
  </si>
  <si>
    <t xml:space="preserve">Back up de Hojas de vida docentes </t>
  </si>
  <si>
    <t>Análisis de la capacidad instalada para proyectar publicidad</t>
  </si>
  <si>
    <t xml:space="preserve">Realizar campañas en colegios, promocionar la Escuela en pagina web del Hospital y redes sociales </t>
  </si>
  <si>
    <t xml:space="preserve">área de comunicación y publicidad del Hospital </t>
  </si>
  <si>
    <t xml:space="preserve">Directora de la ESAE.  </t>
  </si>
  <si>
    <t xml:space="preserve">Líder del procedimiento de admisiones </t>
  </si>
  <si>
    <t xml:space="preserve">Informe </t>
  </si>
  <si>
    <t xml:space="preserve">Emitir respuestas inoportunas (fuera de los terminos de ley) a las PQRS  </t>
  </si>
  <si>
    <t xml:space="preserve">Responder las PQRS incumpliendo los periodos de tiempo establecidos en la ley  </t>
  </si>
  <si>
    <t>Demoras en las proyecciones de respuesta por parte de los servicios</t>
  </si>
  <si>
    <t>Aumento de respuestas parciales y no de fondo
Vencimiento de terminos de respuesta</t>
  </si>
  <si>
    <t xml:space="preserve">Errores en el direccionamiento interno </t>
  </si>
  <si>
    <t xml:space="preserve">Divulgar información  no veraz que comprometa la confianza la gestión institucional </t>
  </si>
  <si>
    <t>Difundir contenidos en donde se mencione a la institución que afecten la imagen y reputación del mismo</t>
  </si>
  <si>
    <t xml:space="preserve">Múltiples versiones de la información oficial al interior de la Entidad </t>
  </si>
  <si>
    <t xml:space="preserve">Crisis reputacional
Investigaciones disciplinarias </t>
  </si>
  <si>
    <t xml:space="preserve">Publicación de información de interés para la opinión pública sin aprobación de la Direccion General y la subdirección de Docencie e Investigación </t>
  </si>
  <si>
    <t>Control de términos para PQRS radicadas en Control Doc(ficha de seguimiento)</t>
  </si>
  <si>
    <t>Evitar que se incumplan las PQRS a traves de la generación de respuestas parciales y control de segundos requerimientos</t>
  </si>
  <si>
    <t>Reuniones con los servicios para verificar respuestas oportunas</t>
  </si>
  <si>
    <t>Remisión por el flujo de trabajo</t>
  </si>
  <si>
    <t>Remitir directamente al encargado de atender y/o responder la PQRS</t>
  </si>
  <si>
    <t>Remitir por Oficio o correo electronico al responsable</t>
  </si>
  <si>
    <t xml:space="preserve">Validación de los datos con los responsables de la información </t>
  </si>
  <si>
    <t>Verificar con los lideres de área si la información suministrada en veraz y oportuna</t>
  </si>
  <si>
    <t>Se remite a los subdirectores encargados del área para su validación final</t>
  </si>
  <si>
    <t xml:space="preserve">Aprobación de la información a publicar por parte de la Dirección General  y  la subdirección de Docencie e Investigación </t>
  </si>
  <si>
    <t xml:space="preserve">Verificar que la información esta sustentada y es coherente con la gestión institucional </t>
  </si>
  <si>
    <t>Se replantea el contenido de la información y se inicia el flujo de aprobación</t>
  </si>
  <si>
    <t>Control Doc- Flujo de Trabajo</t>
  </si>
  <si>
    <t>Personal del área de atención al Usuario encargadso del seguimiento</t>
  </si>
  <si>
    <t>Registro de formato GP-AUIS-PR-03</t>
  </si>
  <si>
    <t>Registro de formato GP-AUIS-PR-03
Registros del Control DOC</t>
  </si>
  <si>
    <t>Actas y correos de verificación</t>
  </si>
  <si>
    <t>Acta de aprobación de publicaciones</t>
  </si>
  <si>
    <t xml:space="preserve">Perdida de materiales y/o herramientas para el mantenimiento de las instalaciones </t>
  </si>
  <si>
    <t>Extravio de los materiales y herramients utilizadas para los mantenimientos de la entidad</t>
  </si>
  <si>
    <t>Sobreestimación de los materiales para la  ejecución de los mantenimientos</t>
  </si>
  <si>
    <t xml:space="preserve">Sanciones disciplinarias, fiscales y penales
</t>
  </si>
  <si>
    <t>Falencias en el control de la terminación de las obras</t>
  </si>
  <si>
    <t xml:space="preserve">Abuso de confianza de los colaboradores </t>
  </si>
  <si>
    <t>Daños en equipos biomédicos que impacten la prestación del servicio</t>
  </si>
  <si>
    <t>Deterioro de los equipos biomédicos lo cuales afecten la continuidad de los servicios</t>
  </si>
  <si>
    <t xml:space="preserve">Ausencia de mantenimientos oportunos en los equipos biomédicos </t>
  </si>
  <si>
    <t>Daños a pacientes por mal estado de los equipos</t>
  </si>
  <si>
    <t>Incidentes no controlados con los equipos biomédicos</t>
  </si>
  <si>
    <t>Orden de servicios y solicitud al almacén con las cantidades determinadas</t>
  </si>
  <si>
    <t>Solicitar al almacén los insumos de materiales de mantenimiento de acuerdo a los valoraciones de las obras a realizar</t>
  </si>
  <si>
    <t>Se suspende el mantenimiento se prioriza para adquirir materiales por caja menor</t>
  </si>
  <si>
    <t>Constancia de  entrega de los  mantenimiento realizados</t>
  </si>
  <si>
    <t>Se conserva la constancia de los materiales solicitados y aplicados en la obras de mantenimiento</t>
  </si>
  <si>
    <t xml:space="preserve">Anexar soportes de los mantenimientos </t>
  </si>
  <si>
    <t>Revista de control de talleres</t>
  </si>
  <si>
    <t>Verificar que no queden materiales y herramientas almacenados y que los existentes estén asignados a mantenimientos autorizados</t>
  </si>
  <si>
    <t>Se realiza revisión periódica y/o acumulada para verificar las existencias</t>
  </si>
  <si>
    <t xml:space="preserve">Mantenimientos periódicos establecidos </t>
  </si>
  <si>
    <t>Realizar los mantenimientos de los equipos biomédicos por personal propio y por terceros de acuerdo a su modalidad de vinculación al hospital</t>
  </si>
  <si>
    <t>Pólizas de seguros que respaldan los daños a todo riesgo</t>
  </si>
  <si>
    <t xml:space="preserve">Comunicación al personal de las adecuaciones a la  infraestructura </t>
  </si>
  <si>
    <t>Informar a las a  las área afectadas de los ajustes para asegurar la articulación y mitigar las afectaciones</t>
  </si>
  <si>
    <t>Jefe del área de mantenimiento</t>
  </si>
  <si>
    <t>Jefe de talleres</t>
  </si>
  <si>
    <t>Jefe del área de mantenimiento
Jefe de talleres</t>
  </si>
  <si>
    <t>jefe de equipo biomédico
jefe equipo industrial</t>
  </si>
  <si>
    <t>jefe de la unidad de apoyo logístico</t>
  </si>
  <si>
    <t>Archivo con ordenes de servicio del almacén</t>
  </si>
  <si>
    <t>Actas de entrega de mantenimiento</t>
  </si>
  <si>
    <t>Actas de revista a los talleres</t>
  </si>
  <si>
    <t>Seguimiento al plan de mantenimiento</t>
  </si>
  <si>
    <t>Correo electrónicos
Comunicaciones oficiales</t>
  </si>
  <si>
    <t xml:space="preserve">Condiciones ambientales adversas que afecten la atención a pacientes </t>
  </si>
  <si>
    <t>Afectaciones en la prestación de los servicios debido a la presencia de actores o factores ambientales que impacten la calidad o seguridad</t>
  </si>
  <si>
    <t>Incumplimiento del plan de gestión ambiental</t>
  </si>
  <si>
    <t xml:space="preserve">Sanciones por entes de control </t>
  </si>
  <si>
    <t>Falencias en la educación ambiental</t>
  </si>
  <si>
    <t>Infraestructura inhabilitada para la prestación de servicios</t>
  </si>
  <si>
    <t xml:space="preserve">Cierre de áreas o servicios debido al incumplimientos de estándares de calidad </t>
  </si>
  <si>
    <t>Fallas en la planificación de los proyectos de infraestructura</t>
  </si>
  <si>
    <t>Cierre de áreas por parte de organismos de vigilancia y control</t>
  </si>
  <si>
    <t>Incumplimiento contractual por parte del proveedor</t>
  </si>
  <si>
    <t>Ausencia de verificación de los requisitos de habilitación</t>
  </si>
  <si>
    <t>Inicio de obras de infraestructura sin permisos ni licencias por parte de la Curaduría Urbana</t>
  </si>
  <si>
    <t xml:space="preserve">Actividades de mejoramiento y mantenimiento de la Infraestructura de la entidad sin los respectivos permisos para obras públicas. </t>
  </si>
  <si>
    <t xml:space="preserve">No realizar los tramites pertinentes ante la Curaduría Urbana </t>
  </si>
  <si>
    <t>Cancelación del Contrato.
Requerimientos por entes de control.
Detrimento Patrimonial.</t>
  </si>
  <si>
    <t xml:space="preserve">No haber verificado las licencias respectivas en las curadurías respectivas. </t>
  </si>
  <si>
    <t>Registro de actividades en el aplicativo suite visión</t>
  </si>
  <si>
    <t xml:space="preserve">Registrar el desarrollo de actividades del plan de gestión ambiental garantizando su ejecución </t>
  </si>
  <si>
    <t>Reuniones periódicas para verificar el avance del plan de gestión ambiental</t>
  </si>
  <si>
    <t>Acciones de educación ambiental</t>
  </si>
  <si>
    <t>Desarrollo de capacitaciones de temáticas ambientales que afecten la atención en salud</t>
  </si>
  <si>
    <t>Correo institucionales con recomendaciones</t>
  </si>
  <si>
    <t xml:space="preserve">Valoración del personal especializado en temas de infraestructura </t>
  </si>
  <si>
    <t>Determinar el estado de las obras a desarrollar desde un concepto técnico en materia de infraestructura</t>
  </si>
  <si>
    <t>Apoyo de personal militar externo especializado en temas de ingeniería</t>
  </si>
  <si>
    <t xml:space="preserve">Seguimiento a la ejecución contractual </t>
  </si>
  <si>
    <t>Verificar el estado de avance de las obras de acuerdo a las obligaciones contractuales</t>
  </si>
  <si>
    <t xml:space="preserve">Comité de obras para verificar avance </t>
  </si>
  <si>
    <t>Verificación de los criterios de habilitación y calidad hospitalaria</t>
  </si>
  <si>
    <t>Definir desde un concepto técnico en materia de calidad y habilitación los principales aspectos de las obras a desarrollar</t>
  </si>
  <si>
    <t>Comité de avance de habilitación hospitalaria</t>
  </si>
  <si>
    <t>Revisión de licencias, y sus respectivas aprobaciones</t>
  </si>
  <si>
    <t xml:space="preserve">Hacer seguimiento al proceso de aprobación de licencias ante la curaduría respectiva, llevando un control interno para dicho tramite. (lista de chequeo). </t>
  </si>
  <si>
    <t>No dar inicio al contrato de obra hasta tanto No se superen los motivos por los cuales aun no se dio el permiso y/o la licencia.</t>
  </si>
  <si>
    <t>Realizar una lista de chequeo previos al inicio del contrato de obra.</t>
  </si>
  <si>
    <t>Verificar las licencias necesarias para realizar las obras de acuerdo a la normatividad</t>
  </si>
  <si>
    <t>Realizar reunión de verificación de criterios legales</t>
  </si>
  <si>
    <t>Responsable de la gestión ambiental</t>
  </si>
  <si>
    <t>Jefe de Infraestructura</t>
  </si>
  <si>
    <t>Supervisor de contratos</t>
  </si>
  <si>
    <t>Líder del grupo de calidad</t>
  </si>
  <si>
    <t>Responsable del área de infraestructura</t>
  </si>
  <si>
    <t>Registros del aplicativo de suite visión</t>
  </si>
  <si>
    <t>Actas de capacitaciones</t>
  </si>
  <si>
    <t>Registros de diagnostico y valoración de propuestas de obras de infraestructura</t>
  </si>
  <si>
    <t>Informes de supervisión de contrato</t>
  </si>
  <si>
    <t>actas de verificación de aspectos de calidad en habilitación de obras de infraestructura</t>
  </si>
  <si>
    <t>Actas de reunión</t>
  </si>
  <si>
    <t>Recursos financieros no acordes a las las necesidades misionales de la entidad.</t>
  </si>
  <si>
    <t>La apropiación presupuestal no sea acorde a la expectativa misional de la entidad</t>
  </si>
  <si>
    <t>Operación financiera de la entidad no genere reditos economicos</t>
  </si>
  <si>
    <t xml:space="preserve">Prestación de servicios no acorde a la expectaitiva del usuario
</t>
  </si>
  <si>
    <t>Apropiaciones presupuestales no sean acorde con la operación de la entidad</t>
  </si>
  <si>
    <t>Alterar la información financiera</t>
  </si>
  <si>
    <t>Alteraciones de la información financiera para generar información errada</t>
  </si>
  <si>
    <t>Intereses de ocultar la realidad financiera de la entidad</t>
  </si>
  <si>
    <t>Sanciones Institucionales</t>
  </si>
  <si>
    <t>Cifras de estados financieros no acorde al marco normativo</t>
  </si>
  <si>
    <t>Errores en el ingreso de transacciones al sistema de información</t>
  </si>
  <si>
    <t>Incluir datos en el sistemas de información que no respondan a la readlidad con respeecto a la transacción realzada</t>
  </si>
  <si>
    <t xml:space="preserve">Transacciones sin registrar en el sistema de información </t>
  </si>
  <si>
    <t>Perdida de recursos 
Hallazgos de entes de control 
No razonabilidad de los estados financieros</t>
  </si>
  <si>
    <t>Generación de transacciones financieras de la entidad sin soporte</t>
  </si>
  <si>
    <t>Seguimiento a la planeación financiera mediante el analisis de la Información Financiera</t>
  </si>
  <si>
    <t>Realizar la evaluación de los resultados y ajustes de la estrategia financiera</t>
  </si>
  <si>
    <t>Revisión de las cuentas mas significativas en el sistema de información</t>
  </si>
  <si>
    <t>Anteproyecto de presupuesto (elaboración, tramite y sustento)</t>
  </si>
  <si>
    <t xml:space="preserve">Establecer una identificación y planeación de las necesidades de la entidad </t>
  </si>
  <si>
    <t>Validación con datos historicos y comportamientos ciclicos</t>
  </si>
  <si>
    <t>Cruces de información financiera con las fuentes y comparaciones historicas</t>
  </si>
  <si>
    <t xml:space="preserve">Garantizar la fiabilidad y precisión de la inforación </t>
  </si>
  <si>
    <t>Validación de los informes contables de acuerdo a las normas vigentes</t>
  </si>
  <si>
    <t>Verificar el cumplimiento de las normatividad</t>
  </si>
  <si>
    <t>Asesoria con el ente regulador</t>
  </si>
  <si>
    <t>Cruces permanentes entra las áreas fuente y el sistema de información</t>
  </si>
  <si>
    <t>Lista de chequeo de revisión de cuentas por pagar</t>
  </si>
  <si>
    <t xml:space="preserve">Verificar los soportes de las transacciones </t>
  </si>
  <si>
    <t>Revisión posterior al archivar el comprobante de egreso</t>
  </si>
  <si>
    <t>Jefaturas de la Unidad Financiera</t>
  </si>
  <si>
    <t>Responsable de la Oficina de Planeación</t>
  </si>
  <si>
    <t>Jefe de la Unidad Financiera</t>
  </si>
  <si>
    <t>Auxiliar de apoyo</t>
  </si>
  <si>
    <t>Tesorero</t>
  </si>
  <si>
    <t>Estados Financieros Publicados</t>
  </si>
  <si>
    <t>Anteproyecto aprobado en el consejo directivo</t>
  </si>
  <si>
    <t>Actas de cruce de información</t>
  </si>
  <si>
    <t>Actas de revisión de normatividad</t>
  </si>
  <si>
    <t>Registro de la Lista de chequeo</t>
  </si>
  <si>
    <t>Facturación no acorde a  los servicios prestados por la entidad</t>
  </si>
  <si>
    <t>Registro erroneo de los servicios prestados por las entidades</t>
  </si>
  <si>
    <t>Fallas en la oportunidad y en el calidad del cargue de la información en el sistema por parte de las áreas involucradas</t>
  </si>
  <si>
    <t>Perdidad de recursos 
Incremento de glosas</t>
  </si>
  <si>
    <t>Fallas en la parametrización de los convenios o contratos en el sistema de información o en los manuales tarifarios contratados (modulo de admisiones y facturación)</t>
  </si>
  <si>
    <t>Perdida difinitiva de la cartera</t>
  </si>
  <si>
    <t>No recuperación del dinero por los servicios prestados</t>
  </si>
  <si>
    <t>Inoportunidad en los cruces  y conciliaciones contables y medicas de las cuentas</t>
  </si>
  <si>
    <t>Perdidad economicas para la entidad</t>
  </si>
  <si>
    <t>Inoportunidad en la radicación de las cuentas</t>
  </si>
  <si>
    <t>Registro de hechos economicos inoportunos y/o sin su respectivo soporte en los estados financieros</t>
  </si>
  <si>
    <t>Transacciones no registradas en tiempo real y sin soprtes</t>
  </si>
  <si>
    <t>Aplicación errada de los hechos economicos a registrar</t>
  </si>
  <si>
    <t>Informacion Financiera que no cumple con las caracteristicas fundamentales de revelancia y representacion fiel del hecho economico</t>
  </si>
  <si>
    <t>Demora en el registro del hecho economico en la fuente de información</t>
  </si>
  <si>
    <t>Seguimiento al Cronograma de cargue de la información y a los servicios prestados</t>
  </si>
  <si>
    <t>Verificar el cumplimiento del cargue de la información a las cuentas para generar la factura</t>
  </si>
  <si>
    <t>Solicitud directa a las fuentes de información para verificar el estado de cargue a las cuentas</t>
  </si>
  <si>
    <t>Preuditoria interna y auditoria de cuentas medicas</t>
  </si>
  <si>
    <t>Minimizar el riesgos de facturar cuentas al pagador no correspondiente</t>
  </si>
  <si>
    <t>Verificación de base de datos de pacientes egresados y autorizadois</t>
  </si>
  <si>
    <t>Radicación de las cuentas en el sistema de información (modulo de cartera)</t>
  </si>
  <si>
    <t>Verificar el estado de las cuentas por pagador</t>
  </si>
  <si>
    <t>Listas de chequeo por asegurador</t>
  </si>
  <si>
    <t>Seguimiento y radicación de cuentas</t>
  </si>
  <si>
    <t>minimizar el riesgo de preclusión de las cuentas por extemporalidad</t>
  </si>
  <si>
    <t>Conciliaciones entre facturación y cartera</t>
  </si>
  <si>
    <t>Cruces y  retroalimentación con las áreas fuente</t>
  </si>
  <si>
    <t xml:space="preserve">Generar información razonable </t>
  </si>
  <si>
    <t xml:space="preserve">Realizar correciones y ajustes </t>
  </si>
  <si>
    <t xml:space="preserve">Estados de cuenta con clientes y proveedores </t>
  </si>
  <si>
    <t>Verificar la oportunidad del registro de las transacciones y validar saldos</t>
  </si>
  <si>
    <t>Validación de los saldos de los contrratos</t>
  </si>
  <si>
    <t>Jefe de la Unidad de Cuentas Hospitalarias y Facturación</t>
  </si>
  <si>
    <t>Auditores, analistas,  revisores y facturadores de cuentas medicas</t>
  </si>
  <si>
    <t>Profesionales de Cartera</t>
  </si>
  <si>
    <t>Profesionales de Cartera, auditores financieros</t>
  </si>
  <si>
    <t>auxiliares de apoyo y
responsables de las áreas fuente</t>
  </si>
  <si>
    <t>Auxiliar de apoyo de contabilidad y cartera</t>
  </si>
  <si>
    <t>actas de reuniones</t>
  </si>
  <si>
    <t xml:space="preserve">Correol electronicos y oficios </t>
  </si>
  <si>
    <t>Registros en modulo de cartera, actas de cruces contaboles y conciliación medica</t>
  </si>
  <si>
    <t xml:space="preserve">Cronogramas y actas de reunión </t>
  </si>
  <si>
    <t>Preauditorias e informes</t>
  </si>
  <si>
    <t>Medicion Posterior de los activos con impactos negativos significativos (evaluo mal elaboradors- adquisiciones) en los estados financieros</t>
  </si>
  <si>
    <t>Mostar las cifras de los estados financieros a valores de mercado y en aplicación a una norma</t>
  </si>
  <si>
    <t>Validación erroneo del resultado  e impacto financiero de los activos</t>
  </si>
  <si>
    <t xml:space="preserve">Informacion Financiera que no cumple con las caracteristicas fundamentales de la reelevancia y representacion fiel de los hechos economicos. </t>
  </si>
  <si>
    <t>Imposibilidad de registrar la cadena presupuestal en SIFF Nación</t>
  </si>
  <si>
    <t>Deficiencias en la comunicación que impiden desarrollar operaciones financieras</t>
  </si>
  <si>
    <t xml:space="preserve">Fallas en la infraestructura de comunicación para acceder al sistemas SIIF Nación </t>
  </si>
  <si>
    <t>Ausencia de respaldo presupuestal a los contratos que requiere la entidad
Sanciones de los entes de control</t>
  </si>
  <si>
    <t>Inoportuna renovaciòn de los Tokens</t>
  </si>
  <si>
    <t>Desconocimiento de la normativadad, conceptualizaciòn, funcionalidad y ajustes realizados al sistema SIIF Nación</t>
  </si>
  <si>
    <t>Resultados e impactos financieros de los activos</t>
  </si>
  <si>
    <t>Decidir sobre el registro de la medición posterior al activo en los estados financieros</t>
  </si>
  <si>
    <t>Cnstancia de los estados financieros de la imposibilidad de realizar la medición posterior</t>
  </si>
  <si>
    <t>Planes de contingencia establecidos en la entidad</t>
  </si>
  <si>
    <t xml:space="preserve">Proveer canales alternos de comunicación ante eventuales fallas en la infraestructura de comunicación para acceder al sistemas SIIF Nación </t>
  </si>
  <si>
    <t>Conectar de manera remota a traves de dispositivos moviles al personal encargado de realizar el registro en el aplicativo SIIF</t>
  </si>
  <si>
    <t>Renovación operativa y funcional de los tokens</t>
  </si>
  <si>
    <t>Desarrollar procesos de contratación de adquisiciòn y renovaciòn de los tokens de acuerdo al plan de adquisiciones</t>
  </si>
  <si>
    <t>Adquisiciòn por caja menor de los tokens que se requieran de manera prioritaria</t>
  </si>
  <si>
    <t xml:space="preserve">Monitoreo de actualizaciòn de la normatividad y demas ajustes operativos de la plataforma SIIF Nación </t>
  </si>
  <si>
    <t>Revisiòn periodica de la pagina web del Ministerio de Hacienda y demas comunicaciones con el GSED enmateria financiera</t>
  </si>
  <si>
    <t>Comunicación con el asesor destinado con el ministerio para el Hospital Militar  con el fin de  garantizar la actualizaciòn permanente</t>
  </si>
  <si>
    <t>Unidad de Informatica</t>
  </si>
  <si>
    <t>Perfil de SIIF- Registrador de Usuario</t>
  </si>
  <si>
    <t>Jefe de Unidad Financiera</t>
  </si>
  <si>
    <t>Subdirector Financiero</t>
  </si>
  <si>
    <t>Actas de comité de sostenibilidad contable</t>
  </si>
  <si>
    <t>Activación de conectividad alterna</t>
  </si>
  <si>
    <t xml:space="preserve">Registros contractuales de los ultimas vigencias </t>
  </si>
  <si>
    <t>Correol electronicos, oficios, y captura de pantalla de la pagina web del ministerio</t>
  </si>
  <si>
    <t>Direccionamiento y/o Favorecimiento de contratación en favor de un tercero</t>
  </si>
  <si>
    <t xml:space="preserve">Favorecer a un oferente para contratación de bien y/o servicio </t>
  </si>
  <si>
    <t>Establecer especificaciones tecnicas propias de un proveedor en  los estudios de necesidad, excepto en contratacion directa</t>
  </si>
  <si>
    <t>1. Prestación de servicios sin cumplir requisitos realmente requeridos por la Entidad
2. Entrega de bienes sin cumplir requisitos realmente requeridos por la Entidad
3.Sanciones económicas y penales. 
4.Deterioro de la imagen institucional - desconfianza en el sistema de contratación.
5.Generar intervención de los órganos de control, de la Fiscalía, u otro ente.
6. Demandas a la entidad</t>
  </si>
  <si>
    <t>Establecer indicadores financieros que afecten la ejecuciòn del contrato</t>
  </si>
  <si>
    <t>Perdida de recursos asignados</t>
  </si>
  <si>
    <t xml:space="preserve">Ejecutar recursos sin priorización de acuerdo a los promedios de consumos realizados  </t>
  </si>
  <si>
    <t xml:space="preserve"> Sobreestimación de las metas, bienes, insumos hospitalarios requeridos y planificados </t>
  </si>
  <si>
    <t>1. Desgaste administrativos y financiero
2. Sanciones penales y disciplinarias</t>
  </si>
  <si>
    <t>Deficiencias en la supervisión y seguimiento de los contratos</t>
  </si>
  <si>
    <t>Desaparición y/o daño intencional  de bienes activos (muebles, equipos) y bienes de consumo e insumos hospitalarios</t>
  </si>
  <si>
    <t xml:space="preserve">Perdida o afectaciòn de los bienes activos, consumo e insumos hospitaralarios de la entidad </t>
  </si>
  <si>
    <t>Registro erróneo de bienes activos por menores o mayores características en el sistema DINAMICA</t>
  </si>
  <si>
    <t>1. Investigaciones disciplinarias penales, y administrativas  
2. Detrimento patrimonial.
3. Traumatismo en la prestación del servicio</t>
  </si>
  <si>
    <t xml:space="preserve">Equipos sin registro en el sistema de informacion </t>
  </si>
  <si>
    <t>Registro erroneo de bienes de consumo e insumos hospitalarios  en el sistema DINAMICA</t>
  </si>
  <si>
    <t>Comité Adquisiciones</t>
  </si>
  <si>
    <t>Revisar y recomendar los estudios y documentos previos de los procesos bajo las modalidades de contrataciòn</t>
  </si>
  <si>
    <t>Informar al área solicitante de la necesidad</t>
  </si>
  <si>
    <t>Estudio económico-sector</t>
  </si>
  <si>
    <t>Revisar los indicadores financieros de las empresas que se dedican a esa actividad</t>
  </si>
  <si>
    <t xml:space="preserve">Informar al comité economico </t>
  </si>
  <si>
    <t xml:space="preserve">Informe promedio de consumos </t>
  </si>
  <si>
    <t>Verificar el consumo de bienes  e insumos hospitalarios de los últimos periodos</t>
  </si>
  <si>
    <t>Informar al comité técnico, verificar estadísticas de consumo</t>
  </si>
  <si>
    <t>Informe de ejecución del contrato</t>
  </si>
  <si>
    <t xml:space="preserve">Verificar el cargue de los informes de supervisión en el SECOP </t>
  </si>
  <si>
    <t>Informar al supervisor del contrato</t>
  </si>
  <si>
    <t>Registro de ingreso de bienes activos</t>
  </si>
  <si>
    <t>: Verificar que la documentación tenga la información base necesaria</t>
  </si>
  <si>
    <t>Informar al supervisor del contrato para subsanar la informaciòn faltante</t>
  </si>
  <si>
    <t>Inventarios periódicos</t>
  </si>
  <si>
    <t xml:space="preserve">Verificar físicamente  con respecto a la información en Dinamica para validar el registro de los bienes </t>
  </si>
  <si>
    <t>1. Verificar los documentos en la carpeta fisica de ingreso del bien
2. Informar al jefe de servicio o unidad</t>
  </si>
  <si>
    <t>Registro de ingreso y salida de bienes de consumo e insumos hospitalarios</t>
  </si>
  <si>
    <t>Verificar que la documentación tenga la información base necesaria</t>
  </si>
  <si>
    <t xml:space="preserve">1. Informar al supervisor del contrato para subsanar la informaciòn faltante
2. Informar a los servicios/unidades/àreas </t>
  </si>
  <si>
    <t>Inventarios y Activos fijos - DINAMICA</t>
  </si>
  <si>
    <t>Jefe de área de compras</t>
  </si>
  <si>
    <t>Responsable del almacén</t>
  </si>
  <si>
    <t>Área de gestión contratos</t>
  </si>
  <si>
    <t>Auxiliar Administrativo</t>
  </si>
  <si>
    <t xml:space="preserve">Actas de comité, Planilla de asistencia </t>
  </si>
  <si>
    <t>Correo electronico y SECOP II</t>
  </si>
  <si>
    <t>Informe de consumo, cuenta fiscal</t>
  </si>
  <si>
    <t xml:space="preserve">Correo electrónico  </t>
  </si>
  <si>
    <t xml:space="preserve">Formato de Ingreso de bienes activos, Documentación  fisica soporte </t>
  </si>
  <si>
    <t>Actualización y depuración  de inventarios, Informes de inventarios</t>
  </si>
  <si>
    <t xml:space="preserve">Comprobante de entrada, Orden despacho, Solicitud de elementos </t>
  </si>
  <si>
    <t xml:space="preserve">Perdida  de documentos en custodia </t>
  </si>
  <si>
    <t>Extraviar  la información y su medio de soporte(Administrativos y Asistenciales)  que se encuentran almacenados en el Archivo de Gestión (Bioestadística) y Archivo central.</t>
  </si>
  <si>
    <t xml:space="preserve">Inadecuada administración de los documentos por parte del personal </t>
  </si>
  <si>
    <t>1. Incumplimiento normativo
2. Baja calificación en las evaluaciones realizadas por entes externos
3.Sanciones disciplinarias, administrativas y penales
4. Perdida del patrimonio documental 
5. Reprocesos</t>
  </si>
  <si>
    <t>Ausencia de controles para el prestamo de la documentación</t>
  </si>
  <si>
    <t>Deterioro de documentos archivados</t>
  </si>
  <si>
    <t>Daños en los documentos (Administrativos y Asistenciales) que se encuentran almacenados en el Archivo de Gestión y Archivo central.</t>
  </si>
  <si>
    <t>Inadecuada infraestructura (factores biológicos, físicos y químicos)</t>
  </si>
  <si>
    <t>1. Incumplimiento normativo
2. Sanciones disciplinarias, administrativas y pnales
3. Perdida del patrimonio documental 
4. Reprocesos</t>
  </si>
  <si>
    <t>Registrar el inventario de la documentación y verificación del número de identificación propio de cada paciente</t>
  </si>
  <si>
    <t>Verificar el número de identificación propio de cada paciente y registrar el inventario de la documentación administrativa en el sistema</t>
  </si>
  <si>
    <t>Verificar los inventarios de gestión en físico</t>
  </si>
  <si>
    <t xml:space="preserve">Registrar el préstamo de documentos </t>
  </si>
  <si>
    <t>Registrar el préstamo de documentos con la información base (Fecha, Área, Nombre del solicitante, Nombre del documento)</t>
  </si>
  <si>
    <t>Verificar los inventarios en DINAMICA</t>
  </si>
  <si>
    <t>Verificar las condiciones de los espacios físicos de los archivos</t>
  </si>
  <si>
    <t>Evaluar y verificar las condiciones ambientales de los espacios fisicos de los archivos (Gestión y Central)</t>
  </si>
  <si>
    <t>Solicitar  el apoyo de las brigadas de aseo y salud ocupacional</t>
  </si>
  <si>
    <t>Auxiliares de Apoyo</t>
  </si>
  <si>
    <t>Lista de chequeo de historias clinicas 
Reporte de inventarios DINAMICA</t>
  </si>
  <si>
    <t>Libro de préstamos  
 Vale de préstamo de historias clínicas Sistema Dinamica</t>
  </si>
  <si>
    <t>Solicitudes de Apoyo
Informes 
Resgistro de condiciones ambiental</t>
  </si>
  <si>
    <t>Uso indebido de la información confidencial</t>
  </si>
  <si>
    <t xml:space="preserve">Uso, manipulación, adulteración y divulgación de la información  y su medio de soporte </t>
  </si>
  <si>
    <t>Fallas en el compromiso de confidencialidad y reserva de la información por parte del personal</t>
  </si>
  <si>
    <t xml:space="preserve">Perdida y/o extravió de la correspondencia </t>
  </si>
  <si>
    <t>Perdida de la correspondencia que ingresa y sale de la entidad</t>
  </si>
  <si>
    <t>Incumplimiento al procedimiento establecido para el control de la correspondencia recibida y enviada</t>
  </si>
  <si>
    <t>1. Sanciones disciplinarias, administrativas y penales
2. Demora en la respuesta a solicitudes de información por usuarios internos y externos. 
3. Perdida del patrimonio documental 
4. Reprocesos
5. Mala imagen del área de correspondencia</t>
  </si>
  <si>
    <t>No diligenciamiento de las plantillas de control de envio de la docuemntación externa</t>
  </si>
  <si>
    <t>Fallas en la radicación a terceros.</t>
  </si>
  <si>
    <t>Verificar los requisitos para la consulta de la documentación</t>
  </si>
  <si>
    <t>Verificar la información base (Fecha, Nombre del solicitante, Nombre del documento)  para el prestamo de documentos</t>
  </si>
  <si>
    <t xml:space="preserve">Verificar los vales de prestamo y Solicitar autorización </t>
  </si>
  <si>
    <t>Planillas de control de la correspondencia recibida a las áreas</t>
  </si>
  <si>
    <t>Verificar la información (Correo electrónico, Dirección, Fecha y Hora, Nombre de quien recibe) para dar trámite al documento.</t>
  </si>
  <si>
    <t>Solicitar al área solicitante de la radicación subsanar la información</t>
  </si>
  <si>
    <t>Planilla de control de la correspondencia enviada por correo certificado o correo a la mano (Estafeta externa)</t>
  </si>
  <si>
    <t>Verificar la información (Correo electrónico, Dirección, Fecha y Hora, Nombre de quien recibe) para ser enviada a su destino.</t>
  </si>
  <si>
    <t>Registro de la documentación llegada por medio del sistema de gestión documental (Control Doc)</t>
  </si>
  <si>
    <t>Control Doc</t>
  </si>
  <si>
    <t>Dinamica Gerencial - Modulo Registro y Correspondencia</t>
  </si>
  <si>
    <t>Estafeta externo</t>
  </si>
  <si>
    <t>Formato Solicitud de copias de historia clinica
Libro fisico de consulta y prestamos de documentos</t>
  </si>
  <si>
    <t>Registro Control Doc (ID)</t>
  </si>
  <si>
    <t>Planillas de correspondencia - entrega de documentación</t>
  </si>
  <si>
    <t>Aumento de ambientes de trabajo inseguros</t>
  </si>
  <si>
    <t>Condiciones en el ambiente de trabajo con presencia de algún riesgo ocupacional que pueden materializarse en un accidente de trabajo</t>
  </si>
  <si>
    <t xml:space="preserve">Falta de intervención a los controles de los riesgos  en los ambientes de trabajo </t>
  </si>
  <si>
    <t>Accidentes e incidentes de trabajo y enfermedades laborales</t>
  </si>
  <si>
    <t xml:space="preserve">Falta de verificación de los riesgos ocupacionales </t>
  </si>
  <si>
    <t>Nombramiento y/o contratación del personal humano sin el cumplimiento de los requisitos legales y/o propios del empleo</t>
  </si>
  <si>
    <t xml:space="preserve">Suministrar el personal requerido de manera subjetiva y tardía </t>
  </si>
  <si>
    <t xml:space="preserve">Falencias en la verificación de los requisitos del empleo y/o contrato en comparación con las características de los aspirantes </t>
  </si>
  <si>
    <t xml:space="preserve">Sanciones legales para el nominador </t>
  </si>
  <si>
    <t>Falsificación de documentos que acrediten la idoneidad del funcionario y/o contratista</t>
  </si>
  <si>
    <t xml:space="preserve">Personal ubicado y  reubicado sin tener en cuenta el perfil, competencias del cargo y/o su condición médica </t>
  </si>
  <si>
    <t>Traslado a personal del sitio de trabajo inicial sin verificar las aptitudes y/o condiciones de salud para desempeñar el empleo</t>
  </si>
  <si>
    <t>Ausencia de verificación de las competencias, funciones de los cargos y/o condiciones de salud del personal</t>
  </si>
  <si>
    <t>Reprocesos administrativos
Sanciones legales</t>
  </si>
  <si>
    <t>Plan de acción generado a partir de la matriz de identificación del peligro y valoración del riesgo</t>
  </si>
  <si>
    <t xml:space="preserve">Identificar de manera general los peligros de la institución y valorar los riesgos que se presentan en las áreas de trabajo para establecer controles </t>
  </si>
  <si>
    <t xml:space="preserve">Valorar de manera parcial los riesgos mas relevantes para priorizar su intervención </t>
  </si>
  <si>
    <t>Inspección de condiciones de seguridad en las áreas</t>
  </si>
  <si>
    <t>Identificar las condiciones de riesgos en las diferentes áreas y generar las recomendaciones pertinentes para mitigar los riesgos</t>
  </si>
  <si>
    <t>Reporte de actos y condiciones inseguras</t>
  </si>
  <si>
    <t xml:space="preserve">Verificación de perfil y competencias de los aspirantes y/o contratistas </t>
  </si>
  <si>
    <t>Determinar el cumplimiento de los requisitos legales para acceder a un empleo publico y/o contrato</t>
  </si>
  <si>
    <t>Requerir al aspirante para subsanar documentación</t>
  </si>
  <si>
    <t>Verificación de títulos y referencias</t>
  </si>
  <si>
    <t>Indagar sobre la documentación allegada por los aspirantes a vincularse con la entidad</t>
  </si>
  <si>
    <t>Solicitar información mediante derecho de petición</t>
  </si>
  <si>
    <t>Verificación de requisitos para el movimiento interno de personal</t>
  </si>
  <si>
    <t xml:space="preserve">Establecer el cumplimiento de las condiciones necesarias para realizar el traslado de acuerdo a los requisitos del empleo, necesidades de servicios y/o condiciones medicas de los aspirantes </t>
  </si>
  <si>
    <t>Suspender el movimiento interno hasta que se pueda realizar la verificación correspondiente</t>
  </si>
  <si>
    <t>Encargado del área de Seguridad y Salud en el trabajo</t>
  </si>
  <si>
    <t xml:space="preserve">Encargada del área de administración de personal </t>
  </si>
  <si>
    <t>Oficio de Notificación de movimiento interno</t>
  </si>
  <si>
    <t>Formato de chequeo de verificación  de los requisitos legales para acceder a un empleo publico y/o contrato</t>
  </si>
  <si>
    <t xml:space="preserve">Certificado de estudio de seguridad;  Correo Electrónico y/o petición para verificar títulos;
Certificados de antecedentes organismos de control </t>
  </si>
  <si>
    <t>Registros del plan de acción;  Matriz de identificación del peligro y valoración del riesgo</t>
  </si>
  <si>
    <t xml:space="preserve">Informe de inspecciones </t>
  </si>
  <si>
    <t xml:space="preserve">Liquidar de manera equivocada emolumentos salariales, prestacionales y mesadas pensionales  </t>
  </si>
  <si>
    <t xml:space="preserve">Liquidación de manera incorrecta generando mayores o menores valores en los pagos requeridos </t>
  </si>
  <si>
    <t xml:space="preserve">Falta de control en las novedades de personal </t>
  </si>
  <si>
    <t>Perdida de recursos
Sanciones Disciplinarias, fiscales 
Reclamaciones de los usuarios</t>
  </si>
  <si>
    <t>Fallas en el sistema de Información</t>
  </si>
  <si>
    <t>Falta de verificación de supervivencia del personal pensionado.</t>
  </si>
  <si>
    <t>Incumplimiento a la ejecución del Plan Institucional de Capacitación y Bienestar</t>
  </si>
  <si>
    <t>Omitir actividades para la ejecución del plan de capacitación y bienestar puede afectar el desarrollo y mejoramiento de la calidad de vida de los empleados impidiendo el crecimiento personal y profesional</t>
  </si>
  <si>
    <t>Ausencia de identificación de necesidades de capacitación y/o bienestar de las diferentes áreas del Hospital</t>
  </si>
  <si>
    <t xml:space="preserve">Desmotivación de los funcionarios.
No desarrollo de competencias aplicadas o necesarias en los cargos. </t>
  </si>
  <si>
    <t>Ausencia de seguimiento a las actividades de capacitación y bienestar</t>
  </si>
  <si>
    <t>Revisión de las novedades relacionadas con la nomina y prestaciones sociales</t>
  </si>
  <si>
    <t>Verificar que el ingreso de la novedad corresponda al usuario indicado y que cumpla las características propias de la novedad</t>
  </si>
  <si>
    <t>Solicitar soportes de la novedades que presentes inconsistencias o información insuficiente</t>
  </si>
  <si>
    <t xml:space="preserve">Revisión de registros de liquidación de nómina </t>
  </si>
  <si>
    <t xml:space="preserve">Verificar que la liquidación corresponda a las novedades presentadas en el periodo </t>
  </si>
  <si>
    <t xml:space="preserve">Verificar el registro de la novedad en los aplicativos </t>
  </si>
  <si>
    <t>Certificado de supervivencia de personal pensionado</t>
  </si>
  <si>
    <t>Verificar la supervivencia del personal pensionado a través de la información generada por el Ministerio de Salud y Protección social</t>
  </si>
  <si>
    <t>Realizar nueva consulta de supervivencia a las entidades pertinentes</t>
  </si>
  <si>
    <t xml:space="preserve">Verificación de las necesidades de las diferentes subdirecciones para la estructuración del plan de capacitación y bienestar </t>
  </si>
  <si>
    <t xml:space="preserve">Identificar las necesidades y definir las actividades a desarrollar para capacitación y bienestar del personal </t>
  </si>
  <si>
    <t>Solicitar y actualizar la información</t>
  </si>
  <si>
    <t>Revisión del cronograma de actividades del plan de capacitación y bienestar</t>
  </si>
  <si>
    <t>Verificar de manera continua el cumplimiento a las actividades programadas dentro del plan de capacitación y bienestar</t>
  </si>
  <si>
    <t>Verificar y actualizar la información</t>
  </si>
  <si>
    <t>Aplicativo Piscis cliente neo
Core FTP LE (Ministerio de salud y protección social)</t>
  </si>
  <si>
    <t>Encargado del área de Nómina y prestaciones sociales</t>
  </si>
  <si>
    <t>Responsable Área de capacitación y bienestar</t>
  </si>
  <si>
    <t>Registros de novedades validados</t>
  </si>
  <si>
    <t>Planilla pila
Cruce de ingreso base de cotización
Correo Electrónico con las novedades que presentaron inconsistencias
Resoluciones</t>
  </si>
  <si>
    <t>Formato TXT
Formato Excel con los registros de supervivencia (Ministerio de salud y protección social)</t>
  </si>
  <si>
    <t>Formato de necesidades de capacitación y bienestar</t>
  </si>
  <si>
    <t xml:space="preserve">Cronograma de cumplimiento de actividades de capacitación y bienestar  </t>
  </si>
  <si>
    <t xml:space="preserve">Interrupción  permanente y/o parcial  de la prestación  servicios asistenciales básicos </t>
  </si>
  <si>
    <t>Cesación de la prestación del servicio por desastre natural o antropico</t>
  </si>
  <si>
    <t xml:space="preserve">Desarrollar actividades y/o adecuaciones a las instalaciones sin tener en cuenta las recomendaciones emitidas por entes de gestión del riesgo </t>
  </si>
  <si>
    <t xml:space="preserve">Perdida vidas humanas y bienes materiales de alto valor
Daño reputacional
Responsabilidades legales </t>
  </si>
  <si>
    <t>Desconocimiento de la función y el rol del personal designado frente a emergencias o desastres por falta de adherencia</t>
  </si>
  <si>
    <t>Violación de la reserva legal del proceso disciplinario</t>
  </si>
  <si>
    <t>No conservar la confidencialidad del proceso disciplinarios en la etapa de instrucción</t>
  </si>
  <si>
    <t>Comunicación indebida de los funcionarios a cargo de las investigaciones</t>
  </si>
  <si>
    <t>Alteraciones en el material probatorio</t>
  </si>
  <si>
    <t>Perdida o hurto de expedientes</t>
  </si>
  <si>
    <t xml:space="preserve">Prescripción de la acción disciplinaria </t>
  </si>
  <si>
    <t>Perdida de la competencia por parte de la administración para ejercer la acción disciplinaria por el paso del tiempo</t>
  </si>
  <si>
    <t>Falta de verificación de los términos procesales</t>
  </si>
  <si>
    <t>Declaratoria de Prescripción del proceso</t>
  </si>
  <si>
    <t>Evaluaciones e inspecciones de acuerdo al indice de seguridad hospitalaria</t>
  </si>
  <si>
    <t xml:space="preserve">Mediciones de lo estructural, no estructural y funcional relacionado con la seguridad de la locaciones, dotaciòn y adherencia </t>
  </si>
  <si>
    <t>Informar al comite de gestiòn del riesgos sobre los avances y recomendaciones pertinentes</t>
  </si>
  <si>
    <t>Tablero de control del nivel de conocimiento del rol y función de los servicios asistenciales basicos</t>
  </si>
  <si>
    <t>Determinar el grado de conocimiento de los trabajadores de  los servicios basicos que deben garantizar la continuidad del servicio pos desastre o emergencia</t>
  </si>
  <si>
    <t>Informes al comité de gestiòn del riesgo</t>
  </si>
  <si>
    <t xml:space="preserve">Acuerdos de confidencialidad </t>
  </si>
  <si>
    <t>Acuerdos de confidencialidad  suscritos por los funcionarios a cargo de los procesos disciplinarios</t>
  </si>
  <si>
    <t>Socialización de sanciones disciplinarias</t>
  </si>
  <si>
    <t>Inventario de expedientes</t>
  </si>
  <si>
    <t xml:space="preserve">Controlar el reparto de los expedientes </t>
  </si>
  <si>
    <t>Revisiones periódicas del estado de los expedientes</t>
  </si>
  <si>
    <t>Base de datos de control de procesos disciplinarios</t>
  </si>
  <si>
    <t>Verificar el cumplimiento de los términos procesales</t>
  </si>
  <si>
    <t xml:space="preserve">Revisión de Libros radicadores </t>
  </si>
  <si>
    <t>Responsable de gestión del riesgo y desastres</t>
  </si>
  <si>
    <t>Jefe del Oficina de Control Disciplinario Interno</t>
  </si>
  <si>
    <t>Jefe del Oficina de Control Disciplinario Interno y abogados sustanciadores</t>
  </si>
  <si>
    <t xml:space="preserve">Tablero de control
listados de asistencia </t>
  </si>
  <si>
    <t>Acuerdos de confidencialidad suscritos</t>
  </si>
  <si>
    <t>Correos electrónicos
Planilla de control de asignación de expedientes</t>
  </si>
  <si>
    <t>Base de datos actualizada</t>
  </si>
  <si>
    <t>Definir lineamientos que esten en contravia de la normatividad vigente en integridad, etica, bioetica y humanización</t>
  </si>
  <si>
    <t>Lineamientos integridad, etica, bioetica y humanización institucionales que no den respuesta a los requerimientos normativos</t>
  </si>
  <si>
    <t>Desactualización de la normatividad vigente en integridad, etica, bioetica y humanización</t>
  </si>
  <si>
    <t>Retrasos y complicaciones para el cumplimiento de diferentes directrices y lineamientos normativos en integridad, etica, bioetica y humanización</t>
  </si>
  <si>
    <t xml:space="preserve">Falta de articulación entre los grupos de trabajo de la entidad </t>
  </si>
  <si>
    <t>Normograma</t>
  </si>
  <si>
    <t>Revisar la normatividad vigente  en integridad, etica, bioetica y humanización para evitar el incumplimiento de lineamientos en la institución</t>
  </si>
  <si>
    <t>Registrar las mesas de trabajo</t>
  </si>
  <si>
    <t>Identificar y coordinar con las diferentes  grupos de trabajo que deben  participar en las reuniones para definir y/o actualizar e implementar lineamientos en integridad, etica, bioetica y humanización</t>
  </si>
  <si>
    <t xml:space="preserve">Convocar nuevas mesas de trabajo </t>
  </si>
  <si>
    <t>SMSM - Área gestión etica y buen gobierno</t>
  </si>
  <si>
    <t>Formato de chequeo de verificación</t>
  </si>
  <si>
    <t>Actas de mesas de trabajo</t>
  </si>
  <si>
    <t xml:space="preserve">Responder extemporaneamente demandas, requermientos y acciones constitucionales ante los entes judiciales   </t>
  </si>
  <si>
    <t>Gestionar las demandas requerimientos y acciones constitucionales fuera de los términos</t>
  </si>
  <si>
    <t>Ausencia de control sobre los terminos perentorios</t>
  </si>
  <si>
    <t xml:space="preserve">1. Fallos judiciales en contra del Hospital </t>
  </si>
  <si>
    <t xml:space="preserve">Indebida y/o tardia notificación judicial </t>
  </si>
  <si>
    <t>Matriz de control de terminos de cada una de las actuaciones judiciales</t>
  </si>
  <si>
    <t xml:space="preserve">Verificar y controlar la gestión de cada proceso dentro de los términos y sus actividades. </t>
  </si>
  <si>
    <t xml:space="preserve">Revisión de notificación judicial </t>
  </si>
  <si>
    <t>Verificar el contenido de la notificación judicial, que sea en debida forma y con los respectivos anexos</t>
  </si>
  <si>
    <t xml:space="preserve">Notificar al Ente Judicial para subsanar la información </t>
  </si>
  <si>
    <t>Auxiliar Apoyo</t>
  </si>
  <si>
    <t>Abogados</t>
  </si>
  <si>
    <t xml:space="preserve">1.Informe de gestión judicial
2. Expedientes físicos de los procesos judiciales </t>
  </si>
  <si>
    <t xml:space="preserve">1. Libro de registro 
2. Expedientes en físico </t>
  </si>
  <si>
    <t>Modificaciones injustificadas del plan de acción</t>
  </si>
  <si>
    <t>Generar cambios injustificados para los planes, indicadores y tareas</t>
  </si>
  <si>
    <t>Ajustes sin justificación técnica en la formulación del plan de acción</t>
  </si>
  <si>
    <t>1.  Incumplimiento en las metas y compromisos institucionales
2. Baja calificación en las evaluaciones realizadas por entes externos
3.Reprocesos
4. Retrasos en compromisos institucionales</t>
  </si>
  <si>
    <t xml:space="preserve">Dificultad de articulación entre los grupos de trabajo de la entidad </t>
  </si>
  <si>
    <t>Planes institucionales que no cumplen con los estándares  normativos</t>
  </si>
  <si>
    <t>Omitir lineamientos  para la estructuración de planes  del Decreto 612 que no cumplan con los estándares normativos vigentes.</t>
  </si>
  <si>
    <t>Desconocimiento de los estandares normativos que regulan los planes</t>
  </si>
  <si>
    <t>1. Incumplimiento normativo
2. Baja calificación en las evaluaciones realizadas por entes externos
3. Documentos inadecuados para consulta y gestión de los procesos.
4. Reprocesos</t>
  </si>
  <si>
    <t>Verificar la estructura y composición de las actividades de gestión (Indicadores y Tareas) que conforman el Plan de Acción Institucional</t>
  </si>
  <si>
    <t xml:space="preserve">Analizar y realizar el seguimiento de la composición, evaluación y resultados de  actividades (Tareas) y mediciones (Indicadores) de gestión en la Reunión Análisis Estratégico </t>
  </si>
  <si>
    <t xml:space="preserve">Realizar el seguimiento de los planes, tareas e indicadores </t>
  </si>
  <si>
    <t xml:space="preserve">Verificar  el seguimiento de los planes, tareas, indicadores y metas institucionales que conforman el plan de acción </t>
  </si>
  <si>
    <t>Matriz de Requisitos de Planes</t>
  </si>
  <si>
    <t>Verificar y revisar los estándares normativos vigentes para el desarrollo de planes.</t>
  </si>
  <si>
    <t xml:space="preserve">Valorar los estándares  normativos </t>
  </si>
  <si>
    <t>Verificar la elaboración y/o actualización de planes institucionales</t>
  </si>
  <si>
    <t>Comprobar la alineación metodológica  con los estándares normativos para la definición y/o actualización de planes institucionales junto con el responsable del plan</t>
  </si>
  <si>
    <t>Requerir al responsable del plan subsanar el contenido</t>
  </si>
  <si>
    <t xml:space="preserve">Identificación de necesidades de bienes y/o servicios sin soporte objetivo para su correspondiente adquisición  </t>
  </si>
  <si>
    <t xml:space="preserve">Solicitar la adquisición de bienes y servicios con deficiencias en la justificación y los soportes  </t>
  </si>
  <si>
    <t xml:space="preserve">Sobrestimación de cantidades y recursos financieros </t>
  </si>
  <si>
    <t>1. Demoras en la prestación del servicio de salud
2. Insatisfacción de los usuarios por la falta de la prestación del servicio de salud
3. Reprocesos
4. Incumplimiento  de metas</t>
  </si>
  <si>
    <t xml:space="preserve">Ausencia de conocimiento por parte de los subdirectores de las necesidades identificadas </t>
  </si>
  <si>
    <t>Entrega inoportuna  y errónea de la necesidades de las diferentes unidades, áreas y servicios</t>
  </si>
  <si>
    <t>Revisar que los estándares  técnicos se encuentren justificados</t>
  </si>
  <si>
    <t>Verificar la justificación de la necesidad teniendo en cuenta el historico de consumos y de atención.</t>
  </si>
  <si>
    <t xml:space="preserve">Requerimientos de adquisición de bienes y/o servicios </t>
  </si>
  <si>
    <t>Verificar que los requerimientos para la adquisición de bienes y/o servicios se encuentren aprobados por los subdirectores.</t>
  </si>
  <si>
    <t>Solicitar y actualizar la información con el visto bueno del subdirector</t>
  </si>
  <si>
    <t>Verificar el cumplimiento del cronograma y estándares  técnicos</t>
  </si>
  <si>
    <t>Validar los tiempos de entrega de la necesidad y verificar la justificación de las necesidades a adquirir</t>
  </si>
  <si>
    <t>Generar reporte a los subidrectores y/o dirección general</t>
  </si>
  <si>
    <t>Jefe de la Oficina de Planeación</t>
  </si>
  <si>
    <t>Profesional de Planeación</t>
  </si>
  <si>
    <t>1. Controles de Cambio
2. Actas de Reunión</t>
  </si>
  <si>
    <t>1. Actas de Reunión
2. Reportes Suite Visión
3. Correo Electrónico</t>
  </si>
  <si>
    <t>1. Lista de Chequeo</t>
  </si>
  <si>
    <t>1. Actas de Reunión</t>
  </si>
  <si>
    <t>1. Oficios 
2. Correo Electrónico
3. Actas de Reunión</t>
  </si>
  <si>
    <t>Proyectos de inversión que no cumplan con los estándares  metodológicos  para su formulación</t>
  </si>
  <si>
    <t>Omitir lineamientos para la formulación de proyectos de inversión que no cumplan con los estándares metodológicos vigentes</t>
  </si>
  <si>
    <t>Inadecuada identificación de las necesidades y alternativas de solución para el desarrollo de los proyectos</t>
  </si>
  <si>
    <t>1. Incumplimiento de estandares 
2. Perdida de recursos
3. Incumplimiento de objetivos institucionales
4. Reprocesos</t>
  </si>
  <si>
    <t>Desconocimiento de los estandares metodologicos  para la formulación de proyectos</t>
  </si>
  <si>
    <t xml:space="preserve">Elaborar documentos oficiales o registrar en aplicativos información con datos diferentes a los soportes </t>
  </si>
  <si>
    <t>Estructurar documentos oficiales (Informe de gestión y seguimiento del plan de acción) y registrar en herramientas informaticas  datos inexactos que no correspondan a los datos reales de la gestión</t>
  </si>
  <si>
    <t>Demoras en la entrega de la información de las diferentes unidades, áreas y servicios</t>
  </si>
  <si>
    <t>1. Afectación de la imagen institucional
2. Desconfianza por parte de la ciudadanía, entes de control e interesados
3. Sanciones
4.  Reprocesos
5. Incumplimiento de metas</t>
  </si>
  <si>
    <t xml:space="preserve">Ausencia de verificación de la información con los aplicativos </t>
  </si>
  <si>
    <t>No implantación de  los sistemas de gestión de calidad en la organización.
Planificación  de los procesos.</t>
  </si>
  <si>
    <t>Desarticulación de las partes interesadas en el desarrollo e implemetnacion del sistema de gestión basado en procesos</t>
  </si>
  <si>
    <t>Falta de respaldo de gerencia en la toma de decisiones</t>
  </si>
  <si>
    <t xml:space="preserve">1. Ineficiencia e ineficacia y falla en los controles que garantizen la operación de la organización
2. Perdida de certificaciones 
3. Sanciones Administrativas y financieras por incumplimientos normativos </t>
  </si>
  <si>
    <t>No contar con el recurso humano entrenado y con competencias</t>
  </si>
  <si>
    <t>Falta de  articulación con el  sistema de  gestión de calidad.</t>
  </si>
  <si>
    <t xml:space="preserve">Realizar la verificación de las iniciativas </t>
  </si>
  <si>
    <t>Evaluar las iniciativas de proyectos  según su impacto y aplicación con el fin de analizar la información soporte (Necesidad, alternativas de solución).</t>
  </si>
  <si>
    <t>Requerir al responsable del plan subsanar el contenido de la información y los soportes</t>
  </si>
  <si>
    <t>Matriz de Requisitos para formulación de proyectos</t>
  </si>
  <si>
    <t>Verificar y revisar los estándares y metodologías vigentes para la formulación y ejecución de proyectos.</t>
  </si>
  <si>
    <t xml:space="preserve">Generar las solicitudes, reportes y notificaciones </t>
  </si>
  <si>
    <t xml:space="preserve">Generar reportes y notificaciones a las unidades, áreas y servicios para solicitar información clara con la debida oportunidad </t>
  </si>
  <si>
    <t>Verificación de la información oficial registrada en el aplicativo</t>
  </si>
  <si>
    <t xml:space="preserve">Verificar y revisar la información registrada en la Suite Visión </t>
  </si>
  <si>
    <t>Reporte automatico del aplicativo</t>
  </si>
  <si>
    <t>Revisar el sistema de gestión por procesos</t>
  </si>
  <si>
    <t>Verificar el estado de los docuemntos , nivel de implementación y las acciones de mejora generadas en el sistema de gestión y socializar los resultados en la inducción y re-inducción del personal asistencial y administrativo</t>
  </si>
  <si>
    <t xml:space="preserve">Solicitar a las áreas las acciones correctivas </t>
  </si>
  <si>
    <t>Definición de los requisitos del personal desde el estudio de conveniencia y oportunidad</t>
  </si>
  <si>
    <t>Establecer  las necesidades del personal de acuerdo a los perfiles y actividades asignadas</t>
  </si>
  <si>
    <t>Fortalecer la capacitación en las diferentes áreas</t>
  </si>
  <si>
    <t>Realizar las capacitaciones o socializaciones en las diferentes áreas de la entidad</t>
  </si>
  <si>
    <t xml:space="preserve">Realizar el acompñamiento metoidologico a las áreas </t>
  </si>
  <si>
    <t>Suite Visión y Correo Electronico</t>
  </si>
  <si>
    <t>Profesional de Calidad</t>
  </si>
  <si>
    <t>Responsable área de calidad</t>
  </si>
  <si>
    <t>Profesional de calidad</t>
  </si>
  <si>
    <t>1. Correo Electrónico
2. Actas de Reunión</t>
  </si>
  <si>
    <t>1. Oficios
2. Reportes Suite Visión
3. Correos Electrónicos</t>
  </si>
  <si>
    <t>1. Reportes suite visión</t>
  </si>
  <si>
    <t>1. Listado Maestro Inventario INGES
2. Formato Solicitud de elaboración, modificación o anulación de documentos</t>
  </si>
  <si>
    <t>1. Estudio de conveniencia y oportunidad
2. Informe de supervición
3. Plan operativo</t>
  </si>
  <si>
    <t>1. Actas de reunión (Capacitaciones)
2. Listados de assitencia</t>
  </si>
  <si>
    <t>No identificación y  reporte  de los eventos adversos y acciones inseguras.</t>
  </si>
  <si>
    <t>No identificación de conmdiciones inseguras en la prestación del servicio</t>
  </si>
  <si>
    <t xml:space="preserve">Baja adherencia del personal al procedimiento de reporte de  posibles eventos adverso.
</t>
  </si>
  <si>
    <t>1.  Afectación de la imagen institucional por atenciones inseguras que generan percepción desfavorable de la organización  a los usuarios y los entes reguladores. 
2. Sanciones Jurídicas frente a incumplimientos de los requisitos normativos frente a los  entes de control que generan multas y demandas.</t>
  </si>
  <si>
    <t>No contar con el personal suficiente y capacitado</t>
  </si>
  <si>
    <t>Realizar las rondas de seguridad y aplicación de herrmainetas de evlaución de adeherencia</t>
  </si>
  <si>
    <t>Aplicar las herramientas metodologicas para fortalecer la cultura de seguridad en las diferentes áreas</t>
  </si>
  <si>
    <t>Retroalimentar al personal en las diferentes áreas</t>
  </si>
  <si>
    <t>Realizar capacitación en los paquetes instruccionales al personal asistencial y administrativo</t>
  </si>
  <si>
    <t>Evaluación de los resultados de la gestión segura en el Comité de seguridad del paciente</t>
  </si>
  <si>
    <t>Solicitar al servicio las acciones de mejora</t>
  </si>
  <si>
    <t>1. Formato herramienta de recolleción
Informe de rondas de seguridad</t>
  </si>
  <si>
    <t>1. Mnatrices de información
2. Actas de reunión (Eventos adversos)
3. Informe eventos adversos</t>
  </si>
  <si>
    <t>Seleccionar los procesos a evaluar sin tener encuenta los de mayor exposición al riesgo.</t>
  </si>
  <si>
    <t>Falta de analisis del resultado del monitoreo del Mapa de Riesgos Institucional.</t>
  </si>
  <si>
    <t>Falta de conocimiento de la matriz de riesgos a nivel institucional.</t>
  </si>
  <si>
    <t>Evaluaciones sin impacto en la prevención de riesgos.</t>
  </si>
  <si>
    <t>Ausencia de verificación del historico de las auditorias</t>
  </si>
  <si>
    <t xml:space="preserve">Brindar inadecuada asesoria en la metodología, para la administración de riesgos. </t>
  </si>
  <si>
    <t xml:space="preserve">Inoportuna e insuficiente asesoria en la metodologia, herramientas y tecnicas para la administración de riesgos. </t>
  </si>
  <si>
    <t>Auditores desactualizados en gestión de riesgos.</t>
  </si>
  <si>
    <t xml:space="preserve">Deficiencia en la identificación valoración y manejo del riesgo. </t>
  </si>
  <si>
    <t>Desconocimiento de la Organización  en los principios  fundamentales del Control Interno</t>
  </si>
  <si>
    <t>Ausencia de conocimiento de la Entidad acerca del Autocontrol, Autogestión y Autorrregulación.</t>
  </si>
  <si>
    <t>Falta de capacitación del Equipo auditor para dar asesoria sobre temas relevantes para la Entidad</t>
  </si>
  <si>
    <t>Pérdida de credibilidad y confianza de la Oficina Control Interno</t>
  </si>
  <si>
    <t>Falta de actividades de sensibilización SCI que integren al personal de la Entidad.</t>
  </si>
  <si>
    <t>Remitir a Entes Externos información sin soportes  y de manera extermporanea</t>
  </si>
  <si>
    <t>Enviar  información a Entes Externos que no cumpla con los requisitos y/o solictudes manifestadas</t>
  </si>
  <si>
    <t>Ausencia de verificaciòn de soportes remitidos por las Áreas y/o Servicios</t>
  </si>
  <si>
    <t>Incremento de hallazgos por parte de los Entes de Control</t>
  </si>
  <si>
    <t>Hallazgos sin soportes</t>
  </si>
  <si>
    <t xml:space="preserve">Inexistencia de información que sustente y respalde el hallazgo de auditoría. </t>
  </si>
  <si>
    <t>Analisis e interpretación errada de los soportes o ausencia de los mismos.</t>
  </si>
  <si>
    <t>Pérdida de credibilidad y confianza en la  Oficina
Sanciones</t>
  </si>
  <si>
    <t>Eliminación de hallazgos para favorecer al auditado</t>
  </si>
  <si>
    <t>No incluir en la Evaluación la totalidad de las irregularidades observadas en la auditoría realizada, recibiendo como contraprestación dadivas o amenazas</t>
  </si>
  <si>
    <t>Personal con falta de ética.</t>
  </si>
  <si>
    <t>Perdida de credibilidad
Sanciones
Conflictos Legales</t>
  </si>
  <si>
    <t>Conflicto de intereses</t>
  </si>
  <si>
    <t>Seguimiento a la ejecución del Plan Anual de Auditorias</t>
  </si>
  <si>
    <t>Monitorear la ejecución de las auditorias realizadas de acuerdo al cronograma previamente establecido en el plan aprobado</t>
  </si>
  <si>
    <t>Seguimiento a la ejecución del plan Anual de Auditorias</t>
  </si>
  <si>
    <t>Auditores capacitados en la metodologia del riesgo.</t>
  </si>
  <si>
    <t>Capacitación anual en gestión de riesgos</t>
  </si>
  <si>
    <t>Programar anualmente las capacitaciones  para el personal de la Oficina de Control Interno</t>
  </si>
  <si>
    <t>Definir las tematicas de fortalecimiento  y de actualización dentro del plan de capacitaciones</t>
  </si>
  <si>
    <t xml:space="preserve">Realizar capacitaciones internas </t>
  </si>
  <si>
    <t xml:space="preserve">Realizar actividades de socialización relacionadas con el SCI </t>
  </si>
  <si>
    <t>Establecer las principales acciones para socializar el SCI de manera que genere aprendizaje.</t>
  </si>
  <si>
    <t xml:space="preserve">Investigar sobre actividades de socialización de manera ludica </t>
  </si>
  <si>
    <t>Consolidación y revisión de las respuestas y soportes para la entrega a los Entes de Control</t>
  </si>
  <si>
    <t>Reunir la información remitida por las Áreas y/o Servicios de acuerdo a las solicitudes de los Entes Extenos</t>
  </si>
  <si>
    <t>Informar a la Dirección General el incumplimiento en la entrega de la información requerida</t>
  </si>
  <si>
    <t>Soportes de auditoria y Papeles de Trabajo</t>
  </si>
  <si>
    <t>Revisión de Papeles de Trabajo y soportes registrados en el informe de evaluación</t>
  </si>
  <si>
    <t>Mesa técnica con el jefe de la Oficina de Control Interno soportando los hallazgos identificados</t>
  </si>
  <si>
    <t>Compromisos de cumplimiento del Código de Ética del Auditor Interno</t>
  </si>
  <si>
    <t xml:space="preserve">Suscribir la manifestación del Auditor, certificando que conoce y se compromete a cumplir con el código de Ética del Auditor Interno </t>
  </si>
  <si>
    <t xml:space="preserve">N/A </t>
  </si>
  <si>
    <t>Asignar Auditores a procesos y àreas de acuerdo al perfil, experiencia y ausencia de conflicto de intereses</t>
  </si>
  <si>
    <t>Definir los auditores con el fin de realizar sus actividades sin encontrarse en conflicto de intereses o incompetencia técnica</t>
  </si>
  <si>
    <t>Jefe Oficina de
Control Interno</t>
  </si>
  <si>
    <t>Equipo Auditor</t>
  </si>
  <si>
    <t>Jefe de Oficina Control Interno y Equipo OCIN</t>
  </si>
  <si>
    <t>Informes de auditoria
Reporte de seguimiento del plan Suite Vision</t>
  </si>
  <si>
    <t>Soportes de capacitaciones</t>
  </si>
  <si>
    <t>Solicitudes de capacitación al área correspondiente</t>
  </si>
  <si>
    <t>Material de socialización</t>
  </si>
  <si>
    <t>Registros de la nformación enviada a Entes de Control</t>
  </si>
  <si>
    <t xml:space="preserve">Documentos y/o Papeles de Trabajo de los hallazgos </t>
  </si>
  <si>
    <t>Registros del acuerdo de compromiso y confidencialidad</t>
  </si>
  <si>
    <t>Registros del plan de audiotorias ejecutado</t>
  </si>
  <si>
    <t>Interrupción en prestación de servicios de TI</t>
  </si>
  <si>
    <t xml:space="preserve">No acceso por parte de los usuarios a los servicios definidos como servicios de TI en la entidad. Ej: Dinamica Gerencial, Gestor Documental, etc. </t>
  </si>
  <si>
    <t>Fallas fisicas o logicas en la infraestructura de TI</t>
  </si>
  <si>
    <t>1. No disponibilidad de la informacion                                           2. Afectación en la prestación de servicios de TI al usuario</t>
  </si>
  <si>
    <t>Falla de monitoreo sobre la operación de la infraestructura TI</t>
  </si>
  <si>
    <t xml:space="preserve">Perdida de los datos almacenados en las bases de datos ubicadas en el datacenter de la entidad </t>
  </si>
  <si>
    <t xml:space="preserve">Eliminación de datos que se encuentran en las instancias de las bases de datos que estan almacenadas en el datacenter de la entidad . </t>
  </si>
  <si>
    <t>Fallas en los equipos de seguridad informatica</t>
  </si>
  <si>
    <t>Insuficiencia en el aseguramiento de la base de datos</t>
  </si>
  <si>
    <t>Afectación de la disponibilidad del respaldo de datos</t>
  </si>
  <si>
    <t xml:space="preserve">Realización incompleta o parcial de copias de los datos que están almacenados en las instancias de las bases de datos ubicadas en el datacenter de la entidad. </t>
  </si>
  <si>
    <t>Fallas en el appliance de backup</t>
  </si>
  <si>
    <t>1. Fallas en integridad de datos
2. Posible perdida de informacion</t>
  </si>
  <si>
    <t>Inadecuado funcionamiento de las opciones del sistema de informacion</t>
  </si>
  <si>
    <t>Procesos y procedimientos implementados en el sistema de informacion por parte del propietario del codigo fuente que no funcionan de manera adecuada dentro del sistema de informacion</t>
  </si>
  <si>
    <t>Fallas en el funcionamiento de las opciones de los modulos en nuevas versiones de actualizacion del sistema de informacion</t>
  </si>
  <si>
    <t>1. Indisponibilidad de datos para el servicio al usuario</t>
  </si>
  <si>
    <t xml:space="preserve">Monitoreo de la infraestructura de redes </t>
  </si>
  <si>
    <t xml:space="preserve">Con el monitoreo se verifica el funcionamiento y el estado general de la infraestructura de redes y comunicaciones de la entidad, a través de las herramientas implementadas. </t>
  </si>
  <si>
    <t>Se aplican las actividades acordadas para verificar en sitio la falla en coordinación con todas las áreas de la Unidad.</t>
  </si>
  <si>
    <t xml:space="preserve">Verificacion del monitoreo sobre la infraestructura de redes </t>
  </si>
  <si>
    <t>Monitoreo diario funcionamiento equipos de seguridad informatica</t>
  </si>
  <si>
    <t xml:space="preserve">Con el monitoreo se verifica el funcionamiento y el estado general de los controles de seguridad sobre los datos y elementos físicos, a través de las herramientas implementadas. </t>
  </si>
  <si>
    <t>Monitoreo del funcionamiento de la base de datos y sus instancias</t>
  </si>
  <si>
    <t>Monitoreo del funcionamiento del appliance del backup</t>
  </si>
  <si>
    <t>Con el monitoreo se verifica el funcionamiento y el estado general de los appliance de datos, a través de las herramientas implementadas.</t>
  </si>
  <si>
    <t xml:space="preserve">Verificacion de la realizacion de copias de datos </t>
  </si>
  <si>
    <t>Revision del funcionamiento de las opciones de los diferentes modulos antes de montar compilacion nueva</t>
  </si>
  <si>
    <t xml:space="preserve">Verificación de las opciones funcionando que se han identificado como criticas de cada uno de los modulos </t>
  </si>
  <si>
    <t>Herramientas de monitoreo ORION</t>
  </si>
  <si>
    <t>Herramientas de monitoreo de seguridad (fortinet, pc secure)</t>
  </si>
  <si>
    <t>Herramientas de appliance de copias</t>
  </si>
  <si>
    <t>Profesional Defensa</t>
  </si>
  <si>
    <t>Evitar que se dispensen medicamentos diferentes a los prescritos de acuerdo a su identificación y clasificación</t>
  </si>
  <si>
    <t>MAPA DE RIESGOS INSTITUCIONAL 2019 - 2020</t>
  </si>
</sst>
</file>

<file path=xl/styles.xml><?xml version="1.0" encoding="utf-8"?>
<styleSheet xmlns="http://schemas.openxmlformats.org/spreadsheetml/2006/main" xmlns:mc="http://schemas.openxmlformats.org/markup-compatibility/2006" xmlns:x14ac="http://schemas.microsoft.com/office/spreadsheetml/2009/9/ac" mc:Ignorable="x14ac">
  <fonts count="47" x14ac:knownFonts="1">
    <font>
      <sz val="11"/>
      <color theme="1"/>
      <name val="Calibri"/>
      <family val="2"/>
      <scheme val="minor"/>
    </font>
    <font>
      <sz val="10"/>
      <name val="Arial"/>
      <family val="2"/>
    </font>
    <font>
      <b/>
      <sz val="11"/>
      <color theme="1"/>
      <name val="Calibri"/>
      <family val="2"/>
      <scheme val="minor"/>
    </font>
    <font>
      <sz val="11"/>
      <color theme="1"/>
      <name val="Calibri"/>
      <family val="2"/>
      <scheme val="minor"/>
    </font>
    <font>
      <sz val="11"/>
      <color theme="0"/>
      <name val="Calibri"/>
      <family val="2"/>
      <scheme val="minor"/>
    </font>
    <font>
      <sz val="12"/>
      <color theme="1"/>
      <name val="Calibri"/>
      <family val="2"/>
      <scheme val="minor"/>
    </font>
    <font>
      <sz val="11"/>
      <color theme="1"/>
      <name val="Tahoma"/>
      <family val="2"/>
    </font>
    <font>
      <b/>
      <sz val="18"/>
      <color theme="0"/>
      <name val="Tahoma"/>
      <family val="2"/>
    </font>
    <font>
      <b/>
      <sz val="14"/>
      <color theme="1"/>
      <name val="Tahoma"/>
      <family val="2"/>
    </font>
    <font>
      <sz val="14"/>
      <color theme="1"/>
      <name val="Tahoma"/>
      <family val="2"/>
    </font>
    <font>
      <sz val="14"/>
      <name val="Tahoma"/>
      <family val="2"/>
    </font>
    <font>
      <b/>
      <sz val="12"/>
      <color theme="1"/>
      <name val="Tahoma"/>
      <family val="2"/>
    </font>
    <font>
      <b/>
      <sz val="12"/>
      <color theme="1"/>
      <name val="Arial Narrow"/>
      <family val="2"/>
    </font>
    <font>
      <sz val="22"/>
      <color theme="1"/>
      <name val="Tahoma"/>
      <family val="2"/>
    </font>
    <font>
      <b/>
      <sz val="11"/>
      <color theme="1"/>
      <name val="Tahoma"/>
      <family val="2"/>
    </font>
    <font>
      <sz val="15"/>
      <color theme="1"/>
      <name val="Tahoma"/>
      <family val="2"/>
    </font>
    <font>
      <b/>
      <sz val="15"/>
      <color theme="1"/>
      <name val="Tahoma"/>
      <family val="2"/>
    </font>
    <font>
      <b/>
      <sz val="15"/>
      <name val="Tahoma"/>
      <family val="2"/>
    </font>
    <font>
      <b/>
      <sz val="15"/>
      <color theme="0"/>
      <name val="Tahoma"/>
      <family val="2"/>
    </font>
    <font>
      <sz val="15"/>
      <color theme="1"/>
      <name val="Calibri"/>
      <family val="2"/>
      <scheme val="minor"/>
    </font>
    <font>
      <sz val="15"/>
      <color theme="1" tint="0.249977111117893"/>
      <name val="Tahoma"/>
      <family val="2"/>
    </font>
    <font>
      <sz val="15"/>
      <color theme="1" tint="0.249977111117893"/>
      <name val="Calibri"/>
      <family val="2"/>
      <scheme val="minor"/>
    </font>
    <font>
      <b/>
      <sz val="11"/>
      <color theme="0"/>
      <name val="Calibri"/>
      <family val="2"/>
      <scheme val="minor"/>
    </font>
    <font>
      <sz val="10"/>
      <color theme="1"/>
      <name val="Calibri"/>
      <family val="2"/>
      <scheme val="minor"/>
    </font>
    <font>
      <b/>
      <sz val="15"/>
      <color rgb="FF00B0F0"/>
      <name val="Tahoma"/>
      <family val="2"/>
    </font>
    <font>
      <b/>
      <sz val="15"/>
      <color theme="8" tint="-0.249977111117893"/>
      <name val="Tahoma"/>
      <family val="2"/>
    </font>
    <font>
      <sz val="15"/>
      <name val="Calibri"/>
      <family val="2"/>
      <scheme val="minor"/>
    </font>
    <font>
      <b/>
      <sz val="18"/>
      <color theme="0"/>
      <name val="Calibri"/>
      <family val="2"/>
      <scheme val="minor"/>
    </font>
    <font>
      <b/>
      <sz val="18"/>
      <color theme="6" tint="-0.249977111117893"/>
      <name val="Calibri"/>
      <family val="2"/>
      <scheme val="minor"/>
    </font>
    <font>
      <b/>
      <sz val="15"/>
      <color theme="6" tint="0.79998168889431442"/>
      <name val="Tahoma"/>
      <family val="2"/>
    </font>
    <font>
      <sz val="15"/>
      <color theme="6" tint="0.79998168889431442"/>
      <name val="Tahoma"/>
      <family val="2"/>
    </font>
    <font>
      <sz val="15"/>
      <color theme="6" tint="0.79998168889431442"/>
      <name val="Calibri"/>
      <family val="2"/>
      <scheme val="minor"/>
    </font>
    <font>
      <sz val="11"/>
      <color theme="6" tint="0.79998168889431442"/>
      <name val="Calibri"/>
      <family val="2"/>
      <scheme val="minor"/>
    </font>
    <font>
      <b/>
      <sz val="15"/>
      <color theme="4" tint="0.79998168889431442"/>
      <name val="Tahoma"/>
      <family val="2"/>
    </font>
    <font>
      <sz val="15"/>
      <color theme="4" tint="0.79998168889431442"/>
      <name val="Tahoma"/>
      <family val="2"/>
    </font>
    <font>
      <sz val="11"/>
      <color theme="4" tint="0.79998168889431442"/>
      <name val="Calibri"/>
      <family val="2"/>
      <scheme val="minor"/>
    </font>
    <font>
      <b/>
      <sz val="12"/>
      <color rgb="FF000000"/>
      <name val="Tahoma"/>
      <family val="2"/>
    </font>
    <font>
      <sz val="12"/>
      <color theme="1"/>
      <name val="Tahoma"/>
      <family val="2"/>
    </font>
    <font>
      <b/>
      <sz val="24"/>
      <color theme="1"/>
      <name val="Tahoma"/>
      <family val="2"/>
    </font>
    <font>
      <sz val="24"/>
      <color theme="1"/>
      <name val="Tahoma"/>
      <family val="2"/>
    </font>
    <font>
      <sz val="24"/>
      <name val="Tahoma"/>
      <family val="2"/>
    </font>
    <font>
      <b/>
      <sz val="24"/>
      <name val="Tahoma"/>
      <family val="2"/>
    </font>
    <font>
      <b/>
      <sz val="24"/>
      <color theme="0"/>
      <name val="Tahoma"/>
      <family val="2"/>
    </font>
    <font>
      <b/>
      <sz val="22"/>
      <color theme="0"/>
      <name val="Tahoma"/>
      <family val="2"/>
    </font>
    <font>
      <b/>
      <sz val="22"/>
      <name val="Tahoma"/>
      <family val="2"/>
    </font>
    <font>
      <sz val="22"/>
      <name val="Tahoma"/>
      <family val="2"/>
    </font>
    <font>
      <b/>
      <sz val="24"/>
      <color rgb="FF000000"/>
      <name val="Tahoma"/>
      <family val="2"/>
    </font>
  </fonts>
  <fills count="17">
    <fill>
      <patternFill patternType="none"/>
    </fill>
    <fill>
      <patternFill patternType="gray125"/>
    </fill>
    <fill>
      <patternFill patternType="solid">
        <fgColor theme="0"/>
        <bgColor indexed="64"/>
      </patternFill>
    </fill>
    <fill>
      <patternFill patternType="solid">
        <fgColor theme="4" tint="0.59999389629810485"/>
        <bgColor indexed="65"/>
      </patternFill>
    </fill>
    <fill>
      <patternFill patternType="solid">
        <fgColor theme="4" tint="0.39997558519241921"/>
        <bgColor indexed="65"/>
      </patternFill>
    </fill>
    <fill>
      <patternFill patternType="solid">
        <fgColor theme="7"/>
      </patternFill>
    </fill>
    <fill>
      <patternFill patternType="solid">
        <fgColor theme="8" tint="-0.249977111117893"/>
        <bgColor indexed="64"/>
      </patternFill>
    </fill>
    <fill>
      <patternFill patternType="solid">
        <fgColor theme="4" tint="0.79998168889431442"/>
        <bgColor indexed="64"/>
      </patternFill>
    </fill>
    <fill>
      <patternFill patternType="solid">
        <fgColor rgb="FF00B050"/>
        <bgColor indexed="64"/>
      </patternFill>
    </fill>
    <fill>
      <patternFill patternType="solid">
        <fgColor theme="6" tint="0.79998168889431442"/>
        <bgColor indexed="64"/>
      </patternFill>
    </fill>
    <fill>
      <patternFill patternType="solid">
        <fgColor theme="8" tint="0.59999389629810485"/>
        <bgColor indexed="64"/>
      </patternFill>
    </fill>
    <fill>
      <patternFill patternType="solid">
        <fgColor rgb="FF00FFFF"/>
        <bgColor indexed="64"/>
      </patternFill>
    </fill>
    <fill>
      <patternFill patternType="solid">
        <fgColor rgb="FF00B0F0"/>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rgb="FF0070C0"/>
        <bgColor indexed="64"/>
      </patternFill>
    </fill>
    <fill>
      <patternFill patternType="solid">
        <fgColor theme="6" tint="-0.249977111117893"/>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bottom/>
      <diagonal/>
    </border>
    <border>
      <left/>
      <right style="thin">
        <color indexed="64"/>
      </right>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bottom style="medium">
        <color indexed="64"/>
      </bottom>
      <diagonal/>
    </border>
    <border>
      <left/>
      <right style="medium">
        <color indexed="64"/>
      </right>
      <top style="thin">
        <color indexed="64"/>
      </top>
      <bottom style="thin">
        <color indexed="64"/>
      </bottom>
      <diagonal/>
    </border>
  </borders>
  <cellStyleXfs count="6">
    <xf numFmtId="0" fontId="0" fillId="0" borderId="0"/>
    <xf numFmtId="0" fontId="1" fillId="0" borderId="0"/>
    <xf numFmtId="0" fontId="3" fillId="3"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9" fontId="3" fillId="0" borderId="0" applyFont="0" applyFill="0" applyBorder="0" applyAlignment="0" applyProtection="0"/>
  </cellStyleXfs>
  <cellXfs count="490">
    <xf numFmtId="0" fontId="0" fillId="0" borderId="0" xfId="0"/>
    <xf numFmtId="0" fontId="0" fillId="0" borderId="0" xfId="0"/>
    <xf numFmtId="0" fontId="0" fillId="2" borderId="1" xfId="0" applyFill="1" applyBorder="1" applyAlignment="1">
      <alignment horizontal="center"/>
    </xf>
    <xf numFmtId="0" fontId="0" fillId="2" borderId="1" xfId="0" applyFill="1" applyBorder="1"/>
    <xf numFmtId="0" fontId="0" fillId="2" borderId="0" xfId="0" applyFill="1" applyProtection="1"/>
    <xf numFmtId="0" fontId="0" fillId="2" borderId="1" xfId="0" applyFill="1" applyBorder="1" applyAlignment="1" applyProtection="1">
      <alignment horizontal="center" vertical="center"/>
    </xf>
    <xf numFmtId="0" fontId="0" fillId="2" borderId="1" xfId="0" applyFill="1" applyBorder="1" applyProtection="1"/>
    <xf numFmtId="0" fontId="0" fillId="2" borderId="18" xfId="0" applyFill="1" applyBorder="1" applyProtection="1"/>
    <xf numFmtId="0" fontId="2" fillId="2" borderId="1" xfId="0" applyFont="1" applyFill="1" applyBorder="1" applyAlignment="1" applyProtection="1">
      <alignment horizontal="center" vertical="center"/>
    </xf>
    <xf numFmtId="0" fontId="5" fillId="0" borderId="0" xfId="0" applyFont="1"/>
    <xf numFmtId="0" fontId="6" fillId="2" borderId="0" xfId="0" applyFont="1" applyFill="1" applyProtection="1"/>
    <xf numFmtId="0" fontId="6" fillId="0" borderId="0" xfId="0" applyFont="1" applyProtection="1"/>
    <xf numFmtId="0" fontId="0" fillId="0" borderId="0" xfId="0" applyAlignment="1">
      <alignment horizontal="center" wrapText="1"/>
    </xf>
    <xf numFmtId="0" fontId="0" fillId="2" borderId="19" xfId="0" applyFill="1" applyBorder="1" applyProtection="1"/>
    <xf numFmtId="0" fontId="6" fillId="2" borderId="5" xfId="0" applyFont="1" applyFill="1" applyBorder="1" applyAlignment="1" applyProtection="1">
      <alignment horizontal="center"/>
    </xf>
    <xf numFmtId="0" fontId="6" fillId="2" borderId="0" xfId="0" applyFont="1" applyFill="1" applyBorder="1" applyAlignment="1" applyProtection="1">
      <alignment horizontal="center"/>
    </xf>
    <xf numFmtId="0" fontId="12" fillId="2" borderId="3" xfId="0" applyFont="1" applyFill="1" applyBorder="1" applyAlignment="1" applyProtection="1">
      <alignment horizontal="center" vertical="center" wrapText="1"/>
    </xf>
    <xf numFmtId="0" fontId="0" fillId="2" borderId="0" xfId="0" applyFill="1"/>
    <xf numFmtId="0" fontId="5" fillId="2" borderId="0" xfId="0" applyFont="1" applyFill="1"/>
    <xf numFmtId="0" fontId="0" fillId="2" borderId="0" xfId="0" applyFill="1" applyAlignment="1">
      <alignment horizontal="center" vertical="center" wrapText="1"/>
    </xf>
    <xf numFmtId="0" fontId="13" fillId="2" borderId="0" xfId="0" applyFont="1" applyFill="1" applyProtection="1"/>
    <xf numFmtId="0" fontId="13" fillId="0" borderId="0" xfId="0" applyFont="1" applyProtection="1"/>
    <xf numFmtId="0" fontId="6" fillId="2" borderId="0" xfId="0" applyFont="1" applyFill="1"/>
    <xf numFmtId="0" fontId="6" fillId="0" borderId="0" xfId="0" applyFont="1"/>
    <xf numFmtId="0" fontId="0" fillId="2" borderId="0" xfId="0" applyFill="1" applyBorder="1" applyProtection="1"/>
    <xf numFmtId="0" fontId="0" fillId="0" borderId="1" xfId="0" applyBorder="1"/>
    <xf numFmtId="0" fontId="0" fillId="0" borderId="0" xfId="0" applyFill="1" applyBorder="1"/>
    <xf numFmtId="0" fontId="18" fillId="12" borderId="4" xfId="0" applyFont="1" applyFill="1" applyBorder="1" applyAlignment="1">
      <alignment horizontal="center" vertical="center" wrapText="1"/>
    </xf>
    <xf numFmtId="0" fontId="18" fillId="6" borderId="4" xfId="0" applyFont="1" applyFill="1" applyBorder="1" applyAlignment="1">
      <alignment horizontal="center" vertical="center" wrapText="1"/>
    </xf>
    <xf numFmtId="0" fontId="16" fillId="2" borderId="1" xfId="0" applyFont="1" applyFill="1" applyBorder="1" applyAlignment="1" applyProtection="1">
      <alignment vertical="center"/>
    </xf>
    <xf numFmtId="0" fontId="19" fillId="9" borderId="2" xfId="0" applyFont="1" applyFill="1" applyBorder="1" applyAlignment="1">
      <alignment horizontal="center" vertical="center"/>
    </xf>
    <xf numFmtId="0" fontId="18" fillId="12" borderId="17" xfId="0" applyFont="1" applyFill="1" applyBorder="1" applyAlignment="1">
      <alignment horizontal="center" vertical="center" wrapText="1"/>
    </xf>
    <xf numFmtId="0" fontId="18" fillId="6" borderId="16" xfId="0" applyFont="1" applyFill="1" applyBorder="1" applyAlignment="1">
      <alignment horizontal="center" vertical="center" wrapText="1"/>
    </xf>
    <xf numFmtId="49" fontId="0" fillId="0" borderId="0" xfId="0" applyNumberFormat="1"/>
    <xf numFmtId="0" fontId="20" fillId="9" borderId="2" xfId="0" applyFont="1" applyFill="1" applyBorder="1" applyAlignment="1">
      <alignment horizontal="center" wrapText="1"/>
    </xf>
    <xf numFmtId="0" fontId="16" fillId="9" borderId="0" xfId="0" applyFont="1" applyFill="1" applyBorder="1" applyAlignment="1">
      <alignment horizontal="center" vertical="center" wrapText="1"/>
    </xf>
    <xf numFmtId="0" fontId="15" fillId="9" borderId="0" xfId="0" applyFont="1" applyFill="1" applyBorder="1" applyAlignment="1">
      <alignment horizontal="center" vertical="center" wrapText="1"/>
    </xf>
    <xf numFmtId="0" fontId="20" fillId="9" borderId="0" xfId="0" applyFont="1" applyFill="1" applyBorder="1" applyAlignment="1">
      <alignment horizontal="center" wrapText="1"/>
    </xf>
    <xf numFmtId="0" fontId="21" fillId="9" borderId="0" xfId="0" applyFont="1" applyFill="1" applyBorder="1" applyAlignment="1">
      <alignment horizontal="center"/>
    </xf>
    <xf numFmtId="0" fontId="19" fillId="9" borderId="0" xfId="0" applyFont="1" applyFill="1" applyBorder="1" applyAlignment="1">
      <alignment horizontal="center" vertical="center"/>
    </xf>
    <xf numFmtId="0" fontId="15" fillId="9" borderId="0" xfId="0" applyFont="1" applyFill="1" applyBorder="1" applyAlignment="1">
      <alignment vertical="center" wrapText="1"/>
    </xf>
    <xf numFmtId="0" fontId="16" fillId="7" borderId="0" xfId="0" applyFont="1" applyFill="1" applyBorder="1" applyAlignment="1">
      <alignment horizontal="center" vertical="center" wrapText="1"/>
    </xf>
    <xf numFmtId="0" fontId="15" fillId="7" borderId="0" xfId="0" applyFont="1" applyFill="1" applyBorder="1" applyAlignment="1">
      <alignment horizontal="center" vertical="center" wrapText="1"/>
    </xf>
    <xf numFmtId="0" fontId="20" fillId="7" borderId="0" xfId="0" applyFont="1" applyFill="1" applyBorder="1" applyAlignment="1">
      <alignment horizontal="center" wrapText="1"/>
    </xf>
    <xf numFmtId="0" fontId="15" fillId="7" borderId="0" xfId="0" applyFont="1" applyFill="1" applyBorder="1" applyAlignment="1">
      <alignment wrapText="1"/>
    </xf>
    <xf numFmtId="0" fontId="0" fillId="0" borderId="0" xfId="0" applyBorder="1" applyAlignment="1">
      <alignment vertical="center" wrapText="1"/>
    </xf>
    <xf numFmtId="9" fontId="0" fillId="0" borderId="0" xfId="0" applyNumberFormat="1" applyBorder="1" applyAlignment="1">
      <alignment vertical="center"/>
    </xf>
    <xf numFmtId="0" fontId="0" fillId="0" borderId="0" xfId="0" applyBorder="1" applyAlignment="1">
      <alignment vertical="center"/>
    </xf>
    <xf numFmtId="0" fontId="0" fillId="0" borderId="59" xfId="0" applyBorder="1" applyAlignment="1">
      <alignment vertical="center" wrapText="1"/>
    </xf>
    <xf numFmtId="9" fontId="0" fillId="0" borderId="61" xfId="0" applyNumberFormat="1" applyBorder="1" applyAlignment="1">
      <alignment vertical="center"/>
    </xf>
    <xf numFmtId="9" fontId="0" fillId="0" borderId="62" xfId="0" applyNumberFormat="1" applyBorder="1" applyAlignment="1">
      <alignment vertical="center"/>
    </xf>
    <xf numFmtId="0" fontId="22" fillId="0" borderId="0" xfId="0" applyFont="1" applyFill="1" applyAlignment="1">
      <alignment vertical="center"/>
    </xf>
    <xf numFmtId="0" fontId="0" fillId="0" borderId="0" xfId="0" applyBorder="1" applyAlignment="1"/>
    <xf numFmtId="0" fontId="18" fillId="0" borderId="0" xfId="0" applyFont="1" applyFill="1" applyBorder="1" applyAlignment="1">
      <alignment vertical="center" wrapText="1"/>
    </xf>
    <xf numFmtId="0" fontId="0" fillId="0" borderId="0" xfId="0" applyFill="1" applyBorder="1" applyAlignment="1"/>
    <xf numFmtId="0" fontId="18" fillId="0" borderId="0" xfId="0" applyFont="1" applyFill="1" applyBorder="1" applyAlignment="1">
      <alignment vertical="center"/>
    </xf>
    <xf numFmtId="0" fontId="18" fillId="0" borderId="0" xfId="0" applyFont="1" applyFill="1" applyBorder="1" applyAlignment="1">
      <alignment horizontal="center" vertical="center" wrapText="1"/>
    </xf>
    <xf numFmtId="0" fontId="0" fillId="0" borderId="0" xfId="0" applyAlignment="1"/>
    <xf numFmtId="9" fontId="0" fillId="0" borderId="0" xfId="0" applyNumberFormat="1" applyFill="1" applyBorder="1" applyAlignment="1">
      <alignment vertical="center"/>
    </xf>
    <xf numFmtId="9" fontId="0" fillId="0" borderId="59" xfId="0" applyNumberFormat="1" applyBorder="1" applyAlignment="1">
      <alignment vertical="center"/>
    </xf>
    <xf numFmtId="0" fontId="18" fillId="15" borderId="4" xfId="0" applyFont="1" applyFill="1" applyBorder="1" applyAlignment="1">
      <alignment horizontal="center" vertical="center" wrapText="1"/>
    </xf>
    <xf numFmtId="0" fontId="18" fillId="15" borderId="7" xfId="0" applyFont="1" applyFill="1" applyBorder="1" applyAlignment="1">
      <alignment horizontal="center" vertical="center" wrapText="1"/>
    </xf>
    <xf numFmtId="0" fontId="18" fillId="15" borderId="17" xfId="0" applyFont="1" applyFill="1" applyBorder="1" applyAlignment="1">
      <alignment horizontal="center" vertical="center" wrapText="1"/>
    </xf>
    <xf numFmtId="0" fontId="18" fillId="15" borderId="8" xfId="0" applyFont="1" applyFill="1" applyBorder="1" applyAlignment="1">
      <alignment horizontal="center" vertical="center" wrapText="1"/>
    </xf>
    <xf numFmtId="0" fontId="18" fillId="12" borderId="12" xfId="0" applyFont="1" applyFill="1" applyBorder="1" applyAlignment="1">
      <alignment vertical="center" wrapText="1"/>
    </xf>
    <xf numFmtId="0" fontId="17" fillId="7" borderId="0" xfId="0" applyFont="1" applyFill="1" applyBorder="1" applyAlignment="1">
      <alignment horizontal="center" vertical="center" wrapText="1"/>
    </xf>
    <xf numFmtId="0" fontId="18" fillId="6" borderId="12" xfId="0" applyFont="1" applyFill="1" applyBorder="1" applyAlignment="1">
      <alignment vertical="center" wrapText="1"/>
    </xf>
    <xf numFmtId="0" fontId="24" fillId="12" borderId="11" xfId="0" applyFont="1" applyFill="1" applyBorder="1" applyAlignment="1">
      <alignment vertical="center" wrapText="1"/>
    </xf>
    <xf numFmtId="0" fontId="25" fillId="6" borderId="11" xfId="0" applyFont="1" applyFill="1" applyBorder="1" applyAlignment="1">
      <alignment vertical="center" wrapText="1"/>
    </xf>
    <xf numFmtId="0" fontId="18" fillId="12" borderId="11" xfId="0" applyFont="1" applyFill="1" applyBorder="1" applyAlignment="1">
      <alignment horizontal="center" vertical="center" wrapText="1"/>
    </xf>
    <xf numFmtId="0" fontId="18" fillId="6" borderId="11" xfId="0" applyFont="1" applyFill="1" applyBorder="1" applyAlignment="1">
      <alignment horizontal="center" vertical="center" wrapText="1"/>
    </xf>
    <xf numFmtId="0" fontId="18" fillId="12" borderId="17" xfId="0" applyFont="1" applyFill="1" applyBorder="1" applyAlignment="1">
      <alignment horizontal="center" vertical="center" wrapText="1"/>
    </xf>
    <xf numFmtId="0" fontId="19" fillId="9" borderId="29" xfId="0" applyFont="1" applyFill="1" applyBorder="1" applyAlignment="1">
      <alignment horizontal="center" vertical="center"/>
    </xf>
    <xf numFmtId="0" fontId="20" fillId="9" borderId="61" xfId="0" applyFont="1" applyFill="1" applyBorder="1" applyAlignment="1">
      <alignment horizontal="center" wrapText="1"/>
    </xf>
    <xf numFmtId="0" fontId="19" fillId="9" borderId="61" xfId="0" applyFont="1" applyFill="1" applyBorder="1" applyAlignment="1">
      <alignment horizontal="center" vertical="center"/>
    </xf>
    <xf numFmtId="0" fontId="26" fillId="9" borderId="29" xfId="0" applyFont="1" applyFill="1" applyBorder="1" applyAlignment="1">
      <alignment horizontal="center" vertical="center" wrapText="1"/>
    </xf>
    <xf numFmtId="0" fontId="26" fillId="9" borderId="2" xfId="0" applyFont="1" applyFill="1" applyBorder="1" applyAlignment="1">
      <alignment horizontal="center" vertical="center" wrapText="1"/>
    </xf>
    <xf numFmtId="0" fontId="26" fillId="9" borderId="61" xfId="0" applyFont="1" applyFill="1" applyBorder="1" applyAlignment="1">
      <alignment horizontal="center" vertical="center" wrapText="1"/>
    </xf>
    <xf numFmtId="0" fontId="26" fillId="7" borderId="2" xfId="0" applyFont="1" applyFill="1" applyBorder="1" applyAlignment="1">
      <alignment horizontal="center" vertical="center" wrapText="1"/>
    </xf>
    <xf numFmtId="9" fontId="5" fillId="0" borderId="1" xfId="5" applyFont="1" applyFill="1" applyBorder="1" applyAlignment="1">
      <alignment horizontal="center" vertical="center" wrapText="1"/>
    </xf>
    <xf numFmtId="0" fontId="27" fillId="16" borderId="12" xfId="0" applyFont="1" applyFill="1" applyBorder="1" applyAlignment="1">
      <alignment vertical="center"/>
    </xf>
    <xf numFmtId="0" fontId="7" fillId="16" borderId="11" xfId="0" applyFont="1" applyFill="1" applyBorder="1" applyAlignment="1">
      <alignment horizontal="center" vertical="center" wrapText="1"/>
    </xf>
    <xf numFmtId="0" fontId="7" fillId="16" borderId="16" xfId="0" applyFont="1" applyFill="1" applyBorder="1" applyAlignment="1">
      <alignment horizontal="center" vertical="center" wrapText="1"/>
    </xf>
    <xf numFmtId="0" fontId="7" fillId="16" borderId="32" xfId="0" applyFont="1" applyFill="1" applyBorder="1" applyAlignment="1">
      <alignment horizontal="center" vertical="center" wrapText="1"/>
    </xf>
    <xf numFmtId="0" fontId="7" fillId="16" borderId="21" xfId="0" applyFont="1" applyFill="1" applyBorder="1" applyAlignment="1">
      <alignment horizontal="center" vertical="center" wrapText="1"/>
    </xf>
    <xf numFmtId="0" fontId="28" fillId="16" borderId="11" xfId="0" applyFont="1" applyFill="1" applyBorder="1" applyAlignment="1">
      <alignment vertical="center"/>
    </xf>
    <xf numFmtId="0" fontId="7" fillId="16" borderId="21" xfId="0" applyFont="1" applyFill="1" applyBorder="1" applyAlignment="1">
      <alignment horizontal="center" vertical="center" wrapText="1"/>
    </xf>
    <xf numFmtId="0" fontId="18" fillId="12" borderId="17" xfId="0" applyFont="1" applyFill="1" applyBorder="1" applyAlignment="1">
      <alignment horizontal="center" vertical="center" wrapText="1"/>
    </xf>
    <xf numFmtId="9" fontId="0" fillId="0" borderId="29" xfId="5" applyFont="1" applyFill="1" applyBorder="1" applyAlignment="1">
      <alignment horizontal="center" vertical="center"/>
    </xf>
    <xf numFmtId="9" fontId="0" fillId="0" borderId="1" xfId="5" applyFont="1" applyFill="1" applyBorder="1" applyAlignment="1">
      <alignment horizontal="center" vertical="center"/>
    </xf>
    <xf numFmtId="9" fontId="0" fillId="0" borderId="14" xfId="5" applyFont="1" applyFill="1" applyBorder="1" applyAlignment="1">
      <alignment horizontal="center" vertical="center"/>
    </xf>
    <xf numFmtId="9" fontId="23" fillId="0" borderId="29" xfId="5" applyFont="1" applyFill="1" applyBorder="1" applyAlignment="1">
      <alignment horizontal="center" vertical="center" wrapText="1"/>
    </xf>
    <xf numFmtId="9" fontId="23" fillId="0" borderId="1" xfId="5" applyFont="1" applyFill="1" applyBorder="1" applyAlignment="1">
      <alignment horizontal="center" vertical="center" wrapText="1"/>
    </xf>
    <xf numFmtId="9" fontId="23" fillId="0" borderId="14" xfId="5" applyFont="1" applyFill="1" applyBorder="1" applyAlignment="1">
      <alignment horizontal="center" vertical="center" wrapText="1"/>
    </xf>
    <xf numFmtId="0" fontId="15" fillId="9" borderId="29" xfId="0" applyFont="1" applyFill="1" applyBorder="1" applyAlignment="1">
      <alignment horizontal="center" vertical="center" wrapText="1"/>
    </xf>
    <xf numFmtId="0" fontId="20" fillId="7" borderId="2" xfId="0" applyFont="1" applyFill="1" applyBorder="1" applyAlignment="1">
      <alignment horizontal="center" vertical="center" wrapText="1"/>
    </xf>
    <xf numFmtId="0" fontId="20" fillId="7" borderId="2" xfId="0" applyFont="1" applyFill="1" applyBorder="1" applyAlignment="1">
      <alignment horizontal="center" wrapText="1"/>
    </xf>
    <xf numFmtId="0" fontId="15" fillId="7" borderId="2" xfId="0" applyFont="1" applyFill="1" applyBorder="1" applyAlignment="1">
      <alignment horizontal="center" vertical="center" wrapText="1"/>
    </xf>
    <xf numFmtId="0" fontId="20" fillId="9" borderId="29" xfId="0" applyFont="1" applyFill="1" applyBorder="1" applyAlignment="1">
      <alignment horizontal="center" wrapText="1"/>
    </xf>
    <xf numFmtId="0" fontId="15" fillId="9" borderId="61" xfId="0" applyFont="1" applyFill="1" applyBorder="1" applyAlignment="1">
      <alignment horizontal="center" vertical="center" wrapText="1"/>
    </xf>
    <xf numFmtId="0" fontId="15" fillId="9" borderId="2" xfId="0" applyFont="1" applyFill="1" applyBorder="1" applyAlignment="1">
      <alignment horizontal="center" vertical="center" wrapText="1"/>
    </xf>
    <xf numFmtId="0" fontId="7" fillId="16" borderId="16" xfId="0" applyFont="1" applyFill="1" applyBorder="1" applyAlignment="1">
      <alignment horizontal="center" vertical="center" wrapText="1"/>
    </xf>
    <xf numFmtId="0" fontId="15" fillId="2" borderId="1" xfId="0" applyFont="1" applyFill="1" applyBorder="1" applyAlignment="1" applyProtection="1">
      <alignment horizontal="center"/>
    </xf>
    <xf numFmtId="0" fontId="18" fillId="6" borderId="16" xfId="0" applyFont="1" applyFill="1" applyBorder="1" applyAlignment="1">
      <alignment horizontal="center" vertical="center" wrapText="1"/>
    </xf>
    <xf numFmtId="9" fontId="5" fillId="0" borderId="29" xfId="5" applyFont="1" applyFill="1" applyBorder="1" applyAlignment="1">
      <alignment horizontal="center" vertical="center" wrapText="1"/>
    </xf>
    <xf numFmtId="9" fontId="5" fillId="0" borderId="14" xfId="5" applyFont="1" applyFill="1" applyBorder="1" applyAlignment="1">
      <alignment horizontal="center" vertical="center" wrapText="1"/>
    </xf>
    <xf numFmtId="0" fontId="20" fillId="9" borderId="29" xfId="0" applyFont="1" applyFill="1" applyBorder="1" applyAlignment="1">
      <alignment horizontal="justify" vertical="center" wrapText="1"/>
    </xf>
    <xf numFmtId="0" fontId="20" fillId="9" borderId="2" xfId="0" applyFont="1" applyFill="1" applyBorder="1" applyAlignment="1">
      <alignment horizontal="justify" vertical="center" wrapText="1"/>
    </xf>
    <xf numFmtId="0" fontId="20" fillId="9" borderId="61" xfId="0" applyFont="1" applyFill="1" applyBorder="1" applyAlignment="1">
      <alignment horizontal="justify" vertical="center" wrapText="1"/>
    </xf>
    <xf numFmtId="0" fontId="17" fillId="9" borderId="0" xfId="0" applyFont="1" applyFill="1" applyBorder="1" applyAlignment="1">
      <alignment vertical="center" wrapText="1"/>
    </xf>
    <xf numFmtId="0" fontId="20" fillId="9" borderId="0" xfId="0" applyFont="1" applyFill="1" applyBorder="1" applyAlignment="1">
      <alignment horizontal="justify" vertical="center" wrapText="1"/>
    </xf>
    <xf numFmtId="0" fontId="26" fillId="9" borderId="0" xfId="0" applyFont="1" applyFill="1" applyBorder="1" applyAlignment="1">
      <alignment horizontal="center" vertical="center" wrapText="1"/>
    </xf>
    <xf numFmtId="0" fontId="29" fillId="9" borderId="0" xfId="0" applyFont="1" applyFill="1" applyBorder="1" applyAlignment="1">
      <alignment horizontal="center" vertical="center" wrapText="1"/>
    </xf>
    <xf numFmtId="0" fontId="30" fillId="9" borderId="0" xfId="0" applyFont="1" applyFill="1" applyBorder="1" applyAlignment="1">
      <alignment horizontal="center" vertical="center" wrapText="1"/>
    </xf>
    <xf numFmtId="0" fontId="30" fillId="9" borderId="0" xfId="0" applyFont="1" applyFill="1" applyBorder="1" applyAlignment="1">
      <alignment horizontal="center" wrapText="1"/>
    </xf>
    <xf numFmtId="0" fontId="31" fillId="9" borderId="0" xfId="0" applyFont="1" applyFill="1" applyBorder="1" applyAlignment="1">
      <alignment horizontal="center"/>
    </xf>
    <xf numFmtId="0" fontId="31" fillId="9" borderId="0" xfId="0" applyFont="1" applyFill="1" applyBorder="1" applyAlignment="1">
      <alignment horizontal="center" vertical="center"/>
    </xf>
    <xf numFmtId="0" fontId="30" fillId="9" borderId="0" xfId="0" applyFont="1" applyFill="1" applyBorder="1" applyAlignment="1">
      <alignment vertical="center" wrapText="1"/>
    </xf>
    <xf numFmtId="0" fontId="32" fillId="2" borderId="0" xfId="0" applyFont="1" applyFill="1"/>
    <xf numFmtId="0" fontId="32" fillId="0" borderId="0" xfId="0" applyFont="1"/>
    <xf numFmtId="0" fontId="26" fillId="7" borderId="0" xfId="0" applyFont="1" applyFill="1" applyBorder="1" applyAlignment="1">
      <alignment horizontal="center" vertical="center" wrapText="1"/>
    </xf>
    <xf numFmtId="0" fontId="15" fillId="7" borderId="0" xfId="0" applyFont="1" applyFill="1" applyBorder="1" applyAlignment="1">
      <alignment vertical="center" wrapText="1"/>
    </xf>
    <xf numFmtId="14" fontId="16" fillId="9" borderId="0" xfId="0" applyNumberFormat="1" applyFont="1" applyFill="1" applyBorder="1" applyAlignment="1">
      <alignment horizontal="center" vertical="center" wrapText="1"/>
    </xf>
    <xf numFmtId="0" fontId="29" fillId="9" borderId="0" xfId="0" applyFont="1" applyFill="1" applyBorder="1" applyAlignment="1">
      <alignment vertical="center" wrapText="1"/>
    </xf>
    <xf numFmtId="0" fontId="20" fillId="9" borderId="34" xfId="0" applyFont="1" applyFill="1" applyBorder="1" applyAlignment="1">
      <alignment horizontal="center" wrapText="1"/>
    </xf>
    <xf numFmtId="0" fontId="20" fillId="9" borderId="30" xfId="0" applyFont="1" applyFill="1" applyBorder="1" applyAlignment="1">
      <alignment horizontal="center" wrapText="1"/>
    </xf>
    <xf numFmtId="0" fontId="20" fillId="9" borderId="65" xfId="0" applyFont="1" applyFill="1" applyBorder="1" applyAlignment="1">
      <alignment horizontal="center" wrapText="1"/>
    </xf>
    <xf numFmtId="0" fontId="20" fillId="9" borderId="62" xfId="0" applyFont="1" applyFill="1" applyBorder="1" applyAlignment="1">
      <alignment horizontal="center" wrapText="1"/>
    </xf>
    <xf numFmtId="0" fontId="33" fillId="7" borderId="0" xfId="0" applyFont="1" applyFill="1" applyBorder="1" applyAlignment="1">
      <alignment horizontal="center" vertical="center" wrapText="1"/>
    </xf>
    <xf numFmtId="0" fontId="34" fillId="7" borderId="0" xfId="0" applyFont="1" applyFill="1" applyBorder="1" applyAlignment="1">
      <alignment horizontal="center" vertical="center" wrapText="1"/>
    </xf>
    <xf numFmtId="0" fontId="34" fillId="7" borderId="0" xfId="0" applyFont="1" applyFill="1" applyBorder="1" applyAlignment="1">
      <alignment horizontal="center" wrapText="1"/>
    </xf>
    <xf numFmtId="0" fontId="34" fillId="7" borderId="0" xfId="0" applyFont="1" applyFill="1" applyBorder="1" applyAlignment="1">
      <alignment wrapText="1"/>
    </xf>
    <xf numFmtId="0" fontId="35" fillId="2" borderId="0" xfId="0" applyFont="1" applyFill="1"/>
    <xf numFmtId="0" fontId="35" fillId="0" borderId="0" xfId="0" applyFont="1"/>
    <xf numFmtId="0" fontId="15" fillId="7" borderId="49" xfId="0" applyFont="1" applyFill="1" applyBorder="1" applyAlignment="1">
      <alignment vertical="center" wrapText="1"/>
    </xf>
    <xf numFmtId="0" fontId="20" fillId="7" borderId="29" xfId="0" applyFont="1" applyFill="1" applyBorder="1" applyAlignment="1">
      <alignment horizontal="center" wrapText="1"/>
    </xf>
    <xf numFmtId="0" fontId="26" fillId="7" borderId="29" xfId="0" applyFont="1" applyFill="1" applyBorder="1" applyAlignment="1">
      <alignment horizontal="center" vertical="center" wrapText="1"/>
    </xf>
    <xf numFmtId="0" fontId="15" fillId="7" borderId="29" xfId="0" applyFont="1" applyFill="1" applyBorder="1" applyAlignment="1">
      <alignment horizontal="center" vertical="center" wrapText="1"/>
    </xf>
    <xf numFmtId="0" fontId="20" fillId="7" borderId="30" xfId="0" applyFont="1" applyFill="1" applyBorder="1" applyAlignment="1">
      <alignment horizontal="center" wrapText="1"/>
    </xf>
    <xf numFmtId="0" fontId="20" fillId="7" borderId="65" xfId="0" applyFont="1" applyFill="1" applyBorder="1" applyAlignment="1">
      <alignment horizontal="center" wrapText="1"/>
    </xf>
    <xf numFmtId="0" fontId="20" fillId="7" borderId="61" xfId="0" applyFont="1" applyFill="1" applyBorder="1" applyAlignment="1">
      <alignment horizontal="center" wrapText="1"/>
    </xf>
    <xf numFmtId="0" fontId="26" fillId="7" borderId="61" xfId="0" applyFont="1" applyFill="1" applyBorder="1" applyAlignment="1">
      <alignment horizontal="center" vertical="center" wrapText="1"/>
    </xf>
    <xf numFmtId="0" fontId="15" fillId="7" borderId="61" xfId="0" applyFont="1" applyFill="1" applyBorder="1" applyAlignment="1">
      <alignment horizontal="center" vertical="center" wrapText="1"/>
    </xf>
    <xf numFmtId="0" fontId="20" fillId="7" borderId="62" xfId="0" applyFont="1" applyFill="1" applyBorder="1" applyAlignment="1">
      <alignment horizontal="center" wrapText="1"/>
    </xf>
    <xf numFmtId="0" fontId="15" fillId="7" borderId="42" xfId="0" applyFont="1" applyFill="1" applyBorder="1" applyAlignment="1">
      <alignment vertical="center" wrapText="1"/>
    </xf>
    <xf numFmtId="0" fontId="34" fillId="7" borderId="40" xfId="0" applyFont="1" applyFill="1" applyBorder="1" applyAlignment="1">
      <alignment wrapText="1"/>
    </xf>
    <xf numFmtId="0" fontId="15" fillId="7" borderId="40" xfId="0" applyFont="1" applyFill="1" applyBorder="1" applyAlignment="1">
      <alignment wrapText="1"/>
    </xf>
    <xf numFmtId="0" fontId="16"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20" fillId="0" borderId="0" xfId="0" applyFont="1" applyFill="1" applyBorder="1" applyAlignment="1">
      <alignment horizontal="center" wrapText="1"/>
    </xf>
    <xf numFmtId="0" fontId="33" fillId="0" borderId="0" xfId="0" applyFont="1" applyFill="1" applyBorder="1" applyAlignment="1">
      <alignment horizontal="center" vertical="center" wrapText="1"/>
    </xf>
    <xf numFmtId="0" fontId="34" fillId="0" borderId="0" xfId="0" applyFont="1" applyFill="1" applyBorder="1" applyAlignment="1">
      <alignment horizontal="center" vertical="center" wrapText="1"/>
    </xf>
    <xf numFmtId="0" fontId="34" fillId="0" borderId="0" xfId="0" applyFont="1" applyFill="1" applyBorder="1" applyAlignment="1">
      <alignment horizontal="center" wrapText="1"/>
    </xf>
    <xf numFmtId="14" fontId="16" fillId="0" borderId="54" xfId="0" applyNumberFormat="1" applyFont="1" applyFill="1" applyBorder="1" applyAlignment="1">
      <alignment horizontal="center" vertical="center" wrapText="1"/>
    </xf>
    <xf numFmtId="0" fontId="33" fillId="0" borderId="54" xfId="0" applyFont="1" applyFill="1" applyBorder="1" applyAlignment="1">
      <alignment horizontal="center" vertical="center" wrapText="1"/>
    </xf>
    <xf numFmtId="0" fontId="17" fillId="0" borderId="54" xfId="0" applyFont="1" applyFill="1" applyBorder="1" applyAlignment="1">
      <alignment horizontal="center" vertical="center" wrapText="1"/>
    </xf>
    <xf numFmtId="0" fontId="18" fillId="6" borderId="21" xfId="0" applyFont="1" applyFill="1" applyBorder="1" applyAlignment="1">
      <alignment horizontal="center" vertical="center" wrapText="1"/>
    </xf>
    <xf numFmtId="0" fontId="20" fillId="7" borderId="29" xfId="0" applyFont="1" applyFill="1" applyBorder="1" applyAlignment="1">
      <alignment horizontal="center" vertical="center" wrapText="1"/>
    </xf>
    <xf numFmtId="0" fontId="20" fillId="7" borderId="61" xfId="0" applyFont="1" applyFill="1" applyBorder="1" applyAlignment="1">
      <alignment horizontal="center" vertical="center" wrapText="1"/>
    </xf>
    <xf numFmtId="0" fontId="6" fillId="2" borderId="0" xfId="0" applyFont="1" applyFill="1" applyBorder="1" applyAlignment="1" applyProtection="1">
      <alignment horizontal="center" vertical="center"/>
    </xf>
    <xf numFmtId="0" fontId="16" fillId="2" borderId="0" xfId="0" applyFont="1" applyFill="1" applyBorder="1" applyAlignment="1" applyProtection="1">
      <alignment horizontal="center" vertical="center" wrapText="1"/>
      <protection locked="0"/>
    </xf>
    <xf numFmtId="0" fontId="8" fillId="2" borderId="0" xfId="0" applyFont="1" applyFill="1" applyBorder="1" applyAlignment="1" applyProtection="1">
      <alignment horizontal="center" vertical="center" wrapText="1"/>
      <protection locked="0"/>
    </xf>
    <xf numFmtId="0" fontId="9" fillId="2" borderId="0" xfId="0" applyFont="1" applyFill="1" applyBorder="1" applyAlignment="1" applyProtection="1">
      <alignment horizontal="center" vertical="center" wrapText="1"/>
      <protection locked="0"/>
    </xf>
    <xf numFmtId="0" fontId="9" fillId="2" borderId="0" xfId="0" applyFont="1" applyFill="1" applyBorder="1" applyAlignment="1" applyProtection="1">
      <alignment horizontal="center" vertical="center"/>
      <protection locked="0" hidden="1"/>
    </xf>
    <xf numFmtId="0" fontId="9" fillId="2" borderId="0" xfId="0" applyFont="1" applyFill="1" applyBorder="1" applyAlignment="1" applyProtection="1">
      <alignment horizontal="center" vertical="center"/>
      <protection locked="0"/>
    </xf>
    <xf numFmtId="0" fontId="8" fillId="2" borderId="0" xfId="0" applyFont="1" applyFill="1" applyBorder="1" applyAlignment="1" applyProtection="1">
      <alignment horizontal="center" vertical="center"/>
    </xf>
    <xf numFmtId="0" fontId="9" fillId="2" borderId="0" xfId="0" applyFont="1" applyFill="1" applyBorder="1" applyAlignment="1" applyProtection="1">
      <alignment horizontal="center" vertical="center"/>
    </xf>
    <xf numFmtId="0" fontId="8" fillId="2" borderId="0" xfId="0" applyFont="1" applyFill="1" applyBorder="1" applyAlignment="1" applyProtection="1">
      <alignment horizontal="center" vertical="center"/>
      <protection locked="0"/>
    </xf>
    <xf numFmtId="0" fontId="10" fillId="2" borderId="0" xfId="3" applyFont="1" applyFill="1" applyBorder="1" applyAlignment="1" applyProtection="1">
      <alignment horizontal="center" vertical="center" wrapText="1"/>
    </xf>
    <xf numFmtId="2" fontId="10" fillId="2" borderId="0" xfId="3" applyNumberFormat="1" applyFont="1" applyFill="1" applyBorder="1" applyAlignment="1" applyProtection="1">
      <alignment horizontal="center" vertical="center" wrapText="1"/>
    </xf>
    <xf numFmtId="1" fontId="10" fillId="2" borderId="0" xfId="3" applyNumberFormat="1" applyFont="1" applyFill="1" applyBorder="1" applyAlignment="1" applyProtection="1">
      <alignment horizontal="center" vertical="center" wrapText="1"/>
    </xf>
    <xf numFmtId="0" fontId="11" fillId="0" borderId="44" xfId="0" applyFont="1" applyBorder="1" applyAlignment="1" applyProtection="1">
      <alignment vertical="center"/>
    </xf>
    <xf numFmtId="0" fontId="11" fillId="0" borderId="41" xfId="0" applyFont="1" applyBorder="1" applyAlignment="1" applyProtection="1">
      <alignment vertical="center"/>
    </xf>
    <xf numFmtId="0" fontId="11" fillId="0" borderId="45" xfId="0" applyFont="1" applyBorder="1" applyAlignment="1" applyProtection="1">
      <alignment vertical="center" wrapText="1"/>
    </xf>
    <xf numFmtId="0" fontId="11" fillId="0" borderId="48" xfId="0" applyFont="1" applyBorder="1" applyAlignment="1" applyProtection="1">
      <alignment vertical="center"/>
    </xf>
    <xf numFmtId="0" fontId="11" fillId="0" borderId="1" xfId="0" applyFont="1" applyBorder="1" applyAlignment="1" applyProtection="1">
      <alignment horizontal="center" vertical="center" wrapText="1"/>
    </xf>
    <xf numFmtId="0" fontId="11" fillId="0" borderId="29" xfId="0" applyFont="1" applyBorder="1" applyAlignment="1" applyProtection="1">
      <alignment horizontal="center" vertical="center" wrapText="1"/>
    </xf>
    <xf numFmtId="0" fontId="37" fillId="2" borderId="0" xfId="0" applyFont="1" applyFill="1"/>
    <xf numFmtId="0" fontId="37" fillId="0" borderId="0" xfId="0" applyFont="1"/>
    <xf numFmtId="0" fontId="37" fillId="0" borderId="1" xfId="0" applyFont="1" applyBorder="1" applyAlignment="1" applyProtection="1">
      <alignment horizontal="center"/>
    </xf>
    <xf numFmtId="0" fontId="37" fillId="0" borderId="14" xfId="0" applyFont="1" applyBorder="1" applyAlignment="1" applyProtection="1">
      <alignment horizontal="center"/>
    </xf>
    <xf numFmtId="0" fontId="40" fillId="13" borderId="1" xfId="3" applyFont="1" applyFill="1" applyBorder="1" applyAlignment="1" applyProtection="1">
      <alignment horizontal="center" vertical="center" wrapText="1"/>
    </xf>
    <xf numFmtId="2" fontId="40" fillId="13" borderId="1" xfId="3" applyNumberFormat="1" applyFont="1" applyFill="1" applyBorder="1" applyAlignment="1" applyProtection="1">
      <alignment horizontal="center" vertical="center" wrapText="1"/>
    </xf>
    <xf numFmtId="0" fontId="39" fillId="0" borderId="1" xfId="0" applyFont="1" applyFill="1" applyBorder="1" applyAlignment="1" applyProtection="1">
      <alignment horizontal="center" vertical="center"/>
    </xf>
    <xf numFmtId="0" fontId="38" fillId="13" borderId="1" xfId="0" applyFont="1" applyFill="1" applyBorder="1" applyAlignment="1" applyProtection="1">
      <alignment horizontal="center" vertical="center"/>
      <protection locked="0"/>
    </xf>
    <xf numFmtId="0" fontId="38" fillId="0" borderId="1" xfId="0" applyFont="1" applyFill="1" applyBorder="1" applyAlignment="1" applyProtection="1">
      <alignment horizontal="center" vertical="center"/>
    </xf>
    <xf numFmtId="0" fontId="39" fillId="0" borderId="1" xfId="0" applyFont="1" applyFill="1" applyBorder="1" applyAlignment="1" applyProtection="1">
      <alignment horizontal="center" vertical="center"/>
      <protection locked="0"/>
    </xf>
    <xf numFmtId="0" fontId="39" fillId="0" borderId="1" xfId="0" applyFont="1" applyFill="1" applyBorder="1" applyAlignment="1" applyProtection="1">
      <alignment horizontal="center" vertical="center" wrapText="1"/>
      <protection locked="0"/>
    </xf>
    <xf numFmtId="0" fontId="39" fillId="0" borderId="1" xfId="0" applyFont="1" applyFill="1" applyBorder="1" applyAlignment="1" applyProtection="1">
      <alignment horizontal="center" vertical="center" wrapText="1"/>
      <protection locked="0"/>
    </xf>
    <xf numFmtId="0" fontId="39" fillId="2" borderId="0" xfId="0" applyFont="1" applyFill="1" applyProtection="1"/>
    <xf numFmtId="0" fontId="39" fillId="13" borderId="2" xfId="0" applyFont="1" applyFill="1" applyBorder="1" applyAlignment="1" applyProtection="1">
      <alignment horizontal="center" vertical="center"/>
      <protection locked="0"/>
    </xf>
    <xf numFmtId="0" fontId="39" fillId="13" borderId="1" xfId="0" applyFont="1" applyFill="1" applyBorder="1" applyAlignment="1" applyProtection="1">
      <alignment horizontal="center" vertical="center"/>
      <protection locked="0"/>
    </xf>
    <xf numFmtId="0" fontId="38" fillId="0" borderId="1" xfId="0" applyFont="1" applyFill="1" applyBorder="1" applyAlignment="1" applyProtection="1">
      <alignment horizontal="center" vertical="center"/>
      <protection locked="0"/>
    </xf>
    <xf numFmtId="0" fontId="39" fillId="0" borderId="1" xfId="0" applyFont="1" applyFill="1" applyBorder="1" applyAlignment="1" applyProtection="1">
      <alignment horizontal="justify" vertical="center" wrapText="1"/>
      <protection locked="0"/>
    </xf>
    <xf numFmtId="0" fontId="39" fillId="0" borderId="19" xfId="0" applyFont="1" applyFill="1" applyBorder="1" applyAlignment="1" applyProtection="1">
      <alignment horizontal="justify" vertical="center" wrapText="1"/>
      <protection locked="0"/>
    </xf>
    <xf numFmtId="0" fontId="39" fillId="0" borderId="2" xfId="0" applyFont="1" applyFill="1" applyBorder="1" applyAlignment="1" applyProtection="1">
      <alignment horizontal="justify" vertical="center" wrapText="1"/>
      <protection locked="0"/>
    </xf>
    <xf numFmtId="0" fontId="38" fillId="0" borderId="1" xfId="0" applyFont="1" applyFill="1" applyBorder="1" applyAlignment="1" applyProtection="1">
      <alignment horizontal="justify" vertical="center" wrapText="1"/>
      <protection locked="0"/>
    </xf>
    <xf numFmtId="0" fontId="39" fillId="0" borderId="22" xfId="0" applyFont="1" applyFill="1" applyBorder="1" applyAlignment="1" applyProtection="1">
      <alignment vertical="center" wrapText="1"/>
      <protection locked="0"/>
    </xf>
    <xf numFmtId="0" fontId="39" fillId="0" borderId="2" xfId="0" applyFont="1" applyFill="1" applyBorder="1" applyAlignment="1" applyProtection="1">
      <alignment vertical="center" wrapText="1"/>
      <protection locked="0"/>
    </xf>
    <xf numFmtId="0" fontId="39" fillId="0" borderId="2" xfId="0" applyFont="1" applyFill="1" applyBorder="1" applyAlignment="1" applyProtection="1">
      <alignment horizontal="center" vertical="center" wrapText="1"/>
      <protection locked="0"/>
    </xf>
    <xf numFmtId="0" fontId="39" fillId="0" borderId="22" xfId="0" applyFont="1" applyFill="1" applyBorder="1" applyAlignment="1" applyProtection="1">
      <alignment horizontal="center" vertical="center" wrapText="1"/>
      <protection locked="0"/>
    </xf>
    <xf numFmtId="0" fontId="39" fillId="0" borderId="0" xfId="0" applyFont="1" applyProtection="1"/>
    <xf numFmtId="0" fontId="39" fillId="0" borderId="22" xfId="0" applyFont="1" applyFill="1" applyBorder="1" applyAlignment="1" applyProtection="1">
      <alignment horizontal="justify" vertical="center" wrapText="1"/>
      <protection locked="0"/>
    </xf>
    <xf numFmtId="0" fontId="40" fillId="0" borderId="1" xfId="0" applyFont="1" applyFill="1" applyBorder="1" applyAlignment="1" applyProtection="1">
      <alignment horizontal="justify" vertical="center" wrapText="1"/>
      <protection locked="0"/>
    </xf>
    <xf numFmtId="0" fontId="39" fillId="0" borderId="14" xfId="0" applyFont="1" applyFill="1" applyBorder="1" applyAlignment="1" applyProtection="1">
      <alignment horizontal="justify" vertical="center" wrapText="1"/>
      <protection locked="0"/>
    </xf>
    <xf numFmtId="0" fontId="39" fillId="0" borderId="1" xfId="0" applyFont="1" applyFill="1" applyBorder="1" applyAlignment="1" applyProtection="1">
      <alignment horizontal="justify" vertical="center" wrapText="1"/>
      <protection locked="0"/>
    </xf>
    <xf numFmtId="0" fontId="39" fillId="0" borderId="1" xfId="0" applyFont="1" applyFill="1" applyBorder="1" applyAlignment="1">
      <alignment horizontal="justify" vertical="center" wrapText="1"/>
    </xf>
    <xf numFmtId="0" fontId="39" fillId="0" borderId="22" xfId="0" applyFont="1" applyBorder="1" applyAlignment="1">
      <alignment horizontal="justify" vertical="center" wrapText="1"/>
    </xf>
    <xf numFmtId="0" fontId="39" fillId="0" borderId="19" xfId="0" applyFont="1" applyBorder="1" applyAlignment="1">
      <alignment horizontal="justify" vertical="center" wrapText="1"/>
    </xf>
    <xf numFmtId="0" fontId="39" fillId="0" borderId="2" xfId="0" applyFont="1" applyBorder="1" applyAlignment="1">
      <alignment horizontal="justify" vertical="center" wrapText="1"/>
    </xf>
    <xf numFmtId="0" fontId="38" fillId="0" borderId="1" xfId="0" applyFont="1" applyFill="1" applyBorder="1" applyAlignment="1" applyProtection="1">
      <alignment horizontal="justify" vertical="center"/>
      <protection locked="0"/>
    </xf>
    <xf numFmtId="0" fontId="39" fillId="0" borderId="18" xfId="0" applyFont="1" applyFill="1" applyBorder="1" applyAlignment="1" applyProtection="1">
      <alignment horizontal="justify" vertical="center" wrapText="1"/>
      <protection locked="0"/>
    </xf>
    <xf numFmtId="0" fontId="43" fillId="8" borderId="48" xfId="4" applyFont="1" applyFill="1" applyBorder="1" applyAlignment="1" applyProtection="1">
      <alignment horizontal="center" vertical="center"/>
    </xf>
    <xf numFmtId="0" fontId="44" fillId="10" borderId="1" xfId="3" applyFont="1" applyFill="1" applyBorder="1" applyAlignment="1" applyProtection="1">
      <alignment horizontal="center" vertical="center" wrapText="1"/>
    </xf>
    <xf numFmtId="0" fontId="44" fillId="11" borderId="1" xfId="3" applyFont="1" applyFill="1" applyBorder="1" applyAlignment="1" applyProtection="1">
      <alignment horizontal="center" vertical="center" wrapText="1"/>
    </xf>
    <xf numFmtId="0" fontId="45" fillId="10" borderId="1" xfId="3" applyFont="1" applyFill="1" applyBorder="1" applyAlignment="1" applyProtection="1">
      <alignment horizontal="center" vertical="center" wrapText="1"/>
    </xf>
    <xf numFmtId="0" fontId="44" fillId="11" borderId="22" xfId="3" applyFont="1" applyFill="1" applyBorder="1" applyAlignment="1" applyProtection="1">
      <alignment horizontal="center" vertical="center" wrapText="1"/>
    </xf>
    <xf numFmtId="0" fontId="46" fillId="0" borderId="16" xfId="0" applyFont="1" applyBorder="1" applyAlignment="1">
      <alignment horizontal="left" vertical="center" wrapText="1"/>
    </xf>
    <xf numFmtId="0" fontId="46" fillId="0" borderId="57" xfId="0" applyFont="1" applyBorder="1" applyAlignment="1">
      <alignment horizontal="left" vertical="center" wrapText="1"/>
    </xf>
    <xf numFmtId="0" fontId="46" fillId="0" borderId="56" xfId="0" applyFont="1" applyBorder="1" applyAlignment="1">
      <alignment horizontal="left" vertical="center"/>
    </xf>
    <xf numFmtId="0" fontId="39" fillId="2" borderId="6" xfId="0" applyFont="1" applyFill="1" applyBorder="1" applyProtection="1"/>
    <xf numFmtId="0" fontId="39" fillId="2" borderId="7" xfId="0" applyFont="1" applyFill="1" applyBorder="1" applyProtection="1"/>
    <xf numFmtId="0" fontId="39" fillId="2" borderId="8" xfId="0" applyFont="1" applyFill="1" applyBorder="1" applyProtection="1"/>
    <xf numFmtId="0" fontId="38" fillId="0" borderId="6" xfId="0" applyFont="1" applyBorder="1" applyAlignment="1" applyProtection="1">
      <alignment vertical="center" wrapText="1"/>
    </xf>
    <xf numFmtId="0" fontId="38" fillId="0" borderId="7" xfId="0" applyFont="1" applyBorder="1" applyAlignment="1" applyProtection="1">
      <alignment vertical="center" wrapText="1"/>
    </xf>
    <xf numFmtId="0" fontId="38" fillId="0" borderId="7" xfId="0" applyFont="1" applyBorder="1" applyAlignment="1" applyProtection="1">
      <alignment vertical="center"/>
    </xf>
    <xf numFmtId="0" fontId="41" fillId="0" borderId="7" xfId="0" applyFont="1" applyBorder="1" applyAlignment="1" applyProtection="1">
      <alignment vertical="center"/>
    </xf>
    <xf numFmtId="0" fontId="42" fillId="0" borderId="7" xfId="0" applyFont="1" applyBorder="1" applyAlignment="1" applyProtection="1">
      <alignment vertical="center"/>
    </xf>
    <xf numFmtId="0" fontId="42" fillId="0" borderId="8" xfId="0" applyFont="1" applyBorder="1" applyAlignment="1" applyProtection="1">
      <alignment vertical="center"/>
    </xf>
    <xf numFmtId="0" fontId="40" fillId="2" borderId="54" xfId="0" applyFont="1" applyFill="1" applyBorder="1" applyAlignment="1" applyProtection="1">
      <alignment vertical="center" wrapText="1"/>
    </xf>
    <xf numFmtId="0" fontId="40" fillId="2" borderId="37" xfId="0" applyFont="1" applyFill="1" applyBorder="1" applyAlignment="1" applyProtection="1">
      <alignment vertical="center" wrapText="1"/>
    </xf>
    <xf numFmtId="0" fontId="40" fillId="2" borderId="54" xfId="0" applyFont="1" applyFill="1" applyBorder="1" applyAlignment="1" applyProtection="1">
      <alignment horizontal="center" vertical="center" wrapText="1"/>
    </xf>
    <xf numFmtId="0" fontId="39" fillId="0" borderId="1" xfId="0" applyFont="1" applyFill="1" applyBorder="1" applyAlignment="1" applyProtection="1">
      <alignment horizontal="center" vertical="center"/>
    </xf>
    <xf numFmtId="1" fontId="41" fillId="13" borderId="1" xfId="3" applyNumberFormat="1" applyFont="1" applyFill="1" applyBorder="1" applyAlignment="1" applyProtection="1">
      <alignment horizontal="center" vertical="center" wrapText="1"/>
    </xf>
    <xf numFmtId="0" fontId="38" fillId="13" borderId="1" xfId="0" applyFont="1" applyFill="1" applyBorder="1" applyAlignment="1" applyProtection="1">
      <alignment horizontal="center" vertical="center"/>
      <protection locked="0"/>
    </xf>
    <xf numFmtId="0" fontId="39" fillId="13" borderId="1" xfId="0" applyFont="1" applyFill="1" applyBorder="1" applyAlignment="1" applyProtection="1">
      <alignment horizontal="center" vertical="center"/>
    </xf>
    <xf numFmtId="0" fontId="38" fillId="0" borderId="1" xfId="0" applyFont="1" applyFill="1" applyBorder="1" applyAlignment="1" applyProtection="1">
      <alignment horizontal="center" vertical="center"/>
    </xf>
    <xf numFmtId="0" fontId="39" fillId="0" borderId="1" xfId="0" applyFont="1" applyFill="1" applyBorder="1" applyAlignment="1" applyProtection="1">
      <alignment horizontal="center" vertical="center"/>
      <protection locked="0" hidden="1"/>
    </xf>
    <xf numFmtId="0" fontId="39" fillId="0" borderId="1" xfId="0" applyFont="1" applyFill="1" applyBorder="1" applyAlignment="1" applyProtection="1">
      <alignment horizontal="center" vertical="center"/>
      <protection locked="0"/>
    </xf>
    <xf numFmtId="0" fontId="39" fillId="0" borderId="22" xfId="0" applyFont="1" applyFill="1" applyBorder="1" applyAlignment="1" applyProtection="1">
      <alignment horizontal="center" vertical="center" wrapText="1"/>
      <protection locked="0"/>
    </xf>
    <xf numFmtId="0" fontId="39" fillId="0" borderId="19" xfId="0" applyFont="1" applyFill="1" applyBorder="1" applyAlignment="1" applyProtection="1">
      <alignment horizontal="center" vertical="center" wrapText="1"/>
      <protection locked="0"/>
    </xf>
    <xf numFmtId="0" fontId="39" fillId="0" borderId="2" xfId="0" applyFont="1" applyFill="1" applyBorder="1" applyAlignment="1" applyProtection="1">
      <alignment horizontal="center" vertical="center" wrapText="1"/>
      <protection locked="0"/>
    </xf>
    <xf numFmtId="0" fontId="39" fillId="0" borderId="1" xfId="0" applyFont="1" applyFill="1" applyBorder="1" applyAlignment="1" applyProtection="1">
      <alignment horizontal="center" vertical="center" wrapText="1"/>
      <protection locked="0"/>
    </xf>
    <xf numFmtId="0" fontId="38" fillId="0" borderId="1" xfId="0" applyFont="1" applyFill="1" applyBorder="1" applyAlignment="1" applyProtection="1">
      <alignment horizontal="center" vertical="center" wrapText="1"/>
      <protection locked="0"/>
    </xf>
    <xf numFmtId="0" fontId="39" fillId="0" borderId="22" xfId="0" applyFont="1" applyFill="1" applyBorder="1" applyAlignment="1" applyProtection="1">
      <alignment horizontal="justify" vertical="center" wrapText="1"/>
      <protection locked="0"/>
    </xf>
    <xf numFmtId="0" fontId="39" fillId="0" borderId="19" xfId="0" applyFont="1" applyFill="1" applyBorder="1" applyAlignment="1" applyProtection="1">
      <alignment horizontal="justify" vertical="center" wrapText="1"/>
      <protection locked="0"/>
    </xf>
    <xf numFmtId="0" fontId="39" fillId="0" borderId="2" xfId="0" applyFont="1" applyFill="1" applyBorder="1" applyAlignment="1" applyProtection="1">
      <alignment horizontal="justify" vertical="center" wrapText="1"/>
      <protection locked="0"/>
    </xf>
    <xf numFmtId="0" fontId="39" fillId="0" borderId="1" xfId="0" applyFont="1" applyFill="1" applyBorder="1" applyAlignment="1" applyProtection="1">
      <alignment horizontal="justify" vertical="center" wrapText="1"/>
      <protection locked="0"/>
    </xf>
    <xf numFmtId="0" fontId="39" fillId="0" borderId="14" xfId="0" applyFont="1" applyFill="1" applyBorder="1" applyAlignment="1" applyProtection="1">
      <alignment horizontal="justify" vertical="center" wrapText="1"/>
      <protection locked="0"/>
    </xf>
    <xf numFmtId="0" fontId="40" fillId="0" borderId="1" xfId="0" applyFont="1" applyFill="1" applyBorder="1" applyAlignment="1" applyProtection="1">
      <alignment horizontal="center" vertical="center" wrapText="1"/>
      <protection locked="0"/>
    </xf>
    <xf numFmtId="0" fontId="40" fillId="0" borderId="22" xfId="0" applyFont="1" applyFill="1" applyBorder="1" applyAlignment="1" applyProtection="1">
      <alignment horizontal="center" vertical="center" wrapText="1"/>
      <protection locked="0"/>
    </xf>
    <xf numFmtId="0" fontId="40" fillId="0" borderId="19" xfId="0" applyFont="1" applyFill="1" applyBorder="1" applyAlignment="1" applyProtection="1">
      <alignment horizontal="center" vertical="center" wrapText="1"/>
      <protection locked="0"/>
    </xf>
    <xf numFmtId="0" fontId="40" fillId="0" borderId="2" xfId="0" applyFont="1" applyFill="1" applyBorder="1" applyAlignment="1" applyProtection="1">
      <alignment horizontal="center" vertical="center" wrapText="1"/>
      <protection locked="0"/>
    </xf>
    <xf numFmtId="0" fontId="39" fillId="0" borderId="22" xfId="0" applyFont="1" applyFill="1" applyBorder="1" applyAlignment="1">
      <alignment horizontal="center" vertical="center" wrapText="1"/>
    </xf>
    <xf numFmtId="0" fontId="39" fillId="0" borderId="19" xfId="0" applyFont="1" applyFill="1" applyBorder="1" applyAlignment="1">
      <alignment horizontal="center" vertical="center" wrapText="1"/>
    </xf>
    <xf numFmtId="0" fontId="39" fillId="0" borderId="2" xfId="0" applyFont="1" applyFill="1" applyBorder="1" applyAlignment="1">
      <alignment horizontal="center" vertical="center" wrapText="1"/>
    </xf>
    <xf numFmtId="0" fontId="39" fillId="0" borderId="22" xfId="0" applyFont="1" applyBorder="1" applyAlignment="1">
      <alignment horizontal="center" vertical="center" wrapText="1"/>
    </xf>
    <xf numFmtId="0" fontId="39" fillId="0" borderId="19" xfId="0" applyFont="1" applyBorder="1" applyAlignment="1">
      <alignment horizontal="center" vertical="center" wrapText="1"/>
    </xf>
    <xf numFmtId="0" fontId="39" fillId="0" borderId="2" xfId="0" applyFont="1" applyBorder="1" applyAlignment="1">
      <alignment horizontal="center" vertical="center" wrapText="1"/>
    </xf>
    <xf numFmtId="0" fontId="40" fillId="0" borderId="22" xfId="1" applyFont="1" applyBorder="1" applyAlignment="1">
      <alignment horizontal="center" vertical="center" wrapText="1"/>
    </xf>
    <xf numFmtId="0" fontId="40" fillId="0" borderId="19" xfId="1" applyFont="1" applyBorder="1" applyAlignment="1">
      <alignment horizontal="center" vertical="center" wrapText="1"/>
    </xf>
    <xf numFmtId="0" fontId="40" fillId="0" borderId="2" xfId="1" applyFont="1" applyBorder="1" applyAlignment="1">
      <alignment horizontal="center" vertical="center" wrapText="1"/>
    </xf>
    <xf numFmtId="0" fontId="38" fillId="0" borderId="68" xfId="0" applyFont="1" applyBorder="1" applyAlignment="1" applyProtection="1">
      <alignment horizontal="left" vertical="center"/>
    </xf>
    <xf numFmtId="0" fontId="38" fillId="0" borderId="39" xfId="0" applyFont="1" applyBorder="1" applyAlignment="1" applyProtection="1">
      <alignment horizontal="left" vertical="center"/>
    </xf>
    <xf numFmtId="0" fontId="38" fillId="0" borderId="40" xfId="0" applyFont="1" applyBorder="1" applyAlignment="1" applyProtection="1">
      <alignment horizontal="left" vertical="center"/>
    </xf>
    <xf numFmtId="0" fontId="38" fillId="0" borderId="37" xfId="0" applyFont="1" applyBorder="1" applyAlignment="1" applyProtection="1">
      <alignment horizontal="left" vertical="center"/>
    </xf>
    <xf numFmtId="0" fontId="38" fillId="0" borderId="48" xfId="0" applyFont="1" applyBorder="1" applyAlignment="1" applyProtection="1">
      <alignment horizontal="left" vertical="center"/>
    </xf>
    <xf numFmtId="0" fontId="38" fillId="0" borderId="49" xfId="0" applyFont="1" applyBorder="1" applyAlignment="1" applyProtection="1">
      <alignment horizontal="left" vertical="center"/>
    </xf>
    <xf numFmtId="0" fontId="46" fillId="0" borderId="16" xfId="0" applyFont="1" applyBorder="1" applyAlignment="1">
      <alignment horizontal="center" vertical="center"/>
    </xf>
    <xf numFmtId="0" fontId="46" fillId="0" borderId="17" xfId="0" applyFont="1" applyBorder="1" applyAlignment="1">
      <alignment horizontal="center" vertical="center"/>
    </xf>
    <xf numFmtId="0" fontId="43" fillId="8" borderId="46" xfId="4" applyFont="1" applyFill="1" applyBorder="1" applyAlignment="1" applyProtection="1">
      <alignment horizontal="center" vertical="center"/>
    </xf>
    <xf numFmtId="0" fontId="43" fillId="8" borderId="44" xfId="4" applyFont="1" applyFill="1" applyBorder="1" applyAlignment="1" applyProtection="1">
      <alignment horizontal="center" vertical="center"/>
    </xf>
    <xf numFmtId="0" fontId="43" fillId="8" borderId="51" xfId="4" applyFont="1" applyFill="1" applyBorder="1" applyAlignment="1" applyProtection="1">
      <alignment horizontal="center" vertical="center"/>
    </xf>
    <xf numFmtId="0" fontId="43" fillId="8" borderId="52" xfId="4" applyFont="1" applyFill="1" applyBorder="1" applyAlignment="1" applyProtection="1">
      <alignment horizontal="center" vertical="center"/>
    </xf>
    <xf numFmtId="0" fontId="43" fillId="8" borderId="48" xfId="4" applyFont="1" applyFill="1" applyBorder="1" applyAlignment="1" applyProtection="1">
      <alignment horizontal="center" vertical="center"/>
    </xf>
    <xf numFmtId="0" fontId="43" fillId="8" borderId="53" xfId="4" applyFont="1" applyFill="1" applyBorder="1" applyAlignment="1" applyProtection="1">
      <alignment horizontal="center" vertical="center"/>
    </xf>
    <xf numFmtId="0" fontId="46" fillId="0" borderId="38" xfId="0" applyFont="1" applyBorder="1" applyAlignment="1">
      <alignment horizontal="center" vertical="center"/>
    </xf>
    <xf numFmtId="0" fontId="46" fillId="0" borderId="39" xfId="0" applyFont="1" applyBorder="1" applyAlignment="1">
      <alignment horizontal="center" vertical="center"/>
    </xf>
    <xf numFmtId="0" fontId="46" fillId="0" borderId="40" xfId="0" applyFont="1" applyBorder="1" applyAlignment="1">
      <alignment horizontal="center" vertical="center"/>
    </xf>
    <xf numFmtId="0" fontId="46" fillId="0" borderId="5" xfId="0" applyFont="1" applyBorder="1" applyAlignment="1">
      <alignment horizontal="center" vertical="center"/>
    </xf>
    <xf numFmtId="0" fontId="46" fillId="0" borderId="0" xfId="0" applyFont="1" applyBorder="1" applyAlignment="1">
      <alignment horizontal="center" vertical="center"/>
    </xf>
    <xf numFmtId="0" fontId="46" fillId="0" borderId="42" xfId="0" applyFont="1" applyBorder="1" applyAlignment="1">
      <alignment horizontal="center" vertical="center"/>
    </xf>
    <xf numFmtId="0" fontId="46" fillId="0" borderId="6" xfId="0" applyFont="1" applyBorder="1" applyAlignment="1">
      <alignment horizontal="center" vertical="center"/>
    </xf>
    <xf numFmtId="0" fontId="46" fillId="0" borderId="7" xfId="0" applyFont="1" applyBorder="1" applyAlignment="1">
      <alignment horizontal="center" vertical="center"/>
    </xf>
    <xf numFmtId="0" fontId="46" fillId="0" borderId="43" xfId="0" applyFont="1" applyBorder="1" applyAlignment="1">
      <alignment horizontal="center" vertical="center"/>
    </xf>
    <xf numFmtId="0" fontId="41" fillId="13" borderId="1" xfId="3" applyFont="1" applyFill="1" applyBorder="1" applyAlignment="1" applyProtection="1">
      <alignment horizontal="center" vertical="center" wrapText="1"/>
    </xf>
    <xf numFmtId="0" fontId="46" fillId="0" borderId="28" xfId="0" applyFont="1" applyBorder="1" applyAlignment="1">
      <alignment horizontal="center" vertical="center"/>
    </xf>
    <xf numFmtId="0" fontId="46" fillId="0" borderId="29" xfId="0" applyFont="1" applyBorder="1" applyAlignment="1">
      <alignment horizontal="center" vertical="center"/>
    </xf>
    <xf numFmtId="0" fontId="38" fillId="0" borderId="29" xfId="0" applyFont="1" applyBorder="1" applyAlignment="1" applyProtection="1">
      <alignment horizontal="left" vertical="center"/>
    </xf>
    <xf numFmtId="0" fontId="38" fillId="0" borderId="18" xfId="0" applyFont="1" applyBorder="1" applyAlignment="1" applyProtection="1">
      <alignment horizontal="left" vertical="center"/>
    </xf>
    <xf numFmtId="0" fontId="38" fillId="0" borderId="41" xfId="0" applyFont="1" applyBorder="1" applyAlignment="1" applyProtection="1">
      <alignment horizontal="left" vertical="center"/>
    </xf>
    <xf numFmtId="0" fontId="38" fillId="0" borderId="34" xfId="0" applyFont="1" applyBorder="1" applyAlignment="1" applyProtection="1">
      <alignment horizontal="left" vertical="center"/>
    </xf>
    <xf numFmtId="0" fontId="46" fillId="0" borderId="14" xfId="0" applyFont="1" applyBorder="1" applyAlignment="1">
      <alignment horizontal="center" vertical="center"/>
    </xf>
    <xf numFmtId="0" fontId="43" fillId="8" borderId="4" xfId="4" applyFont="1" applyFill="1" applyBorder="1" applyAlignment="1" applyProtection="1">
      <alignment horizontal="center" vertical="center"/>
    </xf>
    <xf numFmtId="0" fontId="44" fillId="10" borderId="66" xfId="2" applyFont="1" applyFill="1" applyBorder="1" applyAlignment="1" applyProtection="1">
      <alignment horizontal="center" vertical="center" wrapText="1"/>
    </xf>
    <xf numFmtId="0" fontId="44" fillId="10" borderId="26" xfId="2" applyFont="1" applyFill="1" applyBorder="1" applyAlignment="1" applyProtection="1">
      <alignment horizontal="center" vertical="center" wrapText="1"/>
    </xf>
    <xf numFmtId="0" fontId="44" fillId="10" borderId="2" xfId="2" applyFont="1" applyFill="1" applyBorder="1" applyAlignment="1" applyProtection="1">
      <alignment horizontal="center" vertical="center" wrapText="1"/>
    </xf>
    <xf numFmtId="0" fontId="44" fillId="10" borderId="1" xfId="2" applyFont="1" applyFill="1" applyBorder="1" applyAlignment="1" applyProtection="1">
      <alignment horizontal="center" vertical="center" wrapText="1"/>
    </xf>
    <xf numFmtId="0" fontId="44" fillId="10" borderId="37" xfId="2" applyFont="1" applyFill="1" applyBorder="1" applyAlignment="1" applyProtection="1">
      <alignment horizontal="center" vertical="center" wrapText="1"/>
    </xf>
    <xf numFmtId="0" fontId="44" fillId="10" borderId="18" xfId="2" applyFont="1" applyFill="1" applyBorder="1" applyAlignment="1" applyProtection="1">
      <alignment horizontal="center" vertical="center" wrapText="1"/>
    </xf>
    <xf numFmtId="0" fontId="43" fillId="8" borderId="10" xfId="4" applyFont="1" applyFill="1" applyBorder="1" applyAlignment="1" applyProtection="1">
      <alignment horizontal="center" vertical="center"/>
    </xf>
    <xf numFmtId="0" fontId="43" fillId="8" borderId="11" xfId="4" applyFont="1" applyFill="1" applyBorder="1" applyAlignment="1" applyProtection="1">
      <alignment horizontal="center" vertical="center"/>
    </xf>
    <xf numFmtId="0" fontId="43" fillId="8" borderId="12" xfId="4" applyFont="1" applyFill="1" applyBorder="1" applyAlignment="1" applyProtection="1">
      <alignment horizontal="center" vertical="center"/>
    </xf>
    <xf numFmtId="0" fontId="43" fillId="8" borderId="55" xfId="4" applyFont="1" applyFill="1" applyBorder="1" applyAlignment="1" applyProtection="1">
      <alignment horizontal="center" vertical="center"/>
    </xf>
    <xf numFmtId="0" fontId="43" fillId="8" borderId="56" xfId="4" applyFont="1" applyFill="1" applyBorder="1" applyAlignment="1" applyProtection="1">
      <alignment horizontal="center" vertical="center"/>
    </xf>
    <xf numFmtId="0" fontId="45" fillId="10" borderId="18" xfId="3" applyFont="1" applyFill="1" applyBorder="1" applyAlignment="1" applyProtection="1">
      <alignment horizontal="center" vertical="center" wrapText="1"/>
    </xf>
    <xf numFmtId="0" fontId="45" fillId="10" borderId="41" xfId="3" applyFont="1" applyFill="1" applyBorder="1" applyAlignment="1" applyProtection="1">
      <alignment horizontal="center" vertical="center" wrapText="1"/>
    </xf>
    <xf numFmtId="0" fontId="45" fillId="10" borderId="34" xfId="3" applyFont="1" applyFill="1" applyBorder="1" applyAlignment="1" applyProtection="1">
      <alignment horizontal="center" vertical="center" wrapText="1"/>
    </xf>
    <xf numFmtId="0" fontId="38" fillId="2" borderId="63" xfId="0" applyFont="1" applyFill="1" applyBorder="1" applyAlignment="1" applyProtection="1">
      <alignment horizontal="center" vertical="center" wrapText="1"/>
    </xf>
    <xf numFmtId="0" fontId="38" fillId="2" borderId="3" xfId="0" applyFont="1" applyFill="1" applyBorder="1" applyAlignment="1" applyProtection="1">
      <alignment horizontal="center" vertical="center" wrapText="1"/>
    </xf>
    <xf numFmtId="0" fontId="38" fillId="2" borderId="9" xfId="0" applyFont="1" applyFill="1" applyBorder="1" applyAlignment="1" applyProtection="1">
      <alignment horizontal="center" vertical="center" wrapText="1"/>
    </xf>
    <xf numFmtId="0" fontId="38" fillId="0" borderId="6" xfId="0" applyFont="1" applyBorder="1" applyAlignment="1" applyProtection="1">
      <alignment horizontal="center" vertical="center" wrapText="1"/>
    </xf>
    <xf numFmtId="0" fontId="38" fillId="0" borderId="7" xfId="0" applyFont="1" applyBorder="1" applyAlignment="1" applyProtection="1">
      <alignment horizontal="center" vertical="center" wrapText="1"/>
    </xf>
    <xf numFmtId="0" fontId="40" fillId="2" borderId="68" xfId="0" applyFont="1" applyFill="1" applyBorder="1" applyAlignment="1" applyProtection="1">
      <alignment horizontal="center" vertical="center" wrapText="1"/>
    </xf>
    <xf numFmtId="0" fontId="39" fillId="0" borderId="20" xfId="0" applyFont="1" applyFill="1" applyBorder="1" applyAlignment="1" applyProtection="1">
      <alignment horizontal="center" vertical="center" wrapText="1"/>
      <protection locked="0"/>
    </xf>
    <xf numFmtId="0" fontId="11" fillId="0" borderId="18" xfId="0" applyFont="1" applyBorder="1" applyAlignment="1" applyProtection="1">
      <alignment horizontal="left" vertical="center"/>
    </xf>
    <xf numFmtId="0" fontId="11" fillId="0" borderId="41" xfId="0" applyFont="1" applyBorder="1" applyAlignment="1" applyProtection="1">
      <alignment horizontal="left" vertical="center"/>
    </xf>
    <xf numFmtId="0" fontId="11" fillId="0" borderId="34" xfId="0" applyFont="1" applyBorder="1" applyAlignment="1" applyProtection="1">
      <alignment horizontal="left" vertical="center"/>
    </xf>
    <xf numFmtId="0" fontId="11" fillId="0" borderId="36" xfId="0" applyFont="1" applyBorder="1" applyAlignment="1" applyProtection="1">
      <alignment horizontal="center" vertical="center" wrapText="1"/>
    </xf>
    <xf numFmtId="0" fontId="11" fillId="0" borderId="45" xfId="0" applyFont="1" applyBorder="1" applyAlignment="1" applyProtection="1">
      <alignment horizontal="center" vertical="center" wrapText="1"/>
    </xf>
    <xf numFmtId="0" fontId="11" fillId="0" borderId="35" xfId="0" applyFont="1" applyBorder="1" applyAlignment="1" applyProtection="1">
      <alignment horizontal="center" vertical="center" wrapText="1"/>
    </xf>
    <xf numFmtId="0" fontId="36" fillId="0" borderId="18" xfId="0" applyFont="1" applyBorder="1" applyAlignment="1">
      <alignment vertical="center"/>
    </xf>
    <xf numFmtId="0" fontId="36" fillId="0" borderId="41" xfId="0" applyFont="1" applyBorder="1" applyAlignment="1">
      <alignment vertical="center"/>
    </xf>
    <xf numFmtId="0" fontId="36" fillId="0" borderId="71" xfId="0" applyFont="1" applyBorder="1" applyAlignment="1">
      <alignment vertical="center"/>
    </xf>
    <xf numFmtId="0" fontId="20" fillId="7" borderId="29" xfId="0" applyFont="1" applyFill="1" applyBorder="1" applyAlignment="1">
      <alignment horizontal="center" wrapText="1"/>
    </xf>
    <xf numFmtId="0" fontId="20" fillId="7" borderId="1" xfId="0" applyFont="1" applyFill="1" applyBorder="1" applyAlignment="1">
      <alignment horizontal="center" wrapText="1"/>
    </xf>
    <xf numFmtId="0" fontId="27" fillId="16" borderId="10" xfId="0" applyFont="1" applyFill="1" applyBorder="1" applyAlignment="1">
      <alignment horizontal="center" vertical="center"/>
    </xf>
    <xf numFmtId="0" fontId="27" fillId="16" borderId="11" xfId="0" applyFont="1" applyFill="1" applyBorder="1" applyAlignment="1">
      <alignment horizontal="center" vertical="center"/>
    </xf>
    <xf numFmtId="0" fontId="15" fillId="9" borderId="29"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5" fillId="9" borderId="14" xfId="0" applyFont="1" applyFill="1" applyBorder="1" applyAlignment="1">
      <alignment horizontal="center" vertical="center" wrapText="1"/>
    </xf>
    <xf numFmtId="14" fontId="16" fillId="9" borderId="16" xfId="0" applyNumberFormat="1" applyFont="1" applyFill="1" applyBorder="1" applyAlignment="1">
      <alignment horizontal="center" vertical="center" wrapText="1"/>
    </xf>
    <xf numFmtId="14" fontId="16" fillId="9" borderId="21" xfId="0" applyNumberFormat="1" applyFont="1" applyFill="1" applyBorder="1" applyAlignment="1">
      <alignment horizontal="center" vertical="center" wrapText="1"/>
    </xf>
    <xf numFmtId="14" fontId="16" fillId="9" borderId="17" xfId="0" applyNumberFormat="1" applyFont="1" applyFill="1" applyBorder="1" applyAlignment="1">
      <alignment horizontal="center" vertical="center" wrapText="1"/>
    </xf>
    <xf numFmtId="0" fontId="20" fillId="9" borderId="1" xfId="0" applyFont="1" applyFill="1" applyBorder="1" applyAlignment="1">
      <alignment horizontal="center" wrapText="1"/>
    </xf>
    <xf numFmtId="0" fontId="20" fillId="7" borderId="2" xfId="0" applyFont="1" applyFill="1" applyBorder="1" applyAlignment="1">
      <alignment horizontal="center" wrapText="1"/>
    </xf>
    <xf numFmtId="0" fontId="15" fillId="7" borderId="20" xfId="0" applyFont="1" applyFill="1" applyBorder="1" applyAlignment="1">
      <alignment horizontal="center" vertical="center" wrapText="1"/>
    </xf>
    <xf numFmtId="0" fontId="15" fillId="7" borderId="19" xfId="0" applyFont="1" applyFill="1" applyBorder="1" applyAlignment="1">
      <alignment horizontal="center" vertical="center" wrapText="1"/>
    </xf>
    <xf numFmtId="0" fontId="15" fillId="7" borderId="61" xfId="0" applyFont="1" applyFill="1" applyBorder="1" applyAlignment="1">
      <alignment horizontal="center" vertical="center" wrapText="1"/>
    </xf>
    <xf numFmtId="0" fontId="18" fillId="6" borderId="10" xfId="0" applyFont="1" applyFill="1" applyBorder="1" applyAlignment="1">
      <alignment horizontal="center" vertical="center" wrapText="1"/>
    </xf>
    <xf numFmtId="0" fontId="18" fillId="6" borderId="11" xfId="0" applyFont="1" applyFill="1" applyBorder="1" applyAlignment="1">
      <alignment horizontal="center" vertical="center" wrapText="1"/>
    </xf>
    <xf numFmtId="0" fontId="18" fillId="6" borderId="12" xfId="0" applyFont="1" applyFill="1" applyBorder="1" applyAlignment="1">
      <alignment horizontal="center" vertical="center" wrapText="1"/>
    </xf>
    <xf numFmtId="0" fontId="15" fillId="7" borderId="2" xfId="0" applyFont="1" applyFill="1" applyBorder="1" applyAlignment="1">
      <alignment horizontal="center" vertical="center" wrapText="1"/>
    </xf>
    <xf numFmtId="0" fontId="18" fillId="6" borderId="63" xfId="0" applyFont="1" applyFill="1" applyBorder="1" applyAlignment="1">
      <alignment horizontal="center" vertical="center" wrapText="1"/>
    </xf>
    <xf numFmtId="0" fontId="18" fillId="6" borderId="3" xfId="0" applyFont="1" applyFill="1" applyBorder="1" applyAlignment="1">
      <alignment horizontal="center" vertical="center" wrapText="1"/>
    </xf>
    <xf numFmtId="0" fontId="18" fillId="6" borderId="9" xfId="0" applyFont="1" applyFill="1" applyBorder="1" applyAlignment="1">
      <alignment horizontal="center" vertical="center" wrapText="1"/>
    </xf>
    <xf numFmtId="0" fontId="15" fillId="7" borderId="1" xfId="0" applyFont="1" applyFill="1" applyBorder="1" applyAlignment="1">
      <alignment horizontal="center" vertical="center" wrapText="1"/>
    </xf>
    <xf numFmtId="0" fontId="16" fillId="7" borderId="67" xfId="0" applyFont="1" applyFill="1" applyBorder="1" applyAlignment="1">
      <alignment horizontal="center" vertical="center" wrapText="1"/>
    </xf>
    <xf numFmtId="0" fontId="16" fillId="7" borderId="60" xfId="0" applyFont="1" applyFill="1" applyBorder="1" applyAlignment="1">
      <alignment horizontal="center" vertical="center" wrapText="1"/>
    </xf>
    <xf numFmtId="0" fontId="16" fillId="7" borderId="66" xfId="0" applyFont="1" applyFill="1" applyBorder="1" applyAlignment="1">
      <alignment horizontal="center" vertical="center" wrapText="1"/>
    </xf>
    <xf numFmtId="0" fontId="15" fillId="7" borderId="22" xfId="0" applyFont="1" applyFill="1" applyBorder="1" applyAlignment="1">
      <alignment horizontal="center" vertical="center" wrapText="1"/>
    </xf>
    <xf numFmtId="0" fontId="18" fillId="12" borderId="10" xfId="0" applyFont="1" applyFill="1" applyBorder="1" applyAlignment="1">
      <alignment horizontal="center" vertical="center" wrapText="1"/>
    </xf>
    <xf numFmtId="0" fontId="18" fillId="12" borderId="11" xfId="0" applyFont="1" applyFill="1" applyBorder="1" applyAlignment="1">
      <alignment horizontal="center" vertical="center" wrapText="1"/>
    </xf>
    <xf numFmtId="0" fontId="18" fillId="12" borderId="12" xfId="0" applyFont="1" applyFill="1" applyBorder="1" applyAlignment="1">
      <alignment horizontal="center" vertical="center" wrapText="1"/>
    </xf>
    <xf numFmtId="0" fontId="16" fillId="9" borderId="66" xfId="0" applyFont="1" applyFill="1" applyBorder="1" applyAlignment="1">
      <alignment horizontal="center" vertical="center" wrapText="1"/>
    </xf>
    <xf numFmtId="0" fontId="16" fillId="9" borderId="26" xfId="0" applyFont="1" applyFill="1" applyBorder="1" applyAlignment="1">
      <alignment horizontal="center" vertical="center" wrapText="1"/>
    </xf>
    <xf numFmtId="0" fontId="15" fillId="9" borderId="22" xfId="0" applyFont="1" applyFill="1" applyBorder="1" applyAlignment="1">
      <alignment horizontal="center" vertical="center" wrapText="1"/>
    </xf>
    <xf numFmtId="0" fontId="15" fillId="9" borderId="19" xfId="0" applyFont="1" applyFill="1" applyBorder="1" applyAlignment="1">
      <alignment horizontal="center" vertical="center" wrapText="1"/>
    </xf>
    <xf numFmtId="0" fontId="15" fillId="9" borderId="2" xfId="0" applyFont="1" applyFill="1" applyBorder="1" applyAlignment="1">
      <alignment horizontal="center" vertical="center" wrapText="1"/>
    </xf>
    <xf numFmtId="0" fontId="18" fillId="6" borderId="16" xfId="0" applyFont="1" applyFill="1" applyBorder="1" applyAlignment="1">
      <alignment horizontal="center" vertical="center" wrapText="1"/>
    </xf>
    <xf numFmtId="0" fontId="18" fillId="6" borderId="17" xfId="0" applyFont="1" applyFill="1" applyBorder="1" applyAlignment="1">
      <alignment horizontal="center" vertical="center" wrapText="1"/>
    </xf>
    <xf numFmtId="0" fontId="18" fillId="6" borderId="21" xfId="0" applyFont="1" applyFill="1" applyBorder="1" applyAlignment="1">
      <alignment horizontal="center" vertical="center" wrapText="1"/>
    </xf>
    <xf numFmtId="0" fontId="16" fillId="7" borderId="42" xfId="0" applyFont="1" applyFill="1" applyBorder="1" applyAlignment="1">
      <alignment horizontal="center" vertical="center" wrapText="1"/>
    </xf>
    <xf numFmtId="0" fontId="16" fillId="7" borderId="49" xfId="0" applyFont="1" applyFill="1" applyBorder="1" applyAlignment="1">
      <alignment horizontal="center" vertical="center" wrapText="1"/>
    </xf>
    <xf numFmtId="0" fontId="16" fillId="7" borderId="43" xfId="0" applyFont="1" applyFill="1" applyBorder="1" applyAlignment="1">
      <alignment horizontal="center" vertical="center" wrapText="1"/>
    </xf>
    <xf numFmtId="0" fontId="15" fillId="7" borderId="14" xfId="0" applyFont="1" applyFill="1" applyBorder="1" applyAlignment="1">
      <alignment horizontal="center" vertical="center" wrapText="1"/>
    </xf>
    <xf numFmtId="0" fontId="15" fillId="7" borderId="29" xfId="0" applyFont="1" applyFill="1" applyBorder="1" applyAlignment="1">
      <alignment horizontal="center" vertical="center" wrapText="1"/>
    </xf>
    <xf numFmtId="0" fontId="20" fillId="9" borderId="29" xfId="0" applyFont="1" applyFill="1" applyBorder="1" applyAlignment="1">
      <alignment horizontal="center" wrapText="1"/>
    </xf>
    <xf numFmtId="0" fontId="18" fillId="12" borderId="16" xfId="0" applyFont="1" applyFill="1" applyBorder="1" applyAlignment="1">
      <alignment horizontal="center" vertical="center" wrapText="1"/>
    </xf>
    <xf numFmtId="0" fontId="18" fillId="12" borderId="17" xfId="0" applyFont="1" applyFill="1" applyBorder="1" applyAlignment="1">
      <alignment horizontal="center" vertical="center" wrapText="1"/>
    </xf>
    <xf numFmtId="14" fontId="16" fillId="7" borderId="16" xfId="0" applyNumberFormat="1" applyFont="1" applyFill="1" applyBorder="1" applyAlignment="1">
      <alignment horizontal="center" vertical="center" wrapText="1"/>
    </xf>
    <xf numFmtId="0" fontId="16" fillId="7" borderId="21" xfId="0" applyFont="1" applyFill="1" applyBorder="1" applyAlignment="1">
      <alignment horizontal="center" vertical="center" wrapText="1"/>
    </xf>
    <xf numFmtId="0" fontId="16" fillId="7" borderId="17" xfId="0" applyFont="1" applyFill="1" applyBorder="1" applyAlignment="1">
      <alignment horizontal="center" vertical="center" wrapText="1"/>
    </xf>
    <xf numFmtId="0" fontId="16" fillId="7" borderId="47" xfId="0" applyFont="1" applyFill="1" applyBorder="1" applyAlignment="1">
      <alignment horizontal="center" vertical="center" wrapText="1"/>
    </xf>
    <xf numFmtId="0" fontId="16" fillId="7" borderId="58" xfId="0" applyFont="1" applyFill="1" applyBorder="1" applyAlignment="1">
      <alignment horizontal="center" vertical="center" wrapText="1"/>
    </xf>
    <xf numFmtId="0" fontId="15" fillId="2" borderId="1" xfId="0" applyFont="1" applyFill="1" applyBorder="1" applyAlignment="1" applyProtection="1">
      <alignment horizontal="center"/>
    </xf>
    <xf numFmtId="0" fontId="14" fillId="0" borderId="6" xfId="0" applyFont="1" applyBorder="1" applyAlignment="1" applyProtection="1">
      <alignment horizontal="center" vertical="center" wrapText="1"/>
    </xf>
    <xf numFmtId="0" fontId="14" fillId="0" borderId="7" xfId="0" applyFont="1" applyBorder="1" applyAlignment="1" applyProtection="1">
      <alignment horizontal="center" vertical="center" wrapText="1"/>
    </xf>
    <xf numFmtId="0" fontId="14" fillId="0" borderId="11" xfId="0" applyFont="1" applyBorder="1" applyAlignment="1" applyProtection="1">
      <alignment horizontal="center" vertical="center" wrapText="1"/>
    </xf>
    <xf numFmtId="0" fontId="11" fillId="0" borderId="28" xfId="0" applyFont="1" applyBorder="1" applyAlignment="1" applyProtection="1">
      <alignment horizontal="center" vertical="center" wrapText="1"/>
    </xf>
    <xf numFmtId="0" fontId="11" fillId="0" borderId="29" xfId="0" applyFont="1" applyBorder="1" applyAlignment="1" applyProtection="1">
      <alignment horizontal="center" vertical="center" wrapText="1"/>
    </xf>
    <xf numFmtId="0" fontId="7" fillId="16" borderId="9" xfId="0" applyFont="1" applyFill="1" applyBorder="1" applyAlignment="1">
      <alignment horizontal="center" vertical="center" wrapText="1"/>
    </xf>
    <xf numFmtId="0" fontId="7" fillId="16" borderId="21" xfId="0" applyFont="1" applyFill="1" applyBorder="1" applyAlignment="1">
      <alignment horizontal="center" vertical="center" wrapText="1"/>
    </xf>
    <xf numFmtId="0" fontId="7" fillId="16" borderId="16" xfId="0" applyFont="1" applyFill="1" applyBorder="1" applyAlignment="1">
      <alignment horizontal="center" vertical="center" wrapText="1"/>
    </xf>
    <xf numFmtId="0" fontId="7" fillId="16" borderId="23" xfId="0" applyFont="1" applyFill="1" applyBorder="1" applyAlignment="1">
      <alignment horizontal="center" vertical="center" wrapText="1"/>
    </xf>
    <xf numFmtId="0" fontId="7" fillId="16" borderId="24" xfId="0" applyFont="1" applyFill="1" applyBorder="1" applyAlignment="1">
      <alignment horizontal="center" vertical="center" wrapText="1"/>
    </xf>
    <xf numFmtId="0" fontId="7" fillId="16" borderId="64" xfId="0" applyFont="1" applyFill="1" applyBorder="1" applyAlignment="1">
      <alignment horizontal="center" vertical="center" wrapText="1"/>
    </xf>
    <xf numFmtId="0" fontId="7" fillId="16" borderId="25" xfId="0" applyFont="1" applyFill="1" applyBorder="1" applyAlignment="1">
      <alignment horizontal="center" vertical="center" wrapText="1"/>
    </xf>
    <xf numFmtId="0" fontId="16" fillId="9" borderId="28" xfId="0" applyFont="1" applyFill="1" applyBorder="1" applyAlignment="1">
      <alignment horizontal="center" vertical="center" wrapText="1"/>
    </xf>
    <xf numFmtId="0" fontId="7" fillId="16" borderId="11" xfId="0" applyFont="1" applyFill="1" applyBorder="1" applyAlignment="1">
      <alignment horizontal="center" vertical="center" wrapText="1"/>
    </xf>
    <xf numFmtId="0" fontId="7" fillId="16" borderId="12" xfId="0" applyFont="1" applyFill="1" applyBorder="1" applyAlignment="1">
      <alignment horizontal="center" vertical="center" wrapText="1"/>
    </xf>
    <xf numFmtId="0" fontId="7" fillId="16" borderId="10" xfId="0" applyFont="1" applyFill="1" applyBorder="1" applyAlignment="1">
      <alignment horizontal="center" vertical="center" wrapText="1"/>
    </xf>
    <xf numFmtId="0" fontId="7" fillId="16" borderId="63" xfId="0" applyFont="1" applyFill="1" applyBorder="1" applyAlignment="1">
      <alignment horizontal="center" vertical="center" wrapText="1"/>
    </xf>
    <xf numFmtId="0" fontId="7" fillId="16" borderId="3" xfId="0" applyFont="1" applyFill="1" applyBorder="1" applyAlignment="1">
      <alignment horizontal="center" vertical="center" wrapText="1"/>
    </xf>
    <xf numFmtId="0" fontId="36" fillId="0" borderId="29" xfId="0" applyFont="1" applyBorder="1" applyAlignment="1">
      <alignment vertical="center" wrapText="1"/>
    </xf>
    <xf numFmtId="0" fontId="36" fillId="0" borderId="30" xfId="0" applyFont="1" applyBorder="1" applyAlignment="1">
      <alignment vertical="center" wrapText="1"/>
    </xf>
    <xf numFmtId="0" fontId="36" fillId="0" borderId="1" xfId="0" applyFont="1" applyBorder="1" applyAlignment="1">
      <alignment vertical="center"/>
    </xf>
    <xf numFmtId="0" fontId="36" fillId="0" borderId="13" xfId="0" applyFont="1" applyBorder="1" applyAlignment="1">
      <alignment vertical="center"/>
    </xf>
    <xf numFmtId="0" fontId="11" fillId="0" borderId="1" xfId="0" applyFont="1" applyBorder="1" applyAlignment="1" applyProtection="1">
      <alignment horizontal="left" vertical="center"/>
    </xf>
    <xf numFmtId="0" fontId="11" fillId="0" borderId="68" xfId="0" applyFont="1" applyBorder="1" applyAlignment="1">
      <alignment horizontal="left" vertical="center"/>
    </xf>
    <xf numFmtId="0" fontId="11" fillId="0" borderId="39" xfId="0" applyFont="1" applyBorder="1" applyAlignment="1">
      <alignment horizontal="left" vertical="center"/>
    </xf>
    <xf numFmtId="0" fontId="11" fillId="0" borderId="69" xfId="0" applyFont="1" applyBorder="1" applyAlignment="1">
      <alignment horizontal="left" vertical="center"/>
    </xf>
    <xf numFmtId="0" fontId="11" fillId="0" borderId="70"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11" fillId="0" borderId="38" xfId="0" applyFont="1" applyBorder="1" applyAlignment="1" applyProtection="1">
      <alignment horizontal="center" vertical="center" wrapText="1"/>
    </xf>
    <xf numFmtId="0" fontId="11" fillId="0" borderId="39" xfId="0" applyFont="1" applyBorder="1" applyAlignment="1" applyProtection="1">
      <alignment horizontal="center" vertical="center" wrapText="1"/>
    </xf>
    <xf numFmtId="0" fontId="11" fillId="0" borderId="40" xfId="0" applyFont="1" applyBorder="1" applyAlignment="1" applyProtection="1">
      <alignment horizontal="center" vertical="center" wrapText="1"/>
    </xf>
    <xf numFmtId="0" fontId="11" fillId="0" borderId="5" xfId="0" applyFont="1" applyBorder="1" applyAlignment="1" applyProtection="1">
      <alignment horizontal="center" vertical="center" wrapText="1"/>
    </xf>
    <xf numFmtId="0" fontId="11" fillId="0" borderId="0" xfId="0" applyFont="1" applyBorder="1" applyAlignment="1" applyProtection="1">
      <alignment horizontal="center" vertical="center" wrapText="1"/>
    </xf>
    <xf numFmtId="0" fontId="11" fillId="0" borderId="42" xfId="0" applyFont="1" applyBorder="1" applyAlignment="1" applyProtection="1">
      <alignment horizontal="center" vertical="center" wrapText="1"/>
    </xf>
    <xf numFmtId="0" fontId="11" fillId="0" borderId="6" xfId="0" applyFont="1" applyBorder="1" applyAlignment="1" applyProtection="1">
      <alignment horizontal="center" vertical="center" wrapText="1"/>
    </xf>
    <xf numFmtId="0" fontId="11" fillId="0" borderId="7" xfId="0" applyFont="1" applyBorder="1" applyAlignment="1" applyProtection="1">
      <alignment horizontal="center" vertical="center" wrapText="1"/>
    </xf>
    <xf numFmtId="0" fontId="11" fillId="0" borderId="43" xfId="0" applyFont="1" applyBorder="1" applyAlignment="1" applyProtection="1">
      <alignment horizontal="center" vertical="center" wrapText="1"/>
    </xf>
    <xf numFmtId="0" fontId="11" fillId="0" borderId="31" xfId="0" applyFont="1" applyBorder="1" applyAlignment="1" applyProtection="1">
      <alignment horizontal="left" vertical="center"/>
    </xf>
    <xf numFmtId="0" fontId="11" fillId="0" borderId="44" xfId="0" applyFont="1" applyBorder="1" applyAlignment="1" applyProtection="1">
      <alignment horizontal="left" vertical="center"/>
    </xf>
    <xf numFmtId="0" fontId="11" fillId="0" borderId="33" xfId="0" applyFont="1" applyBorder="1" applyAlignment="1" applyProtection="1">
      <alignment horizontal="left" vertical="center"/>
    </xf>
    <xf numFmtId="0" fontId="16" fillId="9" borderId="27" xfId="0" applyFont="1" applyFill="1" applyBorder="1" applyAlignment="1">
      <alignment horizontal="center" vertical="center" wrapText="1"/>
    </xf>
    <xf numFmtId="0" fontId="15" fillId="9" borderId="61" xfId="0" applyFont="1" applyFill="1" applyBorder="1" applyAlignment="1">
      <alignment horizontal="center" vertical="center" wrapText="1"/>
    </xf>
    <xf numFmtId="0" fontId="20" fillId="9" borderId="14" xfId="0" applyFont="1" applyFill="1" applyBorder="1" applyAlignment="1">
      <alignment horizontal="center" wrapText="1"/>
    </xf>
    <xf numFmtId="14" fontId="16" fillId="7" borderId="21" xfId="0" applyNumberFormat="1" applyFont="1" applyFill="1" applyBorder="1" applyAlignment="1">
      <alignment horizontal="center" vertical="center" wrapText="1"/>
    </xf>
    <xf numFmtId="14" fontId="16" fillId="7" borderId="17" xfId="0" applyNumberFormat="1" applyFont="1" applyFill="1" applyBorder="1" applyAlignment="1">
      <alignment horizontal="center" vertical="center" wrapText="1"/>
    </xf>
    <xf numFmtId="0" fontId="16" fillId="7" borderId="59" xfId="0" applyFont="1" applyFill="1" applyBorder="1" applyAlignment="1">
      <alignment horizontal="center" vertical="center" wrapText="1"/>
    </xf>
    <xf numFmtId="0" fontId="20" fillId="7" borderId="14" xfId="0" applyFont="1" applyFill="1" applyBorder="1" applyAlignment="1">
      <alignment horizontal="center" wrapText="1"/>
    </xf>
    <xf numFmtId="0" fontId="20" fillId="7" borderId="29" xfId="0" applyFont="1" applyFill="1" applyBorder="1" applyAlignment="1">
      <alignment horizontal="center" vertical="center" wrapText="1"/>
    </xf>
    <xf numFmtId="0" fontId="20" fillId="7" borderId="1" xfId="0" applyFont="1" applyFill="1" applyBorder="1" applyAlignment="1">
      <alignment horizontal="center" vertical="center" wrapText="1"/>
    </xf>
    <xf numFmtId="0" fontId="20" fillId="7" borderId="2" xfId="0" applyFont="1" applyFill="1" applyBorder="1" applyAlignment="1">
      <alignment horizontal="center" vertical="center" wrapText="1"/>
    </xf>
    <xf numFmtId="0" fontId="20" fillId="7" borderId="14" xfId="0" applyFont="1" applyFill="1" applyBorder="1" applyAlignment="1">
      <alignment horizontal="center" vertical="center" wrapText="1"/>
    </xf>
    <xf numFmtId="0" fontId="23" fillId="0" borderId="1" xfId="0" applyFont="1" applyBorder="1" applyAlignment="1">
      <alignment horizontal="center" vertical="center" wrapText="1"/>
    </xf>
    <xf numFmtId="0" fontId="0" fillId="0" borderId="1" xfId="0" applyBorder="1" applyAlignment="1">
      <alignment horizontal="center" vertical="center"/>
    </xf>
    <xf numFmtId="0" fontId="0" fillId="0" borderId="29" xfId="0" applyBorder="1" applyAlignment="1">
      <alignment horizontal="center" vertical="center" wrapText="1"/>
    </xf>
    <xf numFmtId="0" fontId="0" fillId="0" borderId="1" xfId="0" applyBorder="1" applyAlignment="1">
      <alignment horizontal="center" vertical="center" wrapText="1"/>
    </xf>
    <xf numFmtId="9" fontId="0" fillId="0" borderId="30" xfId="5" applyFont="1" applyFill="1" applyBorder="1" applyAlignment="1">
      <alignment horizontal="center" vertical="center"/>
    </xf>
    <xf numFmtId="9" fontId="0" fillId="0" borderId="13" xfId="5" applyFont="1" applyFill="1" applyBorder="1" applyAlignment="1">
      <alignment horizontal="center" vertical="center"/>
    </xf>
    <xf numFmtId="0" fontId="18" fillId="12" borderId="21" xfId="0" applyFont="1" applyFill="1" applyBorder="1" applyAlignment="1">
      <alignment horizontal="center" vertical="center" wrapText="1"/>
    </xf>
    <xf numFmtId="9" fontId="5" fillId="0" borderId="13" xfId="5" applyFont="1" applyFill="1" applyBorder="1" applyAlignment="1">
      <alignment horizontal="center" vertical="center" wrapText="1"/>
    </xf>
    <xf numFmtId="9" fontId="0" fillId="0" borderId="29" xfId="5" applyFont="1" applyFill="1" applyBorder="1" applyAlignment="1">
      <alignment horizontal="center" vertical="center"/>
    </xf>
    <xf numFmtId="9" fontId="0" fillId="0" borderId="1" xfId="5" applyFont="1" applyFill="1" applyBorder="1" applyAlignment="1">
      <alignment horizontal="center" vertical="center"/>
    </xf>
    <xf numFmtId="9" fontId="0" fillId="0" borderId="14" xfId="5" applyFont="1" applyFill="1" applyBorder="1" applyAlignment="1">
      <alignment horizontal="center" vertical="center"/>
    </xf>
    <xf numFmtId="0" fontId="23" fillId="0" borderId="14" xfId="0" applyFont="1" applyBorder="1" applyAlignment="1">
      <alignment horizontal="center" vertical="center" wrapText="1"/>
    </xf>
    <xf numFmtId="0" fontId="18" fillId="16" borderId="58" xfId="0" applyFont="1" applyFill="1" applyBorder="1" applyAlignment="1">
      <alignment horizontal="center" vertical="center" wrapText="1"/>
    </xf>
    <xf numFmtId="0" fontId="18" fillId="16" borderId="59" xfId="0" applyFont="1" applyFill="1" applyBorder="1" applyAlignment="1">
      <alignment horizontal="center" vertical="center" wrapText="1"/>
    </xf>
    <xf numFmtId="0" fontId="18" fillId="16" borderId="10" xfId="0" applyFont="1" applyFill="1" applyBorder="1" applyAlignment="1">
      <alignment horizontal="center" vertical="center" wrapText="1"/>
    </xf>
    <xf numFmtId="0" fontId="18" fillId="16" borderId="11" xfId="0" applyFont="1" applyFill="1" applyBorder="1" applyAlignment="1">
      <alignment horizontal="center" vertical="center" wrapText="1"/>
    </xf>
    <xf numFmtId="0" fontId="18" fillId="16" borderId="12" xfId="0" applyFont="1" applyFill="1" applyBorder="1" applyAlignment="1">
      <alignment horizontal="center" vertical="center" wrapText="1"/>
    </xf>
    <xf numFmtId="1" fontId="23" fillId="0" borderId="26" xfId="0" applyNumberFormat="1" applyFont="1" applyBorder="1" applyAlignment="1">
      <alignment horizontal="center" vertical="center" wrapText="1"/>
    </xf>
    <xf numFmtId="1" fontId="23" fillId="0" borderId="28" xfId="0" applyNumberFormat="1" applyFont="1" applyBorder="1" applyAlignment="1">
      <alignment horizontal="center" vertical="center" wrapText="1"/>
    </xf>
    <xf numFmtId="9" fontId="5" fillId="0" borderId="30" xfId="5" applyFont="1" applyFill="1" applyBorder="1" applyAlignment="1">
      <alignment horizontal="center" vertical="center" wrapText="1"/>
    </xf>
    <xf numFmtId="0" fontId="23" fillId="0" borderId="29" xfId="0" applyFont="1" applyBorder="1" applyAlignment="1">
      <alignment horizontal="center" vertical="center" wrapText="1"/>
    </xf>
    <xf numFmtId="0" fontId="18" fillId="16" borderId="16" xfId="0" applyFont="1" applyFill="1" applyBorder="1" applyAlignment="1">
      <alignment horizontal="center" vertical="center" wrapText="1"/>
    </xf>
    <xf numFmtId="0" fontId="18" fillId="16" borderId="17" xfId="0" applyFont="1" applyFill="1" applyBorder="1" applyAlignment="1">
      <alignment horizontal="center" vertical="center" wrapText="1"/>
    </xf>
    <xf numFmtId="9" fontId="23" fillId="0" borderId="29" xfId="5" applyFont="1" applyFill="1" applyBorder="1" applyAlignment="1">
      <alignment horizontal="center" vertical="center" wrapText="1"/>
    </xf>
    <xf numFmtId="9" fontId="23" fillId="0" borderId="1" xfId="5" applyFont="1" applyFill="1" applyBorder="1" applyAlignment="1">
      <alignment horizontal="center" vertical="center" wrapText="1"/>
    </xf>
    <xf numFmtId="9" fontId="23" fillId="0" borderId="14" xfId="5" applyFont="1" applyFill="1" applyBorder="1" applyAlignment="1">
      <alignment horizontal="center" vertical="center" wrapText="1"/>
    </xf>
    <xf numFmtId="1" fontId="23" fillId="0" borderId="27" xfId="0" applyNumberFormat="1" applyFont="1" applyBorder="1" applyAlignment="1">
      <alignment horizontal="center" vertical="center" wrapText="1"/>
    </xf>
    <xf numFmtId="1" fontId="0" fillId="0" borderId="26" xfId="0" applyNumberFormat="1" applyBorder="1" applyAlignment="1">
      <alignment horizontal="center" vertical="center"/>
    </xf>
    <xf numFmtId="1" fontId="0" fillId="0" borderId="28" xfId="0" applyNumberFormat="1" applyBorder="1" applyAlignment="1">
      <alignment horizontal="center" vertical="center"/>
    </xf>
    <xf numFmtId="0" fontId="18" fillId="12" borderId="58" xfId="0" applyFont="1" applyFill="1" applyBorder="1" applyAlignment="1">
      <alignment horizontal="center" vertical="center" wrapText="1"/>
    </xf>
    <xf numFmtId="0" fontId="18" fillId="12" borderId="60" xfId="0" applyFont="1" applyFill="1" applyBorder="1" applyAlignment="1">
      <alignment horizontal="center" vertical="center" wrapText="1"/>
    </xf>
    <xf numFmtId="9" fontId="5" fillId="0" borderId="15" xfId="5" applyFont="1" applyFill="1" applyBorder="1" applyAlignment="1">
      <alignment horizontal="center" vertical="center" wrapText="1"/>
    </xf>
    <xf numFmtId="1" fontId="0" fillId="0" borderId="27" xfId="0" applyNumberFormat="1" applyBorder="1" applyAlignment="1">
      <alignment horizontal="center" vertical="center"/>
    </xf>
    <xf numFmtId="9" fontId="0" fillId="0" borderId="15" xfId="5" applyFont="1" applyFill="1" applyBorder="1" applyAlignment="1">
      <alignment horizontal="center" vertical="center"/>
    </xf>
    <xf numFmtId="0" fontId="0" fillId="0" borderId="14" xfId="0" applyBorder="1" applyAlignment="1">
      <alignment horizontal="center" vertical="center"/>
    </xf>
    <xf numFmtId="0" fontId="18" fillId="6" borderId="58" xfId="0" applyFont="1" applyFill="1" applyBorder="1" applyAlignment="1">
      <alignment horizontal="center" vertical="center" wrapText="1"/>
    </xf>
    <xf numFmtId="0" fontId="18" fillId="6" borderId="59" xfId="0" applyFont="1" applyFill="1" applyBorder="1" applyAlignment="1">
      <alignment horizontal="center" vertical="center" wrapText="1"/>
    </xf>
    <xf numFmtId="0" fontId="18" fillId="14" borderId="63" xfId="0" applyFont="1" applyFill="1" applyBorder="1" applyAlignment="1">
      <alignment horizontal="center" vertical="center" wrapText="1"/>
    </xf>
    <xf numFmtId="0" fontId="18" fillId="14" borderId="3" xfId="0" applyFont="1" applyFill="1" applyBorder="1" applyAlignment="1">
      <alignment horizontal="center" vertical="center" wrapText="1"/>
    </xf>
    <xf numFmtId="0" fontId="18" fillId="14" borderId="9" xfId="0" applyFont="1" applyFill="1" applyBorder="1" applyAlignment="1">
      <alignment horizontal="center" vertical="center" wrapText="1"/>
    </xf>
    <xf numFmtId="0" fontId="18" fillId="14" borderId="6" xfId="0" applyFont="1" applyFill="1" applyBorder="1" applyAlignment="1">
      <alignment horizontal="center" vertical="center" wrapText="1"/>
    </xf>
    <xf numFmtId="0" fontId="18" fillId="14" borderId="7" xfId="0" applyFont="1" applyFill="1" applyBorder="1" applyAlignment="1">
      <alignment horizontal="center" vertical="center" wrapText="1"/>
    </xf>
    <xf numFmtId="0" fontId="18" fillId="14" borderId="8" xfId="0" applyFont="1" applyFill="1" applyBorder="1" applyAlignment="1">
      <alignment horizontal="center" vertical="center" wrapText="1"/>
    </xf>
    <xf numFmtId="0" fontId="0" fillId="0" borderId="63" xfId="0" applyBorder="1" applyAlignment="1">
      <alignment horizontal="center"/>
    </xf>
    <xf numFmtId="0" fontId="0" fillId="0" borderId="3"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Border="1" applyAlignment="1">
      <alignment horizontal="center"/>
    </xf>
    <xf numFmtId="0" fontId="0" fillId="0" borderId="32"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18" fillId="14" borderId="10" xfId="0" applyFont="1" applyFill="1" applyBorder="1" applyAlignment="1">
      <alignment horizontal="center" vertical="center"/>
    </xf>
    <xf numFmtId="0" fontId="18" fillId="14" borderId="11" xfId="0" applyFont="1" applyFill="1" applyBorder="1" applyAlignment="1">
      <alignment horizontal="center" vertical="center"/>
    </xf>
    <xf numFmtId="0" fontId="18" fillId="14" borderId="12" xfId="0" applyFont="1" applyFill="1" applyBorder="1" applyAlignment="1">
      <alignment horizontal="center" vertical="center"/>
    </xf>
    <xf numFmtId="0" fontId="18" fillId="15" borderId="46" xfId="0" applyFont="1" applyFill="1" applyBorder="1" applyAlignment="1">
      <alignment horizontal="center" vertical="center" wrapText="1"/>
    </xf>
    <xf numFmtId="0" fontId="18" fillId="15" borderId="50" xfId="0" applyFont="1" applyFill="1" applyBorder="1" applyAlignment="1">
      <alignment horizontal="center" vertical="center" wrapText="1"/>
    </xf>
    <xf numFmtId="0" fontId="18" fillId="15" borderId="23" xfId="0" applyFont="1" applyFill="1" applyBorder="1" applyAlignment="1">
      <alignment horizontal="center" vertical="center" wrapText="1"/>
    </xf>
    <xf numFmtId="0" fontId="18" fillId="15" borderId="24" xfId="0" applyFont="1" applyFill="1" applyBorder="1" applyAlignment="1">
      <alignment horizontal="center" vertical="center" wrapText="1"/>
    </xf>
    <xf numFmtId="0" fontId="18" fillId="15" borderId="25" xfId="0" applyFont="1" applyFill="1" applyBorder="1" applyAlignment="1">
      <alignment horizontal="center" vertical="center" wrapText="1"/>
    </xf>
  </cellXfs>
  <cellStyles count="6">
    <cellStyle name="40% - Énfasis1" xfId="2" builtinId="31"/>
    <cellStyle name="60% - Énfasis1" xfId="3" builtinId="32"/>
    <cellStyle name="Énfasis4" xfId="4" builtinId="41"/>
    <cellStyle name="Normal" xfId="0" builtinId="0"/>
    <cellStyle name="Normal 2" xfId="1"/>
    <cellStyle name="Porcentaje" xfId="5" builtinId="5"/>
  </cellStyles>
  <dxfs count="712">
    <dxf>
      <fill>
        <patternFill>
          <bgColor rgb="FF00B050"/>
        </patternFill>
      </fill>
    </dxf>
    <dxf>
      <fill>
        <patternFill>
          <bgColor rgb="FFFFFF00"/>
        </patternFill>
      </fill>
    </dxf>
    <dxf>
      <fill>
        <patternFill>
          <bgColor rgb="FFFF4343"/>
        </patternFill>
      </fill>
    </dxf>
    <dxf>
      <fill>
        <patternFill patternType="lightDown">
          <fgColor theme="0" tint="-0.34998626667073579"/>
          <bgColor theme="1" tint="4.9989318521683403E-2"/>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
      <fill>
        <patternFill>
          <bgColor rgb="FF00B050"/>
        </patternFill>
      </fill>
    </dxf>
    <dxf>
      <fill>
        <patternFill>
          <bgColor rgb="FFFFFF00"/>
        </patternFill>
      </fill>
    </dxf>
    <dxf>
      <fill>
        <patternFill>
          <bgColor rgb="FFFF0000"/>
        </patternFill>
      </fill>
    </dxf>
    <dxf>
      <fill>
        <patternFill>
          <bgColor theme="9" tint="-0.24994659260841701"/>
        </patternFill>
      </fill>
    </dxf>
  </dxfs>
  <tableStyles count="0" defaultTableStyle="TableStyleMedium2" defaultPivotStyle="PivotStyleLight16"/>
  <colors>
    <mruColors>
      <color rgb="FFF8F8F8"/>
      <color rgb="FFFF4343"/>
      <color rgb="FFFFFF00"/>
      <color rgb="FF6699FF"/>
      <color rgb="FF3366FF"/>
      <color rgb="FF00FFFF"/>
      <color rgb="FF4B76FF"/>
      <color rgb="FF9900CC"/>
      <color rgb="FFCC66FF"/>
      <color rgb="FFCC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autoTitleDeleted val="1"/>
    <c:plotArea>
      <c:layout/>
      <c:lineChart>
        <c:grouping val="stacked"/>
        <c:varyColors val="0"/>
        <c:ser>
          <c:idx val="0"/>
          <c:order val="0"/>
          <c:tx>
            <c:strRef>
              <c:f>'Indicadores '!$G$3:$G$4</c:f>
              <c:strCache>
                <c:ptCount val="2"/>
                <c:pt idx="0">
                  <c:v>Nivel de Aplicación de los Control del Riesgo</c:v>
                </c:pt>
              </c:strCache>
            </c:strRef>
          </c:tx>
          <c:spPr>
            <a:ln w="28575" cap="rnd">
              <a:solidFill>
                <a:srgbClr val="00B050"/>
              </a:solidFill>
              <a:round/>
            </a:ln>
            <a:effectLst/>
          </c:spPr>
          <c:marker>
            <c:symbol val="circle"/>
            <c:size val="5"/>
            <c:spPr>
              <a:solidFill>
                <a:srgbClr val="00B050"/>
              </a:solidFill>
              <a:ln w="9525">
                <a:solidFill>
                  <a:srgbClr val="00B050"/>
                </a:solidFill>
              </a:ln>
              <a:effectLst/>
            </c:spPr>
          </c:marker>
          <c:dLbls>
            <c:dLbl>
              <c:idx val="0"/>
              <c:layout>
                <c:manualLayout>
                  <c:x val="0"/>
                  <c:y val="-6.2117674679466307E-2"/>
                </c:manualLayout>
              </c:layout>
              <c:showLegendKey val="0"/>
              <c:showVal val="1"/>
              <c:showCatName val="0"/>
              <c:showSerName val="0"/>
              <c:showPercent val="0"/>
              <c:showBubbleSize val="0"/>
              <c:extLst xmlns:c16r2="http://schemas.microsoft.com/office/drawing/2015/06/chart">
                <c:ext xmlns:c16="http://schemas.microsoft.com/office/drawing/2014/chart" uri="{C3380CC4-5D6E-409C-BE32-E72D297353CC}">
                  <c16:uniqueId val="{00000000-96A2-4C33-9321-A1BE61003F48}"/>
                </c:ex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0"/>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 '!$G$5:$G$34</c15:sqref>
                  </c15:fullRef>
                </c:ext>
              </c:extLst>
              <c:f>('Indicadores '!$G$5,'Indicadores '!$G$8,'Indicadores '!$G$11,'Indicadores '!$G$14,'Indicadores '!$G$17,'Indicadores '!$G$20,'Indicadores '!$G$23,'Indicadores '!$G$26,'Indicadores '!$G$29,'Indicadores '!$G$32)</c:f>
              <c:numCache>
                <c:formatCode>0%</c:formatCode>
                <c:ptCount val="10"/>
                <c:pt idx="0">
                  <c:v>0</c:v>
                </c:pt>
                <c:pt idx="1">
                  <c:v>0</c:v>
                </c:pt>
                <c:pt idx="2">
                  <c:v>0</c:v>
                </c:pt>
                <c:pt idx="3">
                  <c:v>0</c:v>
                </c:pt>
                <c:pt idx="4">
                  <c:v>0</c:v>
                </c:pt>
                <c:pt idx="5">
                  <c:v>0</c:v>
                </c:pt>
                <c:pt idx="6">
                  <c:v>0</c:v>
                </c:pt>
                <c:pt idx="7">
                  <c:v>0</c:v>
                </c:pt>
                <c:pt idx="8">
                  <c:v>0</c:v>
                </c:pt>
                <c:pt idx="9">
                  <c:v>0</c:v>
                </c:pt>
              </c:numCache>
            </c:numRef>
          </c:val>
          <c:smooth val="0"/>
          <c:extLst xmlns:c16r2="http://schemas.microsoft.com/office/drawing/2015/06/chart">
            <c:ext xmlns:c16="http://schemas.microsoft.com/office/drawing/2014/chart" uri="{C3380CC4-5D6E-409C-BE32-E72D297353CC}">
              <c16:uniqueId val="{00000001-96A2-4C33-9321-A1BE61003F48}"/>
            </c:ext>
            <c:ext xmlns:c15="http://schemas.microsoft.com/office/drawing/2012/chart" uri="{02D57815-91ED-43cb-92C2-25804820EDAC}">
              <c15:filteredCategoryTitle>
                <c15:cat>
                  <c:multiLvlStrRef>
                    <c:extLst xmlns:c16="http://schemas.microsoft.com/office/drawing/2014/chart" xmlns:c16r2="http://schemas.microsoft.com/office/drawing/2015/06/chart">
                      <c:ext uri="{02D57815-91ED-43cb-92C2-25804820EDAC}">
                        <c15:formulaRef>
                          <c15:sqref>'Indicadores '!$C$5:$C$34</c15:sqref>
                        </c15:formulaRef>
                      </c:ext>
                    </c:extLst>
                  </c:multiLvlStrRef>
                </c15:cat>
              </c15:filteredCategoryTitle>
            </c:ext>
          </c:extLst>
        </c:ser>
        <c:dLbls>
          <c:showLegendKey val="0"/>
          <c:showVal val="1"/>
          <c:showCatName val="0"/>
          <c:showSerName val="0"/>
          <c:showPercent val="0"/>
          <c:showBubbleSize val="0"/>
        </c:dLbls>
        <c:marker val="1"/>
        <c:smooth val="0"/>
        <c:axId val="1362775728"/>
        <c:axId val="1362772464"/>
      </c:lineChart>
      <c:catAx>
        <c:axId val="136277572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2772464"/>
        <c:crosses val="autoZero"/>
        <c:auto val="1"/>
        <c:lblAlgn val="ctr"/>
        <c:lblOffset val="100"/>
        <c:noMultiLvlLbl val="0"/>
      </c:catAx>
      <c:valAx>
        <c:axId val="136277246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27757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cked"/>
        <c:varyColors val="0"/>
        <c:ser>
          <c:idx val="0"/>
          <c:order val="0"/>
          <c:tx>
            <c:strRef>
              <c:f>'Indicadores '!$G$38:$G$39</c:f>
              <c:strCache>
                <c:ptCount val="2"/>
                <c:pt idx="0">
                  <c:v>Nivel de Aplicación de los Controles del Riesgo</c:v>
                </c:pt>
              </c:strCache>
            </c:strRef>
          </c:tx>
          <c:spPr>
            <a:ln w="28575" cap="rnd">
              <a:solidFill>
                <a:srgbClr val="00B0F0"/>
              </a:solidFill>
              <a:round/>
            </a:ln>
            <a:effectLst/>
          </c:spPr>
          <c:marker>
            <c:symbol val="circle"/>
            <c:size val="5"/>
            <c:spPr>
              <a:solidFill>
                <a:srgbClr val="00B0F0"/>
              </a:solidFill>
              <a:ln w="9525">
                <a:solidFill>
                  <a:srgbClr val="00B0F0"/>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0"/>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 '!$G$40:$G$69</c15:sqref>
                  </c15:fullRef>
                </c:ext>
              </c:extLst>
              <c:f>('Indicadores '!$G$40,'Indicadores '!$G$43,'Indicadores '!$G$46,'Indicadores '!$G$49,'Indicadores '!$G$52,'Indicadores '!$G$55,'Indicadores '!$G$58,'Indicadores '!$G$61,'Indicadores '!$G$64,'Indicadores '!$G$67)</c:f>
              <c:numCache>
                <c:formatCode>0%</c:formatCode>
                <c:ptCount val="10"/>
                <c:pt idx="0">
                  <c:v>0</c:v>
                </c:pt>
                <c:pt idx="1">
                  <c:v>0</c:v>
                </c:pt>
                <c:pt idx="2">
                  <c:v>0</c:v>
                </c:pt>
                <c:pt idx="3">
                  <c:v>0</c:v>
                </c:pt>
                <c:pt idx="4">
                  <c:v>0</c:v>
                </c:pt>
                <c:pt idx="5">
                  <c:v>0</c:v>
                </c:pt>
                <c:pt idx="6">
                  <c:v>0</c:v>
                </c:pt>
                <c:pt idx="7">
                  <c:v>0</c:v>
                </c:pt>
                <c:pt idx="8">
                  <c:v>0</c:v>
                </c:pt>
                <c:pt idx="9">
                  <c:v>0</c:v>
                </c:pt>
              </c:numCache>
            </c:numRef>
          </c:val>
          <c:smooth val="0"/>
          <c:extLst xmlns:c16r2="http://schemas.microsoft.com/office/drawing/2015/06/chart">
            <c:ext xmlns:c16="http://schemas.microsoft.com/office/drawing/2014/chart" uri="{C3380CC4-5D6E-409C-BE32-E72D297353CC}">
              <c16:uniqueId val="{00000000-D100-45D8-91F5-9DAB7042F1ED}"/>
            </c:ext>
            <c:ext xmlns:c15="http://schemas.microsoft.com/office/drawing/2012/chart" uri="{02D57815-91ED-43cb-92C2-25804820EDAC}">
              <c15:filteredCategoryTitle>
                <c15:cat>
                  <c:multiLvlStrRef>
                    <c:extLst xmlns:c16="http://schemas.microsoft.com/office/drawing/2014/chart" xmlns:c16r2="http://schemas.microsoft.com/office/drawing/2015/06/chart">
                      <c:ext uri="{02D57815-91ED-43cb-92C2-25804820EDAC}">
                        <c15:formulaRef>
                          <c15:sqref>'Indicadores '!$C$5:$C$34</c15:sqref>
                        </c15:formulaRef>
                      </c:ext>
                    </c:extLst>
                  </c:multiLvlStrRef>
                </c15:cat>
              </c15:filteredCategoryTitle>
            </c:ext>
          </c:extLst>
        </c:ser>
        <c:dLbls>
          <c:showLegendKey val="0"/>
          <c:showVal val="1"/>
          <c:showCatName val="0"/>
          <c:showSerName val="0"/>
          <c:showPercent val="0"/>
          <c:showBubbleSize val="0"/>
        </c:dLbls>
        <c:marker val="1"/>
        <c:smooth val="0"/>
        <c:axId val="1362771376"/>
        <c:axId val="1362776816"/>
      </c:lineChart>
      <c:catAx>
        <c:axId val="136277137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2776816"/>
        <c:crosses val="autoZero"/>
        <c:auto val="1"/>
        <c:lblAlgn val="ctr"/>
        <c:lblOffset val="100"/>
        <c:noMultiLvlLbl val="0"/>
      </c:catAx>
      <c:valAx>
        <c:axId val="136277681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27713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cked"/>
        <c:varyColors val="0"/>
        <c:ser>
          <c:idx val="0"/>
          <c:order val="0"/>
          <c:tx>
            <c:strRef>
              <c:f>'Indicadores '!$G$73:$G$74</c:f>
              <c:strCache>
                <c:ptCount val="2"/>
                <c:pt idx="0">
                  <c:v>Nivel de Aplicación de los Controles del Riesgo</c:v>
                </c:pt>
              </c:strCache>
            </c:strRef>
          </c:tx>
          <c:spPr>
            <a:ln w="28575" cap="rnd">
              <a:solidFill>
                <a:schemeClr val="accent5">
                  <a:lumMod val="75000"/>
                </a:schemeClr>
              </a:solidFill>
              <a:round/>
            </a:ln>
            <a:effectLst/>
          </c:spPr>
          <c:marker>
            <c:symbol val="circle"/>
            <c:size val="5"/>
            <c:spPr>
              <a:solidFill>
                <a:schemeClr val="accent5">
                  <a:lumMod val="75000"/>
                </a:schemeClr>
              </a:solidFill>
              <a:ln w="9525">
                <a:solidFill>
                  <a:schemeClr val="accent5">
                    <a:lumMod val="75000"/>
                  </a:schemeClr>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0"/>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 '!$G$75:$G$104</c15:sqref>
                  </c15:fullRef>
                </c:ext>
              </c:extLst>
              <c:f>('Indicadores '!$G$75,'Indicadores '!$G$78,'Indicadores '!$G$81,'Indicadores '!$G$84,'Indicadores '!$G$87,'Indicadores '!$G$90,'Indicadores '!$G$93,'Indicadores '!$G$96,'Indicadores '!$G$99,'Indicadores '!$G$102)</c:f>
              <c:numCache>
                <c:formatCode>0%</c:formatCode>
                <c:ptCount val="10"/>
                <c:pt idx="0">
                  <c:v>0</c:v>
                </c:pt>
                <c:pt idx="1">
                  <c:v>0</c:v>
                </c:pt>
                <c:pt idx="2">
                  <c:v>0</c:v>
                </c:pt>
                <c:pt idx="3">
                  <c:v>0</c:v>
                </c:pt>
                <c:pt idx="4">
                  <c:v>0</c:v>
                </c:pt>
                <c:pt idx="5">
                  <c:v>0</c:v>
                </c:pt>
                <c:pt idx="6">
                  <c:v>0</c:v>
                </c:pt>
                <c:pt idx="7">
                  <c:v>0</c:v>
                </c:pt>
                <c:pt idx="8">
                  <c:v>0</c:v>
                </c:pt>
                <c:pt idx="9">
                  <c:v>0</c:v>
                </c:pt>
              </c:numCache>
            </c:numRef>
          </c:val>
          <c:smooth val="0"/>
          <c:extLst xmlns:c16r2="http://schemas.microsoft.com/office/drawing/2015/06/chart">
            <c:ext xmlns:c16="http://schemas.microsoft.com/office/drawing/2014/chart" uri="{C3380CC4-5D6E-409C-BE32-E72D297353CC}">
              <c16:uniqueId val="{00000000-4EE4-4FB2-9DAF-74752231EACD}"/>
            </c:ext>
            <c:ext xmlns:c15="http://schemas.microsoft.com/office/drawing/2012/chart" uri="{02D57815-91ED-43cb-92C2-25804820EDAC}">
              <c15:filteredCategoryTitle>
                <c15:cat>
                  <c:multiLvlStrRef>
                    <c:extLst xmlns:c16="http://schemas.microsoft.com/office/drawing/2014/chart" xmlns:c16r2="http://schemas.microsoft.com/office/drawing/2015/06/chart">
                      <c:ext uri="{02D57815-91ED-43cb-92C2-25804820EDAC}">
                        <c15:formulaRef>
                          <c15:sqref>'Indicadores '!$C$5:$C$34</c15:sqref>
                        </c15:formulaRef>
                      </c:ext>
                    </c:extLst>
                  </c:multiLvlStrRef>
                </c15:cat>
              </c15:filteredCategoryTitle>
            </c:ext>
          </c:extLst>
        </c:ser>
        <c:dLbls>
          <c:showLegendKey val="0"/>
          <c:showVal val="1"/>
          <c:showCatName val="0"/>
          <c:showSerName val="0"/>
          <c:showPercent val="0"/>
          <c:showBubbleSize val="0"/>
        </c:dLbls>
        <c:marker val="1"/>
        <c:smooth val="0"/>
        <c:axId val="1362777904"/>
        <c:axId val="1362773008"/>
      </c:lineChart>
      <c:catAx>
        <c:axId val="136277790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2773008"/>
        <c:crosses val="autoZero"/>
        <c:auto val="1"/>
        <c:lblAlgn val="ctr"/>
        <c:lblOffset val="100"/>
        <c:noMultiLvlLbl val="0"/>
      </c:catAx>
      <c:valAx>
        <c:axId val="1362773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627779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'Indicadores '!$D$3:$D$4</c:f>
              <c:strCache>
                <c:ptCount val="2"/>
                <c:pt idx="0">
                  <c:v>Nivel de Efectividad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dk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extLst>
                <c:ext xmlns:c15="http://schemas.microsoft.com/office/drawing/2012/chart" uri="{02D57815-91ED-43cb-92C2-25804820EDAC}">
                  <c15:fullRef>
                    <c15:sqref>'Indicadores '!$B$2:$G$2</c15:sqref>
                  </c15:fullRef>
                </c:ext>
              </c:extLst>
              <c:f>('Indicadores '!$B$2,'Indicadores '!$F$2:$G$2)</c:f>
              <c:strCache>
                <c:ptCount val="1"/>
                <c:pt idx="0">
                  <c:v>ENERO - ABRIL</c:v>
                </c:pt>
              </c:strCache>
            </c:strRef>
          </c:cat>
          <c:val>
            <c:numRef>
              <c:extLst>
                <c:ext xmlns:c15="http://schemas.microsoft.com/office/drawing/2012/chart" uri="{02D57815-91ED-43cb-92C2-25804820EDAC}">
                  <c15:fullRef>
                    <c15:sqref>'Indicadores '!$D$5</c15:sqref>
                  </c15:fullRef>
                </c:ext>
              </c:extLst>
              <c:f>'Indicadores '!$D$5</c:f>
              <c:numCache>
                <c:formatCode>0%</c:formatCode>
                <c:ptCount val="1"/>
                <c:pt idx="0">
                  <c:v>0</c:v>
                </c:pt>
              </c:numCache>
            </c:numRef>
          </c:val>
          <c:extLst xmlns:c16r2="http://schemas.microsoft.com/office/drawing/2015/06/chart">
            <c:ext xmlns:c16="http://schemas.microsoft.com/office/drawing/2014/chart" uri="{C3380CC4-5D6E-409C-BE32-E72D297353CC}">
              <c16:uniqueId val="{00000000-A1C4-43B6-BA30-C1E4B981074D}"/>
            </c:ext>
          </c:extLst>
        </c:ser>
        <c:dLbls>
          <c:showLegendKey val="0"/>
          <c:showVal val="1"/>
          <c:showCatName val="0"/>
          <c:showSerName val="0"/>
          <c:showPercent val="0"/>
          <c:showBubbleSize val="0"/>
        </c:dLbls>
        <c:gapWidth val="267"/>
        <c:overlap val="-43"/>
        <c:axId val="1362778448"/>
        <c:axId val="1362774096"/>
      </c:barChart>
      <c:catAx>
        <c:axId val="1362778448"/>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es-CO"/>
          </a:p>
        </c:txPr>
        <c:crossAx val="1362774096"/>
        <c:crosses val="autoZero"/>
        <c:auto val="1"/>
        <c:lblAlgn val="ctr"/>
        <c:lblOffset val="100"/>
        <c:noMultiLvlLbl val="0"/>
      </c:catAx>
      <c:valAx>
        <c:axId val="1362774096"/>
        <c:scaling>
          <c:orientation val="minMax"/>
        </c:scaling>
        <c:delete val="0"/>
        <c:axPos val="l"/>
        <c:majorGridlines>
          <c:spPr>
            <a:ln w="9525" cap="flat" cmpd="sng" algn="ctr">
              <a:solidFill>
                <a:schemeClr val="dk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crossAx val="1362778448"/>
        <c:crosses val="autoZero"/>
        <c:crossBetween val="between"/>
      </c:valAx>
      <c:spPr>
        <a:pattFill prst="ltDnDiag">
          <a:fgClr>
            <a:schemeClr val="dk1">
              <a:lumMod val="15000"/>
              <a:lumOff val="85000"/>
            </a:schemeClr>
          </a:fgClr>
          <a:bgClr>
            <a:schemeClr val="lt1"/>
          </a:bgClr>
        </a:pattFill>
        <a:ln>
          <a:noFill/>
        </a:ln>
        <a:effectLst/>
      </c:spPr>
    </c:plotArea>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'Indicadores '!$D$3:$D$4</c:f>
              <c:strCache>
                <c:ptCount val="2"/>
                <c:pt idx="0">
                  <c:v>Nivel de Efectividad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extLst>
                <c:ext xmlns:c15="http://schemas.microsoft.com/office/drawing/2012/chart" uri="{02D57815-91ED-43cb-92C2-25804820EDAC}">
                  <c15:fullRef>
                    <c15:sqref>'Indicadores '!$B$37:$G$37</c15:sqref>
                  </c15:fullRef>
                </c:ext>
              </c:extLst>
              <c:f>('Indicadores '!$B$37,'Indicadores '!$F$37:$G$37)</c:f>
              <c:strCache>
                <c:ptCount val="1"/>
                <c:pt idx="0">
                  <c:v>MAYO - AGOSTO</c:v>
                </c:pt>
              </c:strCache>
            </c:strRef>
          </c:cat>
          <c:val>
            <c:numRef>
              <c:extLst>
                <c:ext xmlns:c15="http://schemas.microsoft.com/office/drawing/2012/chart" uri="{02D57815-91ED-43cb-92C2-25804820EDAC}">
                  <c15:fullRef>
                    <c15:sqref>'Indicadores '!$D$40</c15:sqref>
                  </c15:fullRef>
                </c:ext>
              </c:extLst>
              <c:f>'Indicadores '!$D$40</c:f>
              <c:numCache>
                <c:formatCode>0%</c:formatCode>
                <c:ptCount val="1"/>
                <c:pt idx="0">
                  <c:v>0</c:v>
                </c:pt>
              </c:numCache>
            </c:numRef>
          </c:val>
          <c:extLst xmlns:c16r2="http://schemas.microsoft.com/office/drawing/2015/06/chart">
            <c:ext xmlns:c16="http://schemas.microsoft.com/office/drawing/2014/chart" uri="{C3380CC4-5D6E-409C-BE32-E72D297353CC}">
              <c16:uniqueId val="{00000000-022B-4BE0-82BC-D0ABA740BB0C}"/>
            </c:ext>
          </c:extLst>
        </c:ser>
        <c:dLbls>
          <c:showLegendKey val="0"/>
          <c:showVal val="1"/>
          <c:showCatName val="0"/>
          <c:showSerName val="0"/>
          <c:showPercent val="0"/>
          <c:showBubbleSize val="0"/>
        </c:dLbls>
        <c:gapWidth val="267"/>
        <c:overlap val="-43"/>
        <c:axId val="1467555104"/>
        <c:axId val="1467554560"/>
      </c:barChart>
      <c:catAx>
        <c:axId val="1467555104"/>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es-CO"/>
          </a:p>
        </c:txPr>
        <c:crossAx val="1467554560"/>
        <c:crosses val="autoZero"/>
        <c:auto val="1"/>
        <c:lblAlgn val="ctr"/>
        <c:lblOffset val="100"/>
        <c:noMultiLvlLbl val="0"/>
      </c:catAx>
      <c:valAx>
        <c:axId val="1467554560"/>
        <c:scaling>
          <c:orientation val="minMax"/>
        </c:scaling>
        <c:delete val="0"/>
        <c:axPos val="l"/>
        <c:majorGridlines>
          <c:spPr>
            <a:ln w="9525" cap="flat" cmpd="sng" algn="ctr">
              <a:solidFill>
                <a:schemeClr val="dk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crossAx val="1467555104"/>
        <c:crosses val="autoZero"/>
        <c:crossBetween val="between"/>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'Indicadores '!$D$3:$D$4</c:f>
              <c:strCache>
                <c:ptCount val="2"/>
                <c:pt idx="0">
                  <c:v>Nivel de Efectividad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extLst>
                <c:ext xmlns:c15="http://schemas.microsoft.com/office/drawing/2012/chart" uri="{02D57815-91ED-43cb-92C2-25804820EDAC}">
                  <c15:fullRef>
                    <c15:sqref>'Indicadores '!$B$2:$G$2</c15:sqref>
                  </c15:fullRef>
                </c:ext>
              </c:extLst>
              <c:f>('Indicadores '!$B$2,'Indicadores '!$F$2:$G$2)</c:f>
              <c:strCache>
                <c:ptCount val="1"/>
                <c:pt idx="0">
                  <c:v>ENERO - ABRIL</c:v>
                </c:pt>
              </c:strCache>
            </c:strRef>
          </c:cat>
          <c:val>
            <c:numRef>
              <c:extLst>
                <c:ext xmlns:c15="http://schemas.microsoft.com/office/drawing/2012/chart" uri="{02D57815-91ED-43cb-92C2-25804820EDAC}">
                  <c15:fullRef>
                    <c15:sqref>'Indicadores '!$D$75</c15:sqref>
                  </c15:fullRef>
                </c:ext>
              </c:extLst>
              <c:f>'Indicadores '!$D$75</c:f>
              <c:numCache>
                <c:formatCode>0%</c:formatCode>
                <c:ptCount val="1"/>
                <c:pt idx="0">
                  <c:v>0</c:v>
                </c:pt>
              </c:numCache>
            </c:numRef>
          </c:val>
          <c:extLst xmlns:c16r2="http://schemas.microsoft.com/office/drawing/2015/06/chart">
            <c:ext xmlns:c16="http://schemas.microsoft.com/office/drawing/2014/chart" uri="{C3380CC4-5D6E-409C-BE32-E72D297353CC}">
              <c16:uniqueId val="{00000000-359E-41A6-8A07-7A506A9A3F7F}"/>
            </c:ext>
          </c:extLst>
        </c:ser>
        <c:dLbls>
          <c:showLegendKey val="0"/>
          <c:showVal val="1"/>
          <c:showCatName val="0"/>
          <c:showSerName val="0"/>
          <c:showPercent val="0"/>
          <c:showBubbleSize val="0"/>
        </c:dLbls>
        <c:gapWidth val="267"/>
        <c:overlap val="-43"/>
        <c:axId val="1236172496"/>
        <c:axId val="1236177392"/>
      </c:barChart>
      <c:catAx>
        <c:axId val="1236172496"/>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es-CO"/>
          </a:p>
        </c:txPr>
        <c:crossAx val="1236177392"/>
        <c:crosses val="autoZero"/>
        <c:auto val="1"/>
        <c:lblAlgn val="ctr"/>
        <c:lblOffset val="100"/>
        <c:noMultiLvlLbl val="0"/>
      </c:catAx>
      <c:valAx>
        <c:axId val="1236177392"/>
        <c:scaling>
          <c:orientation val="minMax"/>
        </c:scaling>
        <c:delete val="0"/>
        <c:axPos val="l"/>
        <c:majorGridlines>
          <c:spPr>
            <a:ln w="9525" cap="flat" cmpd="sng" algn="ctr">
              <a:solidFill>
                <a:schemeClr val="dk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crossAx val="1236172496"/>
        <c:crosses val="autoZero"/>
        <c:crossBetween val="between"/>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autoTitleDeleted val="1"/>
    <c:plotArea>
      <c:layout/>
      <c:barChart>
        <c:barDir val="bar"/>
        <c:grouping val="clustered"/>
        <c:varyColors val="0"/>
        <c:ser>
          <c:idx val="0"/>
          <c:order val="0"/>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'Indicadores Anuales'!$C$3:$F$3</c:f>
              <c:strCache>
                <c:ptCount val="4"/>
                <c:pt idx="0">
                  <c:v>Enero- Abril</c:v>
                </c:pt>
                <c:pt idx="1">
                  <c:v>Mayo- Julio</c:v>
                </c:pt>
                <c:pt idx="2">
                  <c:v>Sep- Dic</c:v>
                </c:pt>
                <c:pt idx="3">
                  <c:v>TOTAL</c:v>
                </c:pt>
              </c:strCache>
            </c:strRef>
          </c:cat>
          <c:val>
            <c:numRef>
              <c:f>'Indicadores Anuales'!$C$4:$F$4</c:f>
              <c:numCache>
                <c:formatCode>0%</c:formatCode>
                <c:ptCount val="4"/>
                <c:pt idx="0">
                  <c:v>0</c:v>
                </c:pt>
                <c:pt idx="1">
                  <c:v>0</c:v>
                </c:pt>
                <c:pt idx="2">
                  <c:v>0</c:v>
                </c:pt>
                <c:pt idx="3">
                  <c:v>0</c:v>
                </c:pt>
              </c:numCache>
            </c:numRef>
          </c:val>
          <c:extLst xmlns:c16r2="http://schemas.microsoft.com/office/drawing/2015/06/chart">
            <c:ext xmlns:c16="http://schemas.microsoft.com/office/drawing/2014/chart" uri="{C3380CC4-5D6E-409C-BE32-E72D297353CC}">
              <c16:uniqueId val="{00000000-747D-4E00-99F4-0B7672C77DF3}"/>
            </c:ext>
          </c:extLst>
        </c:ser>
        <c:dLbls>
          <c:showLegendKey val="0"/>
          <c:showVal val="0"/>
          <c:showCatName val="0"/>
          <c:showSerName val="0"/>
          <c:showPercent val="0"/>
          <c:showBubbleSize val="0"/>
        </c:dLbls>
        <c:gapWidth val="75"/>
        <c:overlap val="40"/>
        <c:axId val="1236173584"/>
        <c:axId val="1236175216"/>
      </c:barChart>
      <c:catAx>
        <c:axId val="12361735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36175216"/>
        <c:crosses val="autoZero"/>
        <c:auto val="1"/>
        <c:lblAlgn val="ctr"/>
        <c:lblOffset val="100"/>
        <c:noMultiLvlLbl val="0"/>
      </c:catAx>
      <c:valAx>
        <c:axId val="1236175216"/>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3617358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'Indicadores Anuales'!$H$3:$K$3</c:f>
              <c:strCache>
                <c:ptCount val="4"/>
                <c:pt idx="0">
                  <c:v>Enero- Abril</c:v>
                </c:pt>
                <c:pt idx="1">
                  <c:v>Mayo- Julio</c:v>
                </c:pt>
                <c:pt idx="2">
                  <c:v>Sep- Dic</c:v>
                </c:pt>
                <c:pt idx="3">
                  <c:v>TOTAL</c:v>
                </c:pt>
              </c:strCache>
            </c:strRef>
          </c:cat>
          <c:val>
            <c:numRef>
              <c:f>'Indicadores Anuales'!$H$4:$K$4</c:f>
              <c:numCache>
                <c:formatCode>0%</c:formatCode>
                <c:ptCount val="4"/>
                <c:pt idx="0">
                  <c:v>0</c:v>
                </c:pt>
                <c:pt idx="1">
                  <c:v>0</c:v>
                </c:pt>
                <c:pt idx="2">
                  <c:v>0</c:v>
                </c:pt>
                <c:pt idx="3">
                  <c:v>0</c:v>
                </c:pt>
              </c:numCache>
            </c:numRef>
          </c:val>
          <c:extLst xmlns:c16r2="http://schemas.microsoft.com/office/drawing/2015/06/chart">
            <c:ext xmlns:c16="http://schemas.microsoft.com/office/drawing/2014/chart" uri="{C3380CC4-5D6E-409C-BE32-E72D297353CC}">
              <c16:uniqueId val="{00000000-93C6-4EAA-8E92-42CB994839BB}"/>
            </c:ext>
          </c:extLst>
        </c:ser>
        <c:dLbls>
          <c:showLegendKey val="0"/>
          <c:showVal val="0"/>
          <c:showCatName val="0"/>
          <c:showSerName val="0"/>
          <c:showPercent val="0"/>
          <c:showBubbleSize val="0"/>
        </c:dLbls>
        <c:gapWidth val="75"/>
        <c:overlap val="40"/>
        <c:axId val="1236171952"/>
        <c:axId val="1236174128"/>
      </c:barChart>
      <c:catAx>
        <c:axId val="123617195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36174128"/>
        <c:crosses val="autoZero"/>
        <c:auto val="1"/>
        <c:lblAlgn val="ctr"/>
        <c:lblOffset val="100"/>
        <c:noMultiLvlLbl val="0"/>
      </c:catAx>
      <c:valAx>
        <c:axId val="123617412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36171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Reversed" id="23">
  <a:schemeClr val="accent3"/>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withinLinear" id="18">
  <a:schemeClr val="accent5"/>
</cs:colorStyle>
</file>

<file path=xl/charts/colors8.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3</xdr:col>
      <xdr:colOff>1050173</xdr:colOff>
      <xdr:row>8</xdr:row>
      <xdr:rowOff>34637</xdr:rowOff>
    </xdr:from>
    <xdr:to>
      <xdr:col>5</xdr:col>
      <xdr:colOff>990374</xdr:colOff>
      <xdr:row>11</xdr:row>
      <xdr:rowOff>640773</xdr:rowOff>
    </xdr:to>
    <xdr:pic>
      <xdr:nvPicPr>
        <xdr:cNvPr id="4"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2091" t="20891" r="66850" b="61359"/>
        <a:stretch>
          <a:fillRect/>
        </a:stretch>
      </xdr:blipFill>
      <xdr:spPr bwMode="auto">
        <a:xfrm>
          <a:off x="4929446" y="813955"/>
          <a:ext cx="4339019" cy="19915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1444626</xdr:colOff>
      <xdr:row>2</xdr:row>
      <xdr:rowOff>79375</xdr:rowOff>
    </xdr:from>
    <xdr:to>
      <xdr:col>2</xdr:col>
      <xdr:colOff>1397001</xdr:colOff>
      <xdr:row>5</xdr:row>
      <xdr:rowOff>377348</xdr:rowOff>
    </xdr:to>
    <xdr:pic>
      <xdr:nvPicPr>
        <xdr:cNvPr id="6"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2091" t="20891" r="66850" b="61359"/>
        <a:stretch>
          <a:fillRect/>
        </a:stretch>
      </xdr:blipFill>
      <xdr:spPr bwMode="auto">
        <a:xfrm>
          <a:off x="1444626" y="635000"/>
          <a:ext cx="2857500" cy="131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12</xdr:col>
      <xdr:colOff>329045</xdr:colOff>
      <xdr:row>5</xdr:row>
      <xdr:rowOff>73603</xdr:rowOff>
    </xdr:from>
    <xdr:to>
      <xdr:col>18</xdr:col>
      <xdr:colOff>337703</xdr:colOff>
      <xdr:row>16</xdr:row>
      <xdr:rowOff>287803</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497032</xdr:colOff>
      <xdr:row>40</xdr:row>
      <xdr:rowOff>55419</xdr:rowOff>
    </xdr:from>
    <xdr:to>
      <xdr:col>18</xdr:col>
      <xdr:colOff>504232</xdr:colOff>
      <xdr:row>51</xdr:row>
      <xdr:rowOff>269619</xdr:rowOff>
    </xdr:to>
    <xdr:graphicFrame macro="">
      <xdr:nvGraphicFramePr>
        <xdr:cNvPr id="4" name="Gráfico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422564</xdr:colOff>
      <xdr:row>74</xdr:row>
      <xdr:rowOff>226869</xdr:rowOff>
    </xdr:from>
    <xdr:to>
      <xdr:col>18</xdr:col>
      <xdr:colOff>429764</xdr:colOff>
      <xdr:row>86</xdr:row>
      <xdr:rowOff>129342</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225136</xdr:colOff>
      <xdr:row>5</xdr:row>
      <xdr:rowOff>89620</xdr:rowOff>
    </xdr:from>
    <xdr:to>
      <xdr:col>10</xdr:col>
      <xdr:colOff>2828926</xdr:colOff>
      <xdr:row>16</xdr:row>
      <xdr:rowOff>303067</xdr:rowOff>
    </xdr:to>
    <xdr:graphicFrame macro="">
      <xdr:nvGraphicFramePr>
        <xdr:cNvPr id="3" name="Gráfico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257175</xdr:colOff>
      <xdr:row>40</xdr:row>
      <xdr:rowOff>23380</xdr:rowOff>
    </xdr:from>
    <xdr:to>
      <xdr:col>10</xdr:col>
      <xdr:colOff>2731078</xdr:colOff>
      <xdr:row>51</xdr:row>
      <xdr:rowOff>237580</xdr:rowOff>
    </xdr:to>
    <xdr:graphicFrame macro="">
      <xdr:nvGraphicFramePr>
        <xdr:cNvPr id="7"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224270</xdr:colOff>
      <xdr:row>74</xdr:row>
      <xdr:rowOff>207818</xdr:rowOff>
    </xdr:from>
    <xdr:to>
      <xdr:col>10</xdr:col>
      <xdr:colOff>2699598</xdr:colOff>
      <xdr:row>86</xdr:row>
      <xdr:rowOff>110291</xdr:rowOff>
    </xdr:to>
    <xdr:graphicFrame macro="">
      <xdr:nvGraphicFramePr>
        <xdr:cNvPr id="8" name="Gráfico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809625</xdr:colOff>
      <xdr:row>9</xdr:row>
      <xdr:rowOff>71437</xdr:rowOff>
    </xdr:from>
    <xdr:to>
      <xdr:col>5</xdr:col>
      <xdr:colOff>666750</xdr:colOff>
      <xdr:row>28</xdr:row>
      <xdr:rowOff>29512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500062</xdr:colOff>
      <xdr:row>9</xdr:row>
      <xdr:rowOff>90486</xdr:rowOff>
    </xdr:from>
    <xdr:to>
      <xdr:col>10</xdr:col>
      <xdr:colOff>1300162</xdr:colOff>
      <xdr:row>28</xdr:row>
      <xdr:rowOff>47511</xdr:rowOff>
    </xdr:to>
    <xdr:graphicFrame macro="">
      <xdr:nvGraphicFramePr>
        <xdr:cNvPr id="5" name="Gráfico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orge.mendez\Desktop\Documentos%20de%20Escritorio\felipe\Riesgos\Mapas%20de%20riesgo%20codificados\Mapa%20de%20Riesgo%20Atenci&#243;n%20asistencial%20y%20farmaceut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T-Mapa de riesgos"/>
      <sheetName val="FT-Monitoreos "/>
      <sheetName val="Hoja1"/>
    </sheetNames>
    <sheetDataSet>
      <sheetData sheetId="0"/>
      <sheetData sheetId="1"/>
      <sheetData sheetId="2">
        <row r="1">
          <cell r="C1" t="str">
            <v>Rara vezInsignificante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CM486"/>
  <sheetViews>
    <sheetView tabSelected="1" view="pageBreakPreview" topLeftCell="B7" zoomScale="48" zoomScaleNormal="40" zoomScaleSheetLayoutView="48" workbookViewId="0">
      <selection activeCell="B16" sqref="B16:AM16"/>
    </sheetView>
  </sheetViews>
  <sheetFormatPr baseColWidth="10" defaultColWidth="11.42578125" defaultRowHeight="14.25" x14ac:dyDescent="0.2"/>
  <cols>
    <col min="1" max="1" width="11.42578125" style="10"/>
    <col min="2" max="2" width="11.42578125" style="11" customWidth="1"/>
    <col min="3" max="3" width="35.5703125" style="11" customWidth="1"/>
    <col min="4" max="4" width="41.5703125" style="11" customWidth="1"/>
    <col min="5" max="5" width="30.28515625" style="11" customWidth="1"/>
    <col min="6" max="6" width="49" style="11" customWidth="1"/>
    <col min="7" max="7" width="37.85546875" style="11" customWidth="1"/>
    <col min="8" max="8" width="25.42578125" style="11" customWidth="1"/>
    <col min="9" max="9" width="26.5703125" style="11" customWidth="1"/>
    <col min="10" max="10" width="23.5703125" style="11" customWidth="1"/>
    <col min="11" max="11" width="23.28515625" style="11" customWidth="1"/>
    <col min="12" max="12" width="19.42578125" style="11" customWidth="1"/>
    <col min="13" max="13" width="45.28515625" style="11" customWidth="1"/>
    <col min="14" max="14" width="56.85546875" style="11" customWidth="1"/>
    <col min="15" max="15" width="40.7109375" style="11" customWidth="1"/>
    <col min="16" max="16" width="33.42578125" style="11" customWidth="1"/>
    <col min="17" max="17" width="24.85546875" style="11" customWidth="1"/>
    <col min="18" max="18" width="31.140625" style="11" customWidth="1"/>
    <col min="19" max="19" width="23.140625" style="11" customWidth="1"/>
    <col min="20" max="20" width="34.28515625" style="11" customWidth="1"/>
    <col min="21" max="21" width="24.7109375" style="11" customWidth="1"/>
    <col min="22" max="22" width="33" style="11" customWidth="1"/>
    <col min="23" max="23" width="30.85546875" style="11" bestFit="1" customWidth="1"/>
    <col min="24" max="24" width="30.42578125" style="11" customWidth="1"/>
    <col min="25" max="25" width="30.85546875" style="11" customWidth="1"/>
    <col min="26" max="26" width="20.140625" style="11" customWidth="1"/>
    <col min="27" max="27" width="32.7109375" style="11" customWidth="1"/>
    <col min="28" max="28" width="32.7109375" style="11" hidden="1" customWidth="1"/>
    <col min="29" max="29" width="23.85546875" style="11" hidden="1" customWidth="1"/>
    <col min="30" max="30" width="22.85546875" style="11" hidden="1" customWidth="1"/>
    <col min="31" max="31" width="20.140625" style="11" hidden="1" customWidth="1"/>
    <col min="32" max="32" width="17.42578125" style="11" hidden="1" customWidth="1"/>
    <col min="33" max="33" width="26.5703125" style="11" hidden="1" customWidth="1"/>
    <col min="34" max="34" width="17" style="11" hidden="1" customWidth="1"/>
    <col min="35" max="35" width="29.42578125" style="11" hidden="1" customWidth="1"/>
    <col min="36" max="36" width="24.28515625" style="11" customWidth="1"/>
    <col min="37" max="37" width="29" style="11" customWidth="1"/>
    <col min="38" max="38" width="29.5703125" style="11" customWidth="1"/>
    <col min="39" max="39" width="53.42578125" style="10" customWidth="1"/>
    <col min="40" max="40" width="4" style="10" customWidth="1"/>
    <col min="41" max="91" width="11.42578125" style="10"/>
    <col min="92" max="16384" width="11.42578125" style="11"/>
  </cols>
  <sheetData>
    <row r="1" spans="1:91" hidden="1" x14ac:dyDescent="0.2"/>
    <row r="2" spans="1:91" hidden="1" x14ac:dyDescent="0.2"/>
    <row r="3" spans="1:91" hidden="1" x14ac:dyDescent="0.2"/>
    <row r="4" spans="1:91" hidden="1" x14ac:dyDescent="0.2"/>
    <row r="5" spans="1:91" hidden="1" x14ac:dyDescent="0.2"/>
    <row r="6" spans="1:91" hidden="1" x14ac:dyDescent="0.2"/>
    <row r="7" spans="1:91" ht="15" thickBot="1" x14ac:dyDescent="0.25">
      <c r="B7" s="10"/>
      <c r="C7" s="10"/>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row>
    <row r="8" spans="1:91" s="21" customFormat="1" ht="66.75" customHeight="1" x14ac:dyDescent="0.35">
      <c r="A8" s="20"/>
      <c r="B8" s="288" t="s">
        <v>70</v>
      </c>
      <c r="C8" s="289"/>
      <c r="D8" s="289"/>
      <c r="E8" s="289"/>
      <c r="F8" s="289"/>
      <c r="G8" s="289"/>
      <c r="H8" s="290" t="s">
        <v>74</v>
      </c>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c r="AM8" s="219" t="s">
        <v>75</v>
      </c>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row>
    <row r="9" spans="1:91" s="21" customFormat="1" ht="67.5" customHeight="1" x14ac:dyDescent="0.35">
      <c r="A9" s="20"/>
      <c r="B9" s="278"/>
      <c r="C9" s="279"/>
      <c r="D9" s="279"/>
      <c r="E9" s="279"/>
      <c r="F9" s="279"/>
      <c r="G9" s="280"/>
      <c r="H9" s="264" t="s">
        <v>68</v>
      </c>
      <c r="I9" s="265"/>
      <c r="J9" s="265"/>
      <c r="K9" s="265"/>
      <c r="L9" s="265"/>
      <c r="M9" s="265"/>
      <c r="N9" s="265"/>
      <c r="O9" s="265"/>
      <c r="P9" s="265"/>
      <c r="Q9" s="265"/>
      <c r="R9" s="265"/>
      <c r="S9" s="265"/>
      <c r="T9" s="265"/>
      <c r="U9" s="265"/>
      <c r="V9" s="265"/>
      <c r="W9" s="265"/>
      <c r="X9" s="265"/>
      <c r="Y9" s="265"/>
      <c r="Z9" s="265"/>
      <c r="AA9" s="265"/>
      <c r="AB9" s="265"/>
      <c r="AC9" s="265"/>
      <c r="AD9" s="265"/>
      <c r="AE9" s="265"/>
      <c r="AF9" s="265"/>
      <c r="AG9" s="265"/>
      <c r="AH9" s="265"/>
      <c r="AI9" s="265"/>
      <c r="AJ9" s="265"/>
      <c r="AK9" s="265"/>
      <c r="AL9" s="266"/>
      <c r="AM9" s="220" t="s">
        <v>153</v>
      </c>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row>
    <row r="10" spans="1:91" s="21" customFormat="1" ht="38.25" customHeight="1" thickBot="1" x14ac:dyDescent="0.4">
      <c r="A10" s="20"/>
      <c r="B10" s="281"/>
      <c r="C10" s="282"/>
      <c r="D10" s="282"/>
      <c r="E10" s="282"/>
      <c r="F10" s="282"/>
      <c r="G10" s="283"/>
      <c r="H10" s="267"/>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9"/>
      <c r="AM10" s="221" t="s">
        <v>154</v>
      </c>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row>
    <row r="11" spans="1:91" s="21" customFormat="1" ht="33" customHeight="1" x14ac:dyDescent="0.35">
      <c r="A11" s="20"/>
      <c r="B11" s="281"/>
      <c r="C11" s="282"/>
      <c r="D11" s="282"/>
      <c r="E11" s="282"/>
      <c r="F11" s="282"/>
      <c r="G11" s="283"/>
      <c r="H11" s="291" t="s">
        <v>69</v>
      </c>
      <c r="I11" s="292"/>
      <c r="J11" s="292"/>
      <c r="K11" s="292"/>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3"/>
      <c r="AM11" s="270" t="s">
        <v>77</v>
      </c>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row>
    <row r="12" spans="1:91" s="21" customFormat="1" ht="51.75" customHeight="1" thickBot="1" x14ac:dyDescent="0.4">
      <c r="A12" s="20"/>
      <c r="B12" s="284"/>
      <c r="C12" s="285"/>
      <c r="D12" s="285"/>
      <c r="E12" s="285"/>
      <c r="F12" s="285"/>
      <c r="G12" s="286"/>
      <c r="H12" s="294" t="s">
        <v>76</v>
      </c>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71"/>
      <c r="AN12" s="20" t="e">
        <f>+Q19:R19+'[1]FT-Mapa de riesgos'!$C$53</f>
        <v>#VALUE!</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row>
    <row r="13" spans="1:91" s="21" customFormat="1" ht="24" customHeight="1" x14ac:dyDescent="0.35">
      <c r="A13" s="20"/>
      <c r="B13" s="310"/>
      <c r="C13" s="311"/>
      <c r="D13" s="311"/>
      <c r="E13" s="311"/>
      <c r="F13" s="311"/>
      <c r="G13" s="311"/>
      <c r="H13" s="311"/>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2"/>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row>
    <row r="14" spans="1:91" s="10" customFormat="1" ht="30.75" thickBot="1" x14ac:dyDescent="0.45">
      <c r="B14" s="222"/>
      <c r="C14" s="223"/>
      <c r="D14" s="223"/>
      <c r="E14" s="223"/>
      <c r="F14" s="223"/>
      <c r="G14" s="223"/>
      <c r="H14" s="223"/>
      <c r="I14" s="223"/>
      <c r="J14" s="223"/>
      <c r="K14" s="223"/>
      <c r="L14" s="223"/>
      <c r="M14" s="223"/>
      <c r="N14" s="223"/>
      <c r="O14" s="223"/>
      <c r="P14" s="223"/>
      <c r="Q14" s="223"/>
      <c r="R14" s="223"/>
      <c r="S14" s="223"/>
      <c r="T14" s="223"/>
      <c r="U14" s="223"/>
      <c r="V14" s="223"/>
      <c r="W14" s="223"/>
      <c r="X14" s="223"/>
      <c r="Y14" s="223"/>
      <c r="Z14" s="223"/>
      <c r="AA14" s="223"/>
      <c r="AB14" s="223"/>
      <c r="AC14" s="223"/>
      <c r="AD14" s="223"/>
      <c r="AE14" s="223"/>
      <c r="AF14" s="223"/>
      <c r="AG14" s="223"/>
      <c r="AH14" s="223"/>
      <c r="AI14" s="223"/>
      <c r="AJ14" s="223"/>
      <c r="AK14" s="223"/>
      <c r="AL14" s="223"/>
      <c r="AM14" s="224"/>
    </row>
    <row r="15" spans="1:91" ht="33.75" hidden="1" customHeight="1" thickBot="1" x14ac:dyDescent="0.45">
      <c r="B15" s="225"/>
      <c r="C15" s="226"/>
      <c r="D15" s="227"/>
      <c r="E15" s="227"/>
      <c r="F15" s="227"/>
      <c r="G15" s="227"/>
      <c r="H15" s="227"/>
      <c r="I15" s="227"/>
      <c r="J15" s="227"/>
      <c r="K15" s="227"/>
      <c r="L15" s="227"/>
      <c r="M15" s="227"/>
      <c r="N15" s="227"/>
      <c r="O15" s="227"/>
      <c r="P15" s="228"/>
      <c r="Q15" s="228">
        <v>32</v>
      </c>
      <c r="R15" s="228"/>
      <c r="S15" s="228">
        <v>25</v>
      </c>
      <c r="T15" s="228"/>
      <c r="U15" s="228">
        <v>25</v>
      </c>
      <c r="V15" s="228"/>
      <c r="W15" s="228"/>
      <c r="X15" s="228"/>
      <c r="Y15" s="228"/>
      <c r="Z15" s="228">
        <v>18</v>
      </c>
      <c r="AA15" s="228"/>
      <c r="AB15" s="228"/>
      <c r="AC15" s="229"/>
      <c r="AD15" s="229">
        <v>25</v>
      </c>
      <c r="AE15" s="229">
        <v>50</v>
      </c>
      <c r="AF15" s="229">
        <v>75</v>
      </c>
      <c r="AG15" s="229">
        <v>100</v>
      </c>
      <c r="AH15" s="229"/>
      <c r="AI15" s="229"/>
      <c r="AJ15" s="229"/>
      <c r="AK15" s="229"/>
      <c r="AL15" s="230"/>
      <c r="AM15" s="191"/>
    </row>
    <row r="16" spans="1:91" ht="81.75" customHeight="1" thickBot="1" x14ac:dyDescent="0.25">
      <c r="B16" s="313" t="s">
        <v>1097</v>
      </c>
      <c r="C16" s="314"/>
      <c r="D16" s="314"/>
      <c r="E16" s="314"/>
      <c r="F16" s="314"/>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4"/>
      <c r="AL16" s="314"/>
      <c r="AM16" s="314"/>
    </row>
    <row r="17" spans="1:39" ht="55.5" customHeight="1" thickBot="1" x14ac:dyDescent="0.25">
      <c r="B17" s="295" t="s">
        <v>12</v>
      </c>
      <c r="C17" s="295"/>
      <c r="D17" s="295"/>
      <c r="E17" s="295"/>
      <c r="F17" s="295"/>
      <c r="G17" s="295"/>
      <c r="H17" s="302" t="s">
        <v>82</v>
      </c>
      <c r="I17" s="303"/>
      <c r="J17" s="303"/>
      <c r="K17" s="303"/>
      <c r="L17" s="303"/>
      <c r="M17" s="303"/>
      <c r="N17" s="303"/>
      <c r="O17" s="303"/>
      <c r="P17" s="303"/>
      <c r="Q17" s="303"/>
      <c r="R17" s="303"/>
      <c r="S17" s="303"/>
      <c r="T17" s="303"/>
      <c r="U17" s="303"/>
      <c r="V17" s="303"/>
      <c r="W17" s="303"/>
      <c r="X17" s="303"/>
      <c r="Y17" s="303"/>
      <c r="Z17" s="303"/>
      <c r="AA17" s="303"/>
      <c r="AB17" s="303"/>
      <c r="AC17" s="303"/>
      <c r="AD17" s="303"/>
      <c r="AE17" s="303"/>
      <c r="AF17" s="303"/>
      <c r="AG17" s="303"/>
      <c r="AH17" s="303"/>
      <c r="AI17" s="303"/>
      <c r="AJ17" s="303"/>
      <c r="AK17" s="303"/>
      <c r="AL17" s="303"/>
      <c r="AM17" s="304"/>
    </row>
    <row r="18" spans="1:39" ht="60.75" customHeight="1" x14ac:dyDescent="0.2">
      <c r="B18" s="296" t="s">
        <v>42</v>
      </c>
      <c r="C18" s="298" t="s">
        <v>3</v>
      </c>
      <c r="D18" s="298" t="s">
        <v>2</v>
      </c>
      <c r="E18" s="298" t="s">
        <v>4</v>
      </c>
      <c r="F18" s="298" t="s">
        <v>5</v>
      </c>
      <c r="G18" s="300" t="s">
        <v>6</v>
      </c>
      <c r="H18" s="272" t="s">
        <v>88</v>
      </c>
      <c r="I18" s="273"/>
      <c r="J18" s="273"/>
      <c r="K18" s="274"/>
      <c r="L18" s="275" t="s">
        <v>9</v>
      </c>
      <c r="M18" s="276"/>
      <c r="N18" s="276"/>
      <c r="O18" s="276"/>
      <c r="P18" s="276"/>
      <c r="Q18" s="276"/>
      <c r="R18" s="276"/>
      <c r="S18" s="276"/>
      <c r="T18" s="276"/>
      <c r="U18" s="276"/>
      <c r="V18" s="276"/>
      <c r="W18" s="276"/>
      <c r="X18" s="276"/>
      <c r="Y18" s="276"/>
      <c r="Z18" s="276"/>
      <c r="AA18" s="276"/>
      <c r="AB18" s="276"/>
      <c r="AC18" s="276"/>
      <c r="AD18" s="276"/>
      <c r="AE18" s="276"/>
      <c r="AF18" s="276"/>
      <c r="AG18" s="276"/>
      <c r="AH18" s="277"/>
      <c r="AI18" s="214"/>
      <c r="AJ18" s="275" t="s">
        <v>11</v>
      </c>
      <c r="AK18" s="276"/>
      <c r="AL18" s="277"/>
      <c r="AM18" s="305" t="s">
        <v>89</v>
      </c>
    </row>
    <row r="19" spans="1:39" ht="254.25" customHeight="1" x14ac:dyDescent="0.2">
      <c r="B19" s="297"/>
      <c r="C19" s="299"/>
      <c r="D19" s="299"/>
      <c r="E19" s="299"/>
      <c r="F19" s="299"/>
      <c r="G19" s="301"/>
      <c r="H19" s="215" t="s">
        <v>7</v>
      </c>
      <c r="I19" s="215" t="s">
        <v>8</v>
      </c>
      <c r="J19" s="216" t="s">
        <v>0</v>
      </c>
      <c r="K19" s="216" t="s">
        <v>81</v>
      </c>
      <c r="L19" s="216" t="s">
        <v>62</v>
      </c>
      <c r="M19" s="215" t="s">
        <v>103</v>
      </c>
      <c r="N19" s="215" t="s">
        <v>99</v>
      </c>
      <c r="O19" s="217" t="s">
        <v>147</v>
      </c>
      <c r="P19" s="217" t="s">
        <v>43</v>
      </c>
      <c r="Q19" s="217" t="s">
        <v>144</v>
      </c>
      <c r="R19" s="217" t="s">
        <v>141</v>
      </c>
      <c r="S19" s="217" t="s">
        <v>38</v>
      </c>
      <c r="T19" s="217" t="s">
        <v>145</v>
      </c>
      <c r="U19" s="217" t="s">
        <v>39</v>
      </c>
      <c r="V19" s="217" t="s">
        <v>142</v>
      </c>
      <c r="W19" s="307" t="s">
        <v>146</v>
      </c>
      <c r="X19" s="308"/>
      <c r="Y19" s="309"/>
      <c r="Z19" s="217" t="s">
        <v>40</v>
      </c>
      <c r="AA19" s="217" t="s">
        <v>143</v>
      </c>
      <c r="AB19" s="218" t="s">
        <v>61</v>
      </c>
      <c r="AC19" s="218" t="s">
        <v>54</v>
      </c>
      <c r="AD19" s="218" t="s">
        <v>55</v>
      </c>
      <c r="AE19" s="216" t="s">
        <v>53</v>
      </c>
      <c r="AF19" s="216" t="s">
        <v>23</v>
      </c>
      <c r="AG19" s="216" t="s">
        <v>57</v>
      </c>
      <c r="AH19" s="216" t="s">
        <v>58</v>
      </c>
      <c r="AI19" s="216"/>
      <c r="AJ19" s="216" t="s">
        <v>7</v>
      </c>
      <c r="AK19" s="216" t="s">
        <v>10</v>
      </c>
      <c r="AL19" s="216" t="s">
        <v>0</v>
      </c>
      <c r="AM19" s="306"/>
    </row>
    <row r="20" spans="1:39" ht="184.5" customHeight="1" x14ac:dyDescent="0.4">
      <c r="A20" s="191"/>
      <c r="B20" s="245">
        <v>1</v>
      </c>
      <c r="C20" s="244" t="s">
        <v>158</v>
      </c>
      <c r="D20" s="251" t="s">
        <v>175</v>
      </c>
      <c r="E20" s="244" t="s">
        <v>67</v>
      </c>
      <c r="F20" s="195" t="s">
        <v>159</v>
      </c>
      <c r="G20" s="244" t="s">
        <v>157</v>
      </c>
      <c r="H20" s="239" t="s">
        <v>14</v>
      </c>
      <c r="I20" s="240" t="s">
        <v>20</v>
      </c>
      <c r="J20" s="238" t="str">
        <f>IF(ISERROR(VLOOKUP(H20&amp;I20,Hoja1!$C$1:$F$25,4,0)),"",(VLOOKUP(H20&amp;I20,Hoja1!$C$1:$F$25,4,0)))</f>
        <v>Alto</v>
      </c>
      <c r="K20" s="185" t="s">
        <v>85</v>
      </c>
      <c r="L20" s="234">
        <v>2</v>
      </c>
      <c r="M20" s="195" t="s">
        <v>160</v>
      </c>
      <c r="N20" s="195" t="s">
        <v>163</v>
      </c>
      <c r="O20" s="195" t="s">
        <v>165</v>
      </c>
      <c r="P20" s="188" t="s">
        <v>22</v>
      </c>
      <c r="Q20" s="188" t="s">
        <v>41</v>
      </c>
      <c r="R20" s="188" t="s">
        <v>167</v>
      </c>
      <c r="S20" s="188" t="s">
        <v>41</v>
      </c>
      <c r="T20" s="189" t="s">
        <v>168</v>
      </c>
      <c r="U20" s="188" t="s">
        <v>41</v>
      </c>
      <c r="V20" s="188" t="s">
        <v>72</v>
      </c>
      <c r="W20" s="188" t="s">
        <v>101</v>
      </c>
      <c r="X20" s="190" t="s">
        <v>102</v>
      </c>
      <c r="Y20" s="189" t="s">
        <v>108</v>
      </c>
      <c r="Z20" s="188" t="s">
        <v>41</v>
      </c>
      <c r="AA20" s="189" t="s">
        <v>170</v>
      </c>
      <c r="AB20" s="183">
        <f t="shared" ref="AB20:AB82" si="0">SUM(IF(Q20="Si",Q$15,0)+(IF(S20="Si",S$15,0))+IF(U20="Si",U$15,0)+IF(Z20="Si",Z$15,0))</f>
        <v>100</v>
      </c>
      <c r="AC20" s="184">
        <f>IF(AND(L20=2,P20="Probabilidad",AB20&gt;=75),50,IF(AND(P20="Probabilidad",L20=2,AB20&gt;=50),37,IF(AND(P20="Probabilidad",L20=2,AB20&gt;=25),25,IF(AND(P20="Probabilidad",L20=2,AB20&gt;10),12,IF(AND(L20=1,P20="Probabilidad",AB20&gt;=75),100,IF(AND(P20="Probabilidad",L20=1,AB20&gt;=50),75,IF(AND(P20="Probabilidad",L20=1,AB20&gt;=25),50,IF(AND(P20="Probabilidad",L20=1,AB20&gt;10),25,IF(AND(P20="Probabilidad",L20=3,AB20&gt;=75),33.3,IF(AND(P20="Probabilidad",L20=3,AB20,AB20&gt;=50),25,IF(AND(P20="Probabilidad",L20=3,AB20&gt;=25),17,IF(AND(P20="Probabilidad",L20=3,AB20&gt;10),8,0))))))))))))</f>
        <v>50</v>
      </c>
      <c r="AD20" s="184">
        <f>IF(AND(L20=2,P20="Impacto",AB20&gt;=75),50,IF(AND(P20="Impacto",L20=2,AB20&gt;=50),37,IF(AND(P20="Impacto",L20=2,AB20&gt;=25),25,IF(AND(P20="Impacto",L20=2,AB20&gt;10),12,IF(AND(L20=1,P20="Impacto",AB20&gt;=75),100,IF(AND(P20="Impacto",L20=1,AB20&gt;=50),75,IF(AND(P20="Impacto",L20=1,AB20&gt;=25),50,IF(AND(P20="Impacto",L20=1,AB20&gt;10),25,IF(AND(P20="Impacto",L20=3,AB20&gt;=75),33.3,IF(AND(P20="Impacto",L20=3,AB20,AB20&gt;=50),25,IF(AND(P20="Impacto",L20=3,AB20&gt;=25),17,IF(AND(P20="Impacto",L20=3,AB20&gt;10),8,0))))))))))))</f>
        <v>0</v>
      </c>
      <c r="AE20" s="235">
        <f>SUM(AC20:AC22)</f>
        <v>100</v>
      </c>
      <c r="AF20" s="235">
        <f>SUM(AD20:AD22)</f>
        <v>0</v>
      </c>
      <c r="AG20" s="236">
        <f>IF(AE20&gt;75,2,IF(AE20&gt;=30,1,"-"))</f>
        <v>2</v>
      </c>
      <c r="AH20" s="236" t="str">
        <f>IF(AF20&gt;75,2,IF(AF20&gt;=30,1,"-"))</f>
        <v>-</v>
      </c>
      <c r="AI20" s="186"/>
      <c r="AJ20" s="237" t="str">
        <f>IF(AND(AG20=2,H20="Casi seguro"),Hoja1!$J$5,IF(AND(AG20=2,H20="Posible"),Hoja1!$J$6,IF(AND(H20="Improbable",AG20=2),Hoja1!J6,IF(AND(AG20=1,H20="Casi seguro"),Hoja1!$J$4,IF(AND(AG20=1,H20="Posible"),Hoja1!$J$5,IF(AND(AG20=1,H20="Improbable"),Hoja1!$J$6,'FT-Mapa de riesgos'!H20))))))</f>
        <v>Rara Vez</v>
      </c>
      <c r="AK20" s="237" t="str">
        <f>IF(AND(AH20=2,I20="Catastrofico"),Hoja1!$K$5,IF(AND(AH20=2,I20="Mayor"),Hoja1!$K$6,IF(AND(AH20=2,I20="Moderado"),Hoja1!$K$7,IF(AND(AH20=1,I20="Catastrofico"),Hoja1!$K$4,IF(AND(AH20=1,I20="Mayor "),Hoja1!$K$5,IF(AND(AH20=1,I20="Moderado"),Hoja1!$K$6,IF(AND(AH20=2,I20="Menor"),Hoja1!$K$7,'FT-Mapa de riesgos'!I20)))))))</f>
        <v xml:space="preserve">Mayor </v>
      </c>
      <c r="AL20" s="238" t="s">
        <v>177</v>
      </c>
      <c r="AM20" s="315" t="s">
        <v>176</v>
      </c>
    </row>
    <row r="21" spans="1:39" ht="185.25" customHeight="1" x14ac:dyDescent="0.4">
      <c r="A21" s="191"/>
      <c r="B21" s="245"/>
      <c r="C21" s="244"/>
      <c r="D21" s="251"/>
      <c r="E21" s="244"/>
      <c r="F21" s="195" t="s">
        <v>162</v>
      </c>
      <c r="G21" s="244"/>
      <c r="H21" s="239"/>
      <c r="I21" s="240"/>
      <c r="J21" s="238"/>
      <c r="K21" s="185" t="s">
        <v>85</v>
      </c>
      <c r="L21" s="234"/>
      <c r="M21" s="195" t="s">
        <v>161</v>
      </c>
      <c r="N21" s="195" t="s">
        <v>164</v>
      </c>
      <c r="O21" s="195" t="s">
        <v>166</v>
      </c>
      <c r="P21" s="188" t="s">
        <v>22</v>
      </c>
      <c r="Q21" s="188" t="s">
        <v>41</v>
      </c>
      <c r="R21" s="188" t="s">
        <v>167</v>
      </c>
      <c r="S21" s="188" t="s">
        <v>41</v>
      </c>
      <c r="T21" s="189" t="s">
        <v>169</v>
      </c>
      <c r="U21" s="188" t="s">
        <v>41</v>
      </c>
      <c r="V21" s="188" t="s">
        <v>72</v>
      </c>
      <c r="W21" s="188" t="s">
        <v>101</v>
      </c>
      <c r="X21" s="190" t="s">
        <v>102</v>
      </c>
      <c r="Y21" s="189" t="s">
        <v>108</v>
      </c>
      <c r="Z21" s="188" t="s">
        <v>41</v>
      </c>
      <c r="AA21" s="189" t="s">
        <v>171</v>
      </c>
      <c r="AB21" s="183">
        <f t="shared" si="0"/>
        <v>100</v>
      </c>
      <c r="AC21" s="184">
        <f>IF(AND(L20=2,P21="Probabilidad",AB21&gt;=75),50,IF(AND(P21="Probabilidad",L20=2,AB21&gt;=50),37,IF(AND(P21="Probabilidad",L20=2,AB21&gt;=25),25,IF(AND(P21="Probabilidad",L20=2,AB21&gt;10),12,IF(AND(L20=1,P21="Probabilidad",AB21&gt;=75),100,IF(AND(P21="Probabilidad",L20=1,AB21&gt;=50),75,IF(AND(P21="Probabilidad",L20=1,AB21&gt;=25),50,IF(AND(P21="Probabilidad",L20=1,AB21&gt;10),25,IF(AND(P21="Probabilidad",L20=3,AB21&gt;=75),33.3,IF(AND(P21="Probabilidad",L20=3,AB21,AB21&gt;=50),25,IF(AND(P21="Probabilidad",L20=3,AB21&gt;=25),17,IF(AND(P21="Probabilidad",L20=3,AB21&gt;10),8,0))))))))))))</f>
        <v>50</v>
      </c>
      <c r="AD21" s="184">
        <f>IF(AND(L20=2,P21="Impacto",AB21&gt;=75),50,IF(AND(P21="Impacto",L20=2,AB21&gt;=50),37,IF(AND(P21="Impacto",L20=2,AB21&gt;=25),25,IF(AND(P21="Impacto",L20=2,AB21&gt;10),12,IF(AND(L20=1,P21="Impacto",AB21&gt;=75),100,IF(AND(P21="Impacto",L20=1,AB21&gt;=50),75,IF(AND(P21="Impacto",L20=1,AB21&gt;=25),50,IF(AND(P21="Impacto",L20=1,AB21&gt;10),25,IF(AND(P21="Impacto",L20=3,AB21&gt;=75),33.3,IF(AND(P21="Impacto",L20=3,AB21,AB21&gt;=50),25,IF(AND(P21="Impacto",L20=3,AB21&gt;=25),17,IF(AND(P21="Impacto",L20=3,AB21&gt;10),8,0))))))))))))</f>
        <v>0</v>
      </c>
      <c r="AE21" s="235"/>
      <c r="AF21" s="287"/>
      <c r="AG21" s="236"/>
      <c r="AH21" s="236"/>
      <c r="AI21" s="186"/>
      <c r="AJ21" s="237"/>
      <c r="AK21" s="237"/>
      <c r="AL21" s="238"/>
      <c r="AM21" s="233"/>
    </row>
    <row r="22" spans="1:39" ht="93" hidden="1" customHeight="1" x14ac:dyDescent="0.4">
      <c r="A22" s="191"/>
      <c r="B22" s="245"/>
      <c r="C22" s="244"/>
      <c r="D22" s="251"/>
      <c r="E22" s="244"/>
      <c r="F22" s="195"/>
      <c r="G22" s="244"/>
      <c r="H22" s="239"/>
      <c r="I22" s="240"/>
      <c r="J22" s="238"/>
      <c r="K22" s="185"/>
      <c r="L22" s="234"/>
      <c r="M22" s="195"/>
      <c r="N22" s="195"/>
      <c r="O22" s="195"/>
      <c r="P22" s="188"/>
      <c r="Q22" s="188"/>
      <c r="R22" s="188" t="str">
        <f t="shared" ref="R22:R82" si="1">+IF(Q22="No","N/A","")</f>
        <v/>
      </c>
      <c r="S22" s="188"/>
      <c r="T22" s="188" t="str">
        <f t="shared" ref="T22:T82" si="2">+IF(S22="No","N/A","")</f>
        <v/>
      </c>
      <c r="U22" s="188"/>
      <c r="V22" s="188"/>
      <c r="W22" s="188"/>
      <c r="X22" s="190"/>
      <c r="Y22" s="189"/>
      <c r="Z22" s="188"/>
      <c r="AA22" s="188"/>
      <c r="AB22" s="183">
        <f t="shared" si="0"/>
        <v>0</v>
      </c>
      <c r="AC22" s="184">
        <f>IF(AND(L20=2,P22="Probabilidad",AB22&gt;=75),50,IF(AND(P22="Probabilidad",L20=2,AB22&gt;=50),37,IF(AND(P22="Probabilidad",L20=2,AB22&gt;=25),25,IF(AND(P22="Probabilidad",L20=2,AB22&gt;10),12,IF(AND(L20=1,P22="Probabilidad",AB22&gt;=75),100,IF(AND(P22="Probabilidad",L20=1,AB22&gt;=50),75,IF(AND(P22="Probabilidad",L20=1,AB22&gt;=25),50,IF(AND(P22="Probabilidad",L20=1,AB22&gt;10),25,IF(AND(P22="Probabilidad",L20=3,AB22&gt;=75),33.3,IF(AND(P22="Probabilidad",L20=3,AB22,AB22&gt;=50),25,IF(AND(P22="Probabilidad",L20=3,AB22&gt;=25),17,IF(AND(P22="Probabilidad",L20=3,AB22&gt;10),8,0))))))))))))</f>
        <v>0</v>
      </c>
      <c r="AD22" s="184">
        <f>IF(AND(L20=2,P22="Impacto",AB22&gt;=75),50,IF(AND(P22="Impacto",L20=2,AB22&gt;=50),37,IF(AND(P22="Impacto",L20=2,AB22&gt;=25),25,IF(AND(P22="Impacto",L20=2,AB22&gt;10),12,IF(AND(L20=1,P22="Impacto",AB22&gt;=75),100,IF(AND(P22="Impacto",L20=1,AB22&gt;=50),75,IF(AND(P22="Impacto",L20=1,AB22&gt;=25),50,IF(AND(P22="Impacto",L20=1,AB22&gt;10),25,IF(AND(P22="Impacto",L20=3,AB22&gt;=75),33.3,IF(AND(P22="Impacto",L20=3,AB22,AB22&gt;=50),25,IF(AND(P22="Impacto",L20=3,AB22&gt;=25),17,IF(AND(P22="Impacto",L20=3,AB22&gt;10),8,0))))))))))))</f>
        <v>0</v>
      </c>
      <c r="AE22" s="235"/>
      <c r="AF22" s="287"/>
      <c r="AG22" s="236"/>
      <c r="AH22" s="236"/>
      <c r="AI22" s="186"/>
      <c r="AJ22" s="237"/>
      <c r="AK22" s="237"/>
      <c r="AL22" s="238"/>
      <c r="AM22" s="233"/>
    </row>
    <row r="23" spans="1:39" ht="160.5" customHeight="1" x14ac:dyDescent="0.4">
      <c r="A23" s="191"/>
      <c r="B23" s="245">
        <v>2</v>
      </c>
      <c r="C23" s="244" t="s">
        <v>178</v>
      </c>
      <c r="D23" s="244" t="s">
        <v>173</v>
      </c>
      <c r="E23" s="244" t="s">
        <v>67</v>
      </c>
      <c r="F23" s="195" t="s">
        <v>159</v>
      </c>
      <c r="G23" s="244" t="s">
        <v>174</v>
      </c>
      <c r="H23" s="239" t="s">
        <v>14</v>
      </c>
      <c r="I23" s="240" t="s">
        <v>21</v>
      </c>
      <c r="J23" s="238" t="str">
        <f>IF(ISERROR(VLOOKUP(H23&amp;I23,Hoja1!$C$1:$F$25,4,0)),"",(VLOOKUP(H23&amp;I23,Hoja1!$C$1:$F$25,4,0)))</f>
        <v>Extremo</v>
      </c>
      <c r="K23" s="185" t="s">
        <v>85</v>
      </c>
      <c r="L23" s="234">
        <v>2</v>
      </c>
      <c r="M23" s="195" t="s">
        <v>160</v>
      </c>
      <c r="N23" s="195" t="s">
        <v>163</v>
      </c>
      <c r="O23" s="195" t="s">
        <v>165</v>
      </c>
      <c r="P23" s="188" t="s">
        <v>22</v>
      </c>
      <c r="Q23" s="188" t="s">
        <v>41</v>
      </c>
      <c r="R23" s="188" t="s">
        <v>167</v>
      </c>
      <c r="S23" s="188" t="s">
        <v>41</v>
      </c>
      <c r="T23" s="189" t="s">
        <v>168</v>
      </c>
      <c r="U23" s="188" t="s">
        <v>41</v>
      </c>
      <c r="V23" s="188" t="s">
        <v>72</v>
      </c>
      <c r="W23" s="188" t="s">
        <v>101</v>
      </c>
      <c r="X23" s="190" t="s">
        <v>102</v>
      </c>
      <c r="Y23" s="189" t="s">
        <v>108</v>
      </c>
      <c r="Z23" s="188" t="s">
        <v>41</v>
      </c>
      <c r="AA23" s="189" t="s">
        <v>170</v>
      </c>
      <c r="AB23" s="183">
        <f t="shared" si="0"/>
        <v>100</v>
      </c>
      <c r="AC23" s="184">
        <f>IF(AND(L23=2,P23="Probabilidad",AB23&gt;=75),50,IF(AND(P23="Probabilidad",L23=2,AB23&gt;=50),37,IF(AND(P23="Probabilidad",L23=2,AB23&gt;=25),25,IF(AND(P23="Probabilidad",L23=2,AB23&gt;10),12,IF(AND(L23=1,P23="Probabilidad",AB23&gt;=75),100,IF(AND(P23="Probabilidad",L23=1,AB23&gt;=50),75,IF(AND(P23="Probabilidad",L23=1,AB23&gt;=25),50,IF(AND(P23="Probabilidad",L23=1,AB23&gt;10),25,IF(AND(P23="Probabilidad",L23=3,AB23&gt;=75),33.3,IF(AND(P23="Probabilidad",L23=3,AB23,AB23&gt;=50),25,IF(AND(P23="Probabilidad",L23=3,AB23&gt;=25),17,IF(AND(P23="Probabilidad",L23=3,AB23&gt;10),8,0))))))))))))</f>
        <v>50</v>
      </c>
      <c r="AD23" s="184">
        <f>IF(AND(L23=2,P23="Impacto",AB23&gt;=75),50,IF(AND(P23="Impacto",L23=2,AB23&gt;=50),37,IF(AND(P23="Impacto",L23=2,AB23&gt;=25),25,IF(AND(P23="Impacto",L23=2,AB23&gt;10),12,IF(AND(L23=1,P23="Impacto",AB23&gt;=75),100,IF(AND(P23="Impacto",L23=1,AB23&gt;=50),75,IF(AND(P23="Impacto",L23=1,AB23&gt;=25),50,IF(AND(P23="Impacto",L23=1,AB23&gt;10),25,IF(AND(P23="Impacto",L23=3,AB23&gt;=75),33.3,IF(AND(P23="Impacto",L23=3,AB23,AB23&gt;=50),25,IF(AND(P23="Impacto",L23=3,AB23&gt;=25),17,IF(AND(P23="Impacto",L23=3,AB23&gt;10),8,0))))))))))))</f>
        <v>0</v>
      </c>
      <c r="AE23" s="235">
        <f>SUM(AC23:AC24)</f>
        <v>100</v>
      </c>
      <c r="AF23" s="235">
        <f>SUM(AD23:AD24)</f>
        <v>0</v>
      </c>
      <c r="AG23" s="236">
        <f>IF(AE23&gt;75,2,IF(AE23&gt;=30,1,"-"))</f>
        <v>2</v>
      </c>
      <c r="AH23" s="236" t="str">
        <f>IF(AF23&gt;75,2,IF(AF23&gt;=30,1,"-"))</f>
        <v>-</v>
      </c>
      <c r="AI23" s="186"/>
      <c r="AJ23" s="237" t="s">
        <v>51</v>
      </c>
      <c r="AK23" s="237" t="str">
        <f>IF(AND(AH23=2,I23="Catastrofico"),Hoja1!$K$5,IF(AND(AH23=2,I23="Mayor"),Hoja1!$K$6,IF(AND(AH23=2,I23="Moderado"),Hoja1!$K$7,IF(AND(AH23=1,I23="Catastrofico"),Hoja1!$K$4,IF(AND(AH23=1,I23="Mayor "),Hoja1!$K$5,IF(AND(AH23=1,I23="Moderado"),Hoja1!$K$6,IF(AND(AH23=2,I23="Menor"),Hoja1!$K$7,'FT-Mapa de riesgos'!I23)))))))</f>
        <v>Catastrofico</v>
      </c>
      <c r="AL23" s="238" t="s">
        <v>177</v>
      </c>
      <c r="AM23" s="233"/>
    </row>
    <row r="24" spans="1:39" ht="175.5" customHeight="1" x14ac:dyDescent="0.4">
      <c r="A24" s="191"/>
      <c r="B24" s="245"/>
      <c r="C24" s="244"/>
      <c r="D24" s="244"/>
      <c r="E24" s="244"/>
      <c r="F24" s="195" t="s">
        <v>172</v>
      </c>
      <c r="G24" s="244"/>
      <c r="H24" s="239"/>
      <c r="I24" s="240"/>
      <c r="J24" s="238"/>
      <c r="K24" s="185" t="s">
        <v>85</v>
      </c>
      <c r="L24" s="234"/>
      <c r="M24" s="195" t="s">
        <v>160</v>
      </c>
      <c r="N24" s="195" t="s">
        <v>163</v>
      </c>
      <c r="O24" s="195" t="s">
        <v>165</v>
      </c>
      <c r="P24" s="188" t="s">
        <v>22</v>
      </c>
      <c r="Q24" s="188" t="s">
        <v>41</v>
      </c>
      <c r="R24" s="188" t="s">
        <v>167</v>
      </c>
      <c r="S24" s="188" t="s">
        <v>41</v>
      </c>
      <c r="T24" s="189" t="s">
        <v>168</v>
      </c>
      <c r="U24" s="188" t="s">
        <v>41</v>
      </c>
      <c r="V24" s="188" t="s">
        <v>72</v>
      </c>
      <c r="W24" s="188" t="s">
        <v>101</v>
      </c>
      <c r="X24" s="190" t="s">
        <v>102</v>
      </c>
      <c r="Y24" s="189" t="s">
        <v>108</v>
      </c>
      <c r="Z24" s="188" t="s">
        <v>41</v>
      </c>
      <c r="AA24" s="189" t="s">
        <v>170</v>
      </c>
      <c r="AB24" s="183">
        <f t="shared" si="0"/>
        <v>100</v>
      </c>
      <c r="AC24" s="184">
        <f>IF(AND(L23=2,P24="Probabilidad",AB24&gt;=75),50,IF(AND(P24="Probabilidad",L23=2,AB24&gt;=50),37,IF(AND(P24="Probabilidad",L23=2,AB24&gt;=25),25,IF(AND(P24="Probabilidad",L23=2,AB24&gt;10),12,IF(AND(L23=1,P24="Probabilidad",AB24&gt;=75),100,IF(AND(P24="Probabilidad",L23=1,AB24&gt;=50),75,IF(AND(P24="Probabilidad",L23=1,AB24&gt;=25),50,IF(AND(P24="Probabilidad",L23=1,AB24&gt;10),25,IF(AND(P24="Probabilidad",L23=3,AB24&gt;=75),33.3,IF(AND(P24="Probabilidad",L23=3,AB24,AB24&gt;=50),25,IF(AND(P24="Probabilidad",L23=3,AB24&gt;=25),17,IF(AND(P24="Probabilidad",L23=3,AB24&gt;10),8,0))))))))))))</f>
        <v>50</v>
      </c>
      <c r="AD24" s="184">
        <f>IF(AND(L23=2,P24="Impacto",AB24&gt;=75),50,IF(AND(P24="Impacto",L23=2,AB24&gt;=50),37,IF(AND(P24="Impacto",L23=2,AB24&gt;=25),25,IF(AND(P24="Impacto",L23=2,AB24&gt;10),12,IF(AND(L23=1,P24="Impacto",AB24&gt;=75),100,IF(AND(P24="Impacto",L23=1,AB24&gt;=50),75,IF(AND(P24="Impacto",L23=1,AB24&gt;=25),50,IF(AND(P24="Impacto",L23=1,AB24&gt;10),25,IF(AND(P24="Impacto",L23=3,AB24&gt;=75),33.3,IF(AND(P24="Impacto",L23=3,AB24,AB24&gt;=50),25,IF(AND(P24="Impacto",L23=3,AB24&gt;=25),17,IF(AND(P24="Impacto",L23=3,AB24&gt;10),8,0))))))))))))</f>
        <v>0</v>
      </c>
      <c r="AE24" s="235"/>
      <c r="AF24" s="235"/>
      <c r="AG24" s="236"/>
      <c r="AH24" s="236"/>
      <c r="AI24" s="186"/>
      <c r="AJ24" s="237"/>
      <c r="AK24" s="237"/>
      <c r="AL24" s="238"/>
      <c r="AM24" s="233"/>
    </row>
    <row r="25" spans="1:39" ht="88.5" hidden="1" customHeight="1" x14ac:dyDescent="0.4">
      <c r="A25" s="191"/>
      <c r="B25" s="245"/>
      <c r="C25" s="244"/>
      <c r="D25" s="244"/>
      <c r="E25" s="244"/>
      <c r="F25" s="195"/>
      <c r="G25" s="244"/>
      <c r="H25" s="239"/>
      <c r="I25" s="240"/>
      <c r="J25" s="238"/>
      <c r="K25" s="187"/>
      <c r="L25" s="234"/>
      <c r="M25" s="195"/>
      <c r="N25" s="195"/>
      <c r="O25" s="195"/>
      <c r="P25" s="188"/>
      <c r="Q25" s="188"/>
      <c r="R25" s="188" t="str">
        <f t="shared" si="1"/>
        <v/>
      </c>
      <c r="S25" s="188"/>
      <c r="T25" s="188" t="str">
        <f t="shared" si="2"/>
        <v/>
      </c>
      <c r="U25" s="188"/>
      <c r="V25" s="188"/>
      <c r="W25" s="188"/>
      <c r="X25" s="190"/>
      <c r="Y25" s="188"/>
      <c r="Z25" s="188"/>
      <c r="AA25" s="188" t="str">
        <f t="shared" ref="AA25:AA43" si="3">+IF(Z25="No","N/A","")</f>
        <v/>
      </c>
      <c r="AB25" s="183">
        <f t="shared" si="0"/>
        <v>0</v>
      </c>
      <c r="AC25" s="184">
        <f>IF(AND(L23=2,P25="Probabilidad",AB25&gt;=75),50,IF(AND(P25="Probabilidad",L23=2,AB25&gt;=50),37,IF(AND(P25="Probabilidad",L23=2,AB25&gt;=25),25,IF(AND(P25="Probabilidad",L23=2,AB25&gt;10),12,IF(AND(L23=1,P25="Probabilidad",AB25&gt;=75),100,IF(AND(P25="Probabilidad",L23=1,AB25&gt;=50),75,IF(AND(P25="Probabilidad",L23=1,AB25&gt;=25),50,IF(AND(P25="Probabilidad",L23=1,AB25&gt;10),25,IF(AND(P25="Probabilidad",L23=3,AB25&gt;=75),33.3,IF(AND(P25="Probabilidad",L23=3,AB25,AB25&gt;=50),25,IF(AND(P25="Probabilidad",L23=3,AB25&gt;=25),17,IF(AND(P25="Probabilidad",L23=3,AB25&gt;10),8,0))))))))))))</f>
        <v>0</v>
      </c>
      <c r="AD25" s="184">
        <f>IF(AND(L23=2,P25="Impacto",AB25&gt;=75),50,IF(AND(P25="Impacto",L23=2,AB25&gt;=50),37,IF(AND(P25="Impacto",L23=2,AB25&gt;=25),25,IF(AND(P25="Impacto",L23=2,AB25&gt;10),12,IF(AND(L23=1,P25="Impacto",AB25&gt;=75),100,IF(AND(P25="Impacto",L23=1,AB25&gt;=50),75,IF(AND(P25="Impacto",L23=1,AB25&gt;=25),50,IF(AND(P25="Impacto",L23=1,AB25&gt;10),25,IF(AND(P25="Impacto",L23=3,AB25&gt;=75),33.3,IF(AND(P25="Impacto",L23=3,AB25,AB25&gt;=50),25,IF(AND(P25="Impacto",L23=3,AB25&gt;=25),17,IF(AND(P25="Impacto",L23=3,AB25&gt;10),8,0))))))))))))</f>
        <v>0</v>
      </c>
      <c r="AE25" s="235"/>
      <c r="AF25" s="235"/>
      <c r="AG25" s="236"/>
      <c r="AH25" s="236"/>
      <c r="AI25" s="186"/>
      <c r="AJ25" s="237"/>
      <c r="AK25" s="237"/>
      <c r="AL25" s="238"/>
      <c r="AM25" s="233"/>
    </row>
    <row r="26" spans="1:39" ht="183.75" customHeight="1" x14ac:dyDescent="0.4">
      <c r="A26" s="191"/>
      <c r="B26" s="245">
        <v>3</v>
      </c>
      <c r="C26" s="244" t="s">
        <v>179</v>
      </c>
      <c r="D26" s="251" t="s">
        <v>180</v>
      </c>
      <c r="E26" s="244" t="s">
        <v>67</v>
      </c>
      <c r="F26" s="195" t="s">
        <v>181</v>
      </c>
      <c r="G26" s="244" t="s">
        <v>182</v>
      </c>
      <c r="H26" s="239" t="s">
        <v>31</v>
      </c>
      <c r="I26" s="240" t="s">
        <v>19</v>
      </c>
      <c r="J26" s="238" t="str">
        <f>IF(ISERROR(VLOOKUP(H26&amp;I26,Hoja1!$C$1:$F$25,4,0)),"",(VLOOKUP(H26&amp;I26,Hoja1!$C$1:$F$25,4,0)))</f>
        <v>Alto</v>
      </c>
      <c r="K26" s="185" t="s">
        <v>85</v>
      </c>
      <c r="L26" s="234">
        <v>2</v>
      </c>
      <c r="M26" s="195" t="s">
        <v>203</v>
      </c>
      <c r="N26" s="195" t="s">
        <v>204</v>
      </c>
      <c r="O26" s="195" t="s">
        <v>205</v>
      </c>
      <c r="P26" s="189" t="s">
        <v>22</v>
      </c>
      <c r="Q26" s="189" t="s">
        <v>42</v>
      </c>
      <c r="R26" s="189" t="str">
        <f t="shared" si="1"/>
        <v>N/A</v>
      </c>
      <c r="S26" s="189" t="s">
        <v>41</v>
      </c>
      <c r="T26" s="189" t="s">
        <v>215</v>
      </c>
      <c r="U26" s="189" t="s">
        <v>41</v>
      </c>
      <c r="V26" s="189" t="s">
        <v>151</v>
      </c>
      <c r="W26" s="189" t="s">
        <v>102</v>
      </c>
      <c r="X26" s="190" t="s">
        <v>108</v>
      </c>
      <c r="Y26" s="189" t="s">
        <v>167</v>
      </c>
      <c r="Z26" s="189" t="s">
        <v>41</v>
      </c>
      <c r="AA26" s="189" t="s">
        <v>218</v>
      </c>
      <c r="AB26" s="183">
        <f t="shared" si="0"/>
        <v>68</v>
      </c>
      <c r="AC26" s="184">
        <f>IF(AND(L26=2,P26="Probabilidad",AB26&gt;=75),50,IF(AND(P26="Probabilidad",L26=2,AB26&gt;=50),37,IF(AND(P26="Probabilidad",L26=2,AB26&gt;=25),25,IF(AND(P26="Probabilidad",L26=2,AB26&gt;10),12,IF(AND(L26=1,P26="Probabilidad",AB26&gt;=75),100,IF(AND(P26="Probabilidad",L26=1,AB26&gt;=50),75,IF(AND(P26="Probabilidad",L26=1,AB26&gt;=25),50,IF(AND(P26="Probabilidad",L26=1,AB26&gt;10),25,IF(AND(P26="Probabilidad",L26=3,AB26&gt;=75),33.3,IF(AND(P26="Probabilidad",L26=3,AB26,AB26&gt;=50),25,IF(AND(P26="Probabilidad",L26=3,AB26&gt;=25),17,IF(AND(P26="Probabilidad",L26=3,AB26&gt;10),8,0))))))))))))</f>
        <v>37</v>
      </c>
      <c r="AD26" s="184">
        <f>IF(AND(L26=2,P26="Impacto",AB26&gt;=75),50,IF(AND(P26="Impacto",L26=2,AB26&gt;=50),37,IF(AND(P26="Impacto",L26=2,AB26&gt;=25),25,IF(AND(P26="Impacto",L26=2,AB26&gt;10),12,IF(AND(L26=1,P26="Impacto",AB26&gt;=75),100,IF(AND(P26="Impacto",L26=1,AB26&gt;=50),75,IF(AND(P26="Impacto",L26=1,AB26&gt;=25),50,IF(AND(P26="Impacto",L26=1,AB26&gt;10),25,IF(AND(P26="Impacto",L26=3,AB26&gt;=75),33.3,IF(AND(P26="Impacto",L26=3,AB26,AB26&gt;=50),25,IF(AND(P26="Impacto",L26=3,AB26&gt;=25),17,IF(AND(P26="Impacto",L26=3,AB26&gt;10),8,0))))))))))))</f>
        <v>0</v>
      </c>
      <c r="AE26" s="235">
        <f>SUM(AC26:AC28)</f>
        <v>74</v>
      </c>
      <c r="AF26" s="235">
        <f>SUM(AD26:AD28)</f>
        <v>0</v>
      </c>
      <c r="AG26" s="236">
        <f>IF(AE26&gt;75,2,IF(AE26&gt;=30,1,"-"))</f>
        <v>1</v>
      </c>
      <c r="AH26" s="236" t="str">
        <f>IF(AF26&gt;75,2,IF(AF26&gt;=30,1,"-"))</f>
        <v>-</v>
      </c>
      <c r="AI26" s="192"/>
      <c r="AJ26" s="237" t="str">
        <f>IF(AND(AG26=2,H26="Casi seguro"),Hoja1!$J$5,IF(AND(AG26=2,H26="Posible"),Hoja1!$J$6,IF(AND(H26="Improbable",AG26=2),Hoja1!J9,IF(AND(AG26=1,H26="Casi seguro"),Hoja1!$J$4,IF(AND(AG26=1,H26="Posible"),Hoja1!$J$5,IF(AND(AG26=1,H26="Improbable"),Hoja1!$J$6,'FT-Mapa de riesgos'!H26))))))</f>
        <v>Probable</v>
      </c>
      <c r="AK26" s="237" t="str">
        <f>IF(AND(AH26=2,I26="Catastrofico"),Hoja1!$K$5,IF(AND(AH26=2,I26="Mayor"),Hoja1!$K$6,IF(AND(AH26=2,I26="Moderado"),Hoja1!$K$7,IF(AND(AH26=1,I26="Catastrofico"),Hoja1!$K$4,IF(AND(AH26=1,I26="Mayor "),Hoja1!$K$5,IF(AND(AH26=1,I26="Moderado"),Hoja1!$K$6,IF(AND(AH26=2,I26="Menor"),Hoja1!$K$7,'FT-Mapa de riesgos'!I26)))))))</f>
        <v>Moderado</v>
      </c>
      <c r="AL26" s="238" t="str">
        <f>IF(ISERROR(VLOOKUP(AJ26&amp;AK26,Hoja1!$C$1:$F$25,4,0)),"",(VLOOKUP(AJ26&amp;AK26,Hoja1!$C$1:$F$25,4,0)))</f>
        <v>Alto</v>
      </c>
      <c r="AM26" s="233"/>
    </row>
    <row r="27" spans="1:39" ht="232.5" customHeight="1" x14ac:dyDescent="0.4">
      <c r="A27" s="191"/>
      <c r="B27" s="245"/>
      <c r="C27" s="244"/>
      <c r="D27" s="251"/>
      <c r="E27" s="244"/>
      <c r="F27" s="195" t="s">
        <v>183</v>
      </c>
      <c r="G27" s="244"/>
      <c r="H27" s="239"/>
      <c r="I27" s="240"/>
      <c r="J27" s="238"/>
      <c r="K27" s="185" t="s">
        <v>85</v>
      </c>
      <c r="L27" s="234"/>
      <c r="M27" s="195" t="s">
        <v>206</v>
      </c>
      <c r="N27" s="195" t="s">
        <v>207</v>
      </c>
      <c r="O27" s="195" t="s">
        <v>208</v>
      </c>
      <c r="P27" s="189" t="s">
        <v>22</v>
      </c>
      <c r="Q27" s="189" t="s">
        <v>42</v>
      </c>
      <c r="R27" s="189" t="str">
        <f t="shared" si="1"/>
        <v>N/A</v>
      </c>
      <c r="S27" s="189" t="s">
        <v>41</v>
      </c>
      <c r="T27" s="189" t="s">
        <v>216</v>
      </c>
      <c r="U27" s="189" t="s">
        <v>41</v>
      </c>
      <c r="V27" s="189" t="s">
        <v>73</v>
      </c>
      <c r="W27" s="189" t="s">
        <v>101</v>
      </c>
      <c r="X27" s="190" t="s">
        <v>102</v>
      </c>
      <c r="Y27" s="189" t="s">
        <v>108</v>
      </c>
      <c r="Z27" s="189" t="s">
        <v>41</v>
      </c>
      <c r="AA27" s="189" t="s">
        <v>219</v>
      </c>
      <c r="AB27" s="183">
        <f t="shared" si="0"/>
        <v>68</v>
      </c>
      <c r="AC27" s="184">
        <f>IF(AND(L26=2,P27="Probabilidad",AB27&gt;=75),50,IF(AND(P27="Probabilidad",L26=2,AB27&gt;=50),37,IF(AND(P27="Probabilidad",L26=2,AB27&gt;=25),25,IF(AND(P27="Probabilidad",L26=2,AB27&gt;10),12,IF(AND(L26=1,P27="Probabilidad",AB27&gt;=75),100,IF(AND(P27="Probabilidad",L26=1,AB27&gt;=50),75,IF(AND(P27="Probabilidad",L26=1,AB27&gt;=25),50,IF(AND(P27="Probabilidad",L26=1,AB27&gt;10),25,IF(AND(P27="Probabilidad",L26=3,AB27&gt;=75),33.3,IF(AND(P27="Probabilidad",L26=3,AB27,AB27&gt;=50),25,IF(AND(P27="Probabilidad",L26=3,AB27&gt;=25),17,IF(AND(P27="Probabilidad",L26=3,AB27&gt;10),8,0))))))))))))</f>
        <v>37</v>
      </c>
      <c r="AD27" s="184">
        <f>IF(AND(L26=2,P27="Impacto",AB27&gt;=75),50,IF(AND(P27="Impacto",L26=2,AB27&gt;=50),37,IF(AND(P27="Impacto",L26=2,AB27&gt;=25),25,IF(AND(P27="Impacto",L26=2,AB27&gt;10),12,IF(AND(L26=1,P27="Impacto",AB27&gt;=75),100,IF(AND(P27="Impacto",L26=1,AB27&gt;=50),75,IF(AND(P27="Impacto",L26=1,AB27&gt;=25),50,IF(AND(P27="Impacto",L26=1,AB27&gt;10),25,IF(AND(P27="Impacto",L26=3,AB27&gt;=75),33.3,IF(AND(P27="Impacto",L26=3,AB27,AB27&gt;=50),25,IF(AND(P27="Impacto",L26=3,AB27&gt;=25),17,IF(AND(P27="Impacto",L26=3,AB27&gt;10),8,0))))))))))))</f>
        <v>0</v>
      </c>
      <c r="AE27" s="235"/>
      <c r="AF27" s="235"/>
      <c r="AG27" s="236"/>
      <c r="AH27" s="236"/>
      <c r="AI27" s="193"/>
      <c r="AJ27" s="237"/>
      <c r="AK27" s="237"/>
      <c r="AL27" s="238"/>
      <c r="AM27" s="233"/>
    </row>
    <row r="28" spans="1:39" ht="84" hidden="1" customHeight="1" x14ac:dyDescent="0.4">
      <c r="A28" s="191"/>
      <c r="B28" s="245"/>
      <c r="C28" s="244"/>
      <c r="D28" s="251"/>
      <c r="E28" s="244"/>
      <c r="F28" s="195"/>
      <c r="G28" s="244"/>
      <c r="H28" s="239"/>
      <c r="I28" s="240"/>
      <c r="J28" s="238"/>
      <c r="K28" s="187"/>
      <c r="L28" s="234"/>
      <c r="M28" s="212"/>
      <c r="N28" s="212"/>
      <c r="O28" s="212"/>
      <c r="P28" s="188"/>
      <c r="Q28" s="188"/>
      <c r="R28" s="188" t="str">
        <f t="shared" si="1"/>
        <v/>
      </c>
      <c r="S28" s="188"/>
      <c r="T28" s="188"/>
      <c r="U28" s="188"/>
      <c r="V28" s="188"/>
      <c r="W28" s="188"/>
      <c r="X28" s="190"/>
      <c r="Y28" s="188"/>
      <c r="Z28" s="188"/>
      <c r="AA28" s="188" t="str">
        <f t="shared" si="3"/>
        <v/>
      </c>
      <c r="AB28" s="183">
        <f t="shared" si="0"/>
        <v>0</v>
      </c>
      <c r="AC28" s="184">
        <f>IF(AND(L26=2,P28="Probabilidad",AB28&gt;=75),50,IF(AND(P28="Probabilidad",L26=2,AB28&gt;=50),37,IF(AND(P28="Probabilidad",L26=2,AB28&gt;=25),25,IF(AND(P28="Probabilidad",L26=2,AB28&gt;10),12,IF(AND(L26=1,P28="Probabilidad",AB28&gt;=75),100,IF(AND(P28="Probabilidad",L26=1,AB28&gt;=50),75,IF(AND(P28="Probabilidad",L26=1,AB28&gt;=25),50,IF(AND(P28="Probabilidad",L26=1,AB28&gt;10),25,IF(AND(P28="Probabilidad",L26=3,AB28&gt;=75),33.3,IF(AND(P28="Probabilidad",L26=3,AB28,AB28&gt;=50),25,IF(AND(P28="Probabilidad",L26=3,AB28&gt;=25),17,IF(AND(P28="Probabilidad",L26=3,AB28&gt;10),8,0))))))))))))</f>
        <v>0</v>
      </c>
      <c r="AD28" s="184">
        <f>IF(AND(L26=2,P28="Impacto",AB28&gt;=75),50,IF(AND(P28="Impacto",L26=2,AB28&gt;=50),37,IF(AND(P28="Impacto",L26=2,AB28&gt;=25),25,IF(AND(P28="Impacto",L26=2,AB28&gt;10),12,IF(AND(L26=1,P28="Impacto",AB28&gt;=75),100,IF(AND(P28="Impacto",L26=1,AB28&gt;=50),75,IF(AND(P28="Impacto",L26=1,AB28&gt;=25),50,IF(AND(P28="Impacto",L26=1,AB28&gt;10),25,IF(AND(P28="Impacto",L26=3,AB28&gt;=75),33.3,IF(AND(P28="Impacto",L26=3,AB28,AB28&gt;=50),25,IF(AND(P28="Impacto",L26=3,AB28&gt;=25),17,IF(AND(P28="Impacto",L26=3,AB28&gt;10),8,0))))))))))))</f>
        <v>0</v>
      </c>
      <c r="AE28" s="235"/>
      <c r="AF28" s="235"/>
      <c r="AG28" s="236"/>
      <c r="AH28" s="236"/>
      <c r="AI28" s="193"/>
      <c r="AJ28" s="237"/>
      <c r="AK28" s="237"/>
      <c r="AL28" s="238"/>
      <c r="AM28" s="233"/>
    </row>
    <row r="29" spans="1:39" ht="186" customHeight="1" x14ac:dyDescent="0.4">
      <c r="A29" s="191"/>
      <c r="B29" s="245">
        <v>4</v>
      </c>
      <c r="C29" s="244" t="s">
        <v>184</v>
      </c>
      <c r="D29" s="244" t="s">
        <v>185</v>
      </c>
      <c r="E29" s="244" t="s">
        <v>79</v>
      </c>
      <c r="F29" s="195" t="s">
        <v>186</v>
      </c>
      <c r="G29" s="244" t="s">
        <v>187</v>
      </c>
      <c r="H29" s="239" t="s">
        <v>15</v>
      </c>
      <c r="I29" s="240" t="s">
        <v>18</v>
      </c>
      <c r="J29" s="238" t="str">
        <f>IF(ISERROR(VLOOKUP(H29&amp;I29,Hoja1!$C$1:$F$25,4,0)),"",(VLOOKUP(H29&amp;I29,Hoja1!$C$1:$F$25,4,0)))</f>
        <v>Moderado</v>
      </c>
      <c r="K29" s="185" t="s">
        <v>85</v>
      </c>
      <c r="L29" s="234">
        <v>2</v>
      </c>
      <c r="M29" s="195" t="s">
        <v>209</v>
      </c>
      <c r="N29" s="195" t="s">
        <v>210</v>
      </c>
      <c r="O29" s="195" t="s">
        <v>211</v>
      </c>
      <c r="P29" s="188" t="s">
        <v>22</v>
      </c>
      <c r="Q29" s="188" t="s">
        <v>42</v>
      </c>
      <c r="R29" s="188" t="str">
        <f t="shared" si="1"/>
        <v>N/A</v>
      </c>
      <c r="S29" s="188" t="s">
        <v>41</v>
      </c>
      <c r="T29" s="189" t="s">
        <v>215</v>
      </c>
      <c r="U29" s="188" t="s">
        <v>41</v>
      </c>
      <c r="V29" s="188" t="s">
        <v>72</v>
      </c>
      <c r="W29" s="188" t="s">
        <v>101</v>
      </c>
      <c r="X29" s="190" t="s">
        <v>102</v>
      </c>
      <c r="Y29" s="189" t="s">
        <v>108</v>
      </c>
      <c r="Z29" s="188" t="s">
        <v>41</v>
      </c>
      <c r="AA29" s="189" t="s">
        <v>220</v>
      </c>
      <c r="AB29" s="183">
        <f t="shared" si="0"/>
        <v>68</v>
      </c>
      <c r="AC29" s="184">
        <f>IF(AND(L29=2,P29="Probabilidad",AB29&gt;=75),50,IF(AND(P29="Probabilidad",L29=2,AB29&gt;=50),37,IF(AND(P29="Probabilidad",L29=2,AB29&gt;=25),25,IF(AND(P29="Probabilidad",L29=2,AB29&gt;10),12,IF(AND(L29=1,P29="Probabilidad",AB29&gt;=75),100,IF(AND(P29="Probabilidad",L29=1,AB29&gt;=50),75,IF(AND(P29="Probabilidad",L29=1,AB29&gt;=25),50,IF(AND(P29="Probabilidad",L29=1,AB29&gt;10),25,IF(AND(P29="Probabilidad",L29=3,AB29&gt;=75),33.3,IF(AND(P29="Probabilidad",L29=3,AB29,AB29&gt;=50),25,IF(AND(P29="Probabilidad",L29=3,AB29&gt;=25),17,IF(AND(P29="Probabilidad",L29=3,AB29&gt;10),8,0))))))))))))</f>
        <v>37</v>
      </c>
      <c r="AD29" s="184">
        <f>IF(AND(L29=2,P29="Impacto",AB29&gt;=75),50,IF(AND(P29="Impacto",L29=2,AB29&gt;=50),37,IF(AND(P29="Impacto",L29=2,AB29&gt;=25),25,IF(AND(P29="Impacto",L29=2,AB29&gt;10),12,IF(AND(L29=1,P29="Impacto",AB29&gt;=75),100,IF(AND(P29="Impacto",L29=1,AB29&gt;=50),75,IF(AND(P29="Impacto",L29=1,AB29&gt;=25),50,IF(AND(P29="Impacto",L29=1,AB29&gt;10),25,IF(AND(P29="Impacto",L29=3,AB29&gt;=75),33.3,IF(AND(P29="Impacto",L29=3,AB29,AB29&gt;=50),25,IF(AND(P29="Impacto",L29=3,AB29&gt;=25),17,IF(AND(P29="Impacto",L29=3,AB29&gt;10),8,0))))))))))))</f>
        <v>0</v>
      </c>
      <c r="AE29" s="235">
        <f>SUM(AC29:AC31)</f>
        <v>74</v>
      </c>
      <c r="AF29" s="235">
        <f>SUM(AD29:AD31)</f>
        <v>0</v>
      </c>
      <c r="AG29" s="236">
        <f>IF(AE29&gt;75,2,IF(AE29&gt;=30,1,"-"))</f>
        <v>1</v>
      </c>
      <c r="AH29" s="236" t="str">
        <f>IF(AF29&gt;75,2,IF(AF29&gt;=30,1,"-"))</f>
        <v>-</v>
      </c>
      <c r="AI29" s="193"/>
      <c r="AJ29" s="237" t="str">
        <f>IF(AND(AG29=2,H29="Casi seguro"),Hoja1!$J$5,IF(AND(AG29=2,H29="Posible"),Hoja1!$J$6,IF(AND(H29="Improbable",AG29=2),Hoja1!J12,IF(AND(AG29=1,H29="Casi seguro"),Hoja1!$J$4,IF(AND(AG29=1,H29="Posible"),Hoja1!$J$5,IF(AND(AG29=1,H29="Improbable"),Hoja1!$J$6,'FT-Mapa de riesgos'!H29))))))</f>
        <v>Improbable</v>
      </c>
      <c r="AK29" s="237" t="str">
        <f>IF(AND(AH29=2,I29="Catastrofico"),Hoja1!$K$5,IF(AND(AH29=2,I29="Mayor"),Hoja1!$K$6,IF(AND(AH29=2,I29="Moderado"),Hoja1!$K$7,IF(AND(AH29=1,I29="Catastrofico"),Hoja1!$K$4,IF(AND(AH29=1,I29="Mayor "),Hoja1!$K$5,IF(AND(AH29=1,I29="Moderado"),Hoja1!$K$6,IF(AND(AH29=2,I29="Menor"),Hoja1!$K$7,'FT-Mapa de riesgos'!I29)))))))</f>
        <v>Menor</v>
      </c>
      <c r="AL29" s="238" t="str">
        <f>IF(ISERROR(VLOOKUP(AJ29&amp;AK29,Hoja1!$C$1:$F$25,4,0)),"",(VLOOKUP(AJ29&amp;AK29,Hoja1!$C$1:$F$25,4,0)))</f>
        <v>Bajo</v>
      </c>
      <c r="AM29" s="233"/>
    </row>
    <row r="30" spans="1:39" ht="186" customHeight="1" x14ac:dyDescent="0.4">
      <c r="A30" s="191"/>
      <c r="B30" s="245"/>
      <c r="C30" s="244"/>
      <c r="D30" s="244"/>
      <c r="E30" s="244"/>
      <c r="F30" s="195" t="s">
        <v>188</v>
      </c>
      <c r="G30" s="244"/>
      <c r="H30" s="239"/>
      <c r="I30" s="240"/>
      <c r="J30" s="238"/>
      <c r="K30" s="185" t="s">
        <v>85</v>
      </c>
      <c r="L30" s="234"/>
      <c r="M30" s="195" t="s">
        <v>212</v>
      </c>
      <c r="N30" s="195" t="s">
        <v>213</v>
      </c>
      <c r="O30" s="195" t="s">
        <v>214</v>
      </c>
      <c r="P30" s="188" t="s">
        <v>22</v>
      </c>
      <c r="Q30" s="188" t="s">
        <v>42</v>
      </c>
      <c r="R30" s="188" t="str">
        <f t="shared" si="1"/>
        <v>N/A</v>
      </c>
      <c r="S30" s="188" t="s">
        <v>41</v>
      </c>
      <c r="T30" s="189" t="s">
        <v>217</v>
      </c>
      <c r="U30" s="188" t="s">
        <v>41</v>
      </c>
      <c r="V30" s="188" t="s">
        <v>72</v>
      </c>
      <c r="W30" s="188" t="s">
        <v>101</v>
      </c>
      <c r="X30" s="190" t="s">
        <v>102</v>
      </c>
      <c r="Y30" s="189" t="s">
        <v>108</v>
      </c>
      <c r="Z30" s="188" t="s">
        <v>41</v>
      </c>
      <c r="AA30" s="189" t="s">
        <v>221</v>
      </c>
      <c r="AB30" s="183">
        <f t="shared" si="0"/>
        <v>68</v>
      </c>
      <c r="AC30" s="184">
        <f>IF(AND(L29=2,P30="Probabilidad",AB30&gt;=75),50,IF(AND(P30="Probabilidad",L29=2,AB30&gt;=50),37,IF(AND(P30="Probabilidad",L29=2,AB30&gt;=25),25,IF(AND(P30="Probabilidad",L29=2,AB30&gt;10),12,IF(AND(L29=1,P30="Probabilidad",AB30&gt;=75),100,IF(AND(P30="Probabilidad",L29=1,AB30&gt;=50),75,IF(AND(P30="Probabilidad",L29=1,AB30&gt;=25),50,IF(AND(P30="Probabilidad",L29=1,AB30&gt;10),25,IF(AND(P30="Probabilidad",L29=3,AB30&gt;=75),33.3,IF(AND(P30="Probabilidad",L29=3,AB30,AB30&gt;=50),25,IF(AND(P30="Probabilidad",L29=3,AB30&gt;=25),17,IF(AND(P30="Probabilidad",L29=3,AB30&gt;10),8,0))))))))))))</f>
        <v>37</v>
      </c>
      <c r="AD30" s="184">
        <f>IF(AND(L29=2,P30="Impacto",AB30&gt;=75),50,IF(AND(P30="Impacto",L29=2,AB30&gt;=50),37,IF(AND(P30="Impacto",L29=2,AB30&gt;=25),25,IF(AND(P30="Impacto",L29=2,AB30&gt;10),12,IF(AND(L29=1,P30="Impacto",AB30&gt;=75),100,IF(AND(P30="Impacto",L29=1,AB30&gt;=50),75,IF(AND(P30="Impacto",L29=1,AB30&gt;=25),50,IF(AND(P30="Impacto",L29=1,AB30&gt;10),25,IF(AND(P30="Impacto",L29=3,AB30&gt;=75),33.3,IF(AND(P30="Impacto",L29=3,AB30,AB30&gt;=50),25,IF(AND(P30="Impacto",L29=3,AB30&gt;=25),17,IF(AND(P30="Impacto",L29=3,AB30&gt;10),8,0))))))))))))</f>
        <v>0</v>
      </c>
      <c r="AE30" s="235"/>
      <c r="AF30" s="235"/>
      <c r="AG30" s="236"/>
      <c r="AH30" s="236"/>
      <c r="AI30" s="193"/>
      <c r="AJ30" s="237"/>
      <c r="AK30" s="237"/>
      <c r="AL30" s="238"/>
      <c r="AM30" s="233"/>
    </row>
    <row r="31" spans="1:39" ht="73.5" hidden="1" customHeight="1" x14ac:dyDescent="0.4">
      <c r="A31" s="191"/>
      <c r="B31" s="245"/>
      <c r="C31" s="244"/>
      <c r="D31" s="244"/>
      <c r="E31" s="244"/>
      <c r="F31" s="195"/>
      <c r="G31" s="244"/>
      <c r="H31" s="239"/>
      <c r="I31" s="240"/>
      <c r="J31" s="238"/>
      <c r="K31" s="187"/>
      <c r="L31" s="234"/>
      <c r="M31" s="212"/>
      <c r="N31" s="212"/>
      <c r="O31" s="212"/>
      <c r="P31" s="188"/>
      <c r="Q31" s="188"/>
      <c r="R31" s="188" t="str">
        <f t="shared" si="1"/>
        <v/>
      </c>
      <c r="S31" s="188"/>
      <c r="T31" s="188" t="str">
        <f t="shared" si="2"/>
        <v/>
      </c>
      <c r="U31" s="188"/>
      <c r="V31" s="188"/>
      <c r="W31" s="188"/>
      <c r="X31" s="190"/>
      <c r="Y31" s="188"/>
      <c r="Z31" s="188"/>
      <c r="AA31" s="188" t="str">
        <f t="shared" si="3"/>
        <v/>
      </c>
      <c r="AB31" s="183">
        <f t="shared" si="0"/>
        <v>0</v>
      </c>
      <c r="AC31" s="184">
        <f>IF(AND(L29=2,P31="Probabilidad",AB31&gt;=75),50,IF(AND(P31="Probabilidad",L29=2,AB31&gt;=50),37,IF(AND(P31="Probabilidad",L29=2,AB31&gt;=25),25,IF(AND(P31="Probabilidad",L29=2,AB31&gt;10),12,IF(AND(L29=1,P31="Probabilidad",AB31&gt;=75),100,IF(AND(P31="Probabilidad",L29=1,AB31&gt;=50),75,IF(AND(P31="Probabilidad",L29=1,AB31&gt;=25),50,IF(AND(P31="Probabilidad",L29=1,AB31&gt;10),25,IF(AND(P31="Probabilidad",L29=3,AB31&gt;=75),33.3,IF(AND(P31="Probabilidad",L29=3,AB31,AB31&gt;=50),25,IF(AND(P31="Probabilidad",L29=3,AB31&gt;=25),17,IF(AND(P31="Probabilidad",L29=3,AB31&gt;10),8,0))))))))))))</f>
        <v>0</v>
      </c>
      <c r="AD31" s="184">
        <f>IF(AND(L29=2,P31="Impacto",AB31&gt;=75),50,IF(AND(P31="Impacto",L29=2,AB31&gt;=50),37,IF(AND(P31="Impacto",L29=2,AB31&gt;=25),25,IF(AND(P31="Impacto",L29=2,AB31&gt;10),12,IF(AND(L29=1,P31="Impacto",AB31&gt;=75),100,IF(AND(P31="Impacto",L29=1,AB31&gt;=50),75,IF(AND(P31="Impacto",L29=1,AB31&gt;=25),50,IF(AND(P31="Impacto",L29=1,AB31&gt;10),25,IF(AND(P31="Impacto",L29=3,AB31&gt;=75),33.3,IF(AND(P31="Impacto",L29=3,AB31,AB31&gt;=50),25,IF(AND(P31="Impacto",L29=3,AB31&gt;=25),17,IF(AND(P31="Impacto",L29=3,AB31&gt;10),8,0))))))))))))</f>
        <v>0</v>
      </c>
      <c r="AE31" s="235"/>
      <c r="AF31" s="235"/>
      <c r="AG31" s="236"/>
      <c r="AH31" s="236"/>
      <c r="AI31" s="193"/>
      <c r="AJ31" s="237"/>
      <c r="AK31" s="237"/>
      <c r="AL31" s="238"/>
      <c r="AM31" s="233"/>
    </row>
    <row r="32" spans="1:39" ht="186" customHeight="1" x14ac:dyDescent="0.4">
      <c r="A32" s="191"/>
      <c r="B32" s="245">
        <v>5</v>
      </c>
      <c r="C32" s="244" t="s">
        <v>189</v>
      </c>
      <c r="D32" s="244" t="s">
        <v>190</v>
      </c>
      <c r="E32" s="244" t="s">
        <v>79</v>
      </c>
      <c r="F32" s="195" t="s">
        <v>191</v>
      </c>
      <c r="G32" s="244" t="s">
        <v>192</v>
      </c>
      <c r="H32" s="239" t="s">
        <v>15</v>
      </c>
      <c r="I32" s="240" t="s">
        <v>19</v>
      </c>
      <c r="J32" s="238" t="str">
        <f>IF(ISERROR(VLOOKUP(H32&amp;I32,Hoja1!$C$1:$F$25,4,0)),"",(VLOOKUP(H32&amp;I32,Hoja1!$C$1:$F$25,4,0)))</f>
        <v>Alto</v>
      </c>
      <c r="K32" s="185" t="s">
        <v>85</v>
      </c>
      <c r="L32" s="234">
        <v>2</v>
      </c>
      <c r="M32" s="195" t="s">
        <v>222</v>
      </c>
      <c r="N32" s="195" t="s">
        <v>223</v>
      </c>
      <c r="O32" s="195" t="s">
        <v>224</v>
      </c>
      <c r="P32" s="188" t="s">
        <v>22</v>
      </c>
      <c r="Q32" s="188" t="s">
        <v>42</v>
      </c>
      <c r="R32" s="188" t="str">
        <f t="shared" si="1"/>
        <v>N/A</v>
      </c>
      <c r="S32" s="188" t="s">
        <v>41</v>
      </c>
      <c r="T32" s="189" t="s">
        <v>231</v>
      </c>
      <c r="U32" s="188" t="s">
        <v>41</v>
      </c>
      <c r="V32" s="189" t="s">
        <v>151</v>
      </c>
      <c r="W32" s="189" t="s">
        <v>102</v>
      </c>
      <c r="X32" s="190" t="s">
        <v>108</v>
      </c>
      <c r="Y32" s="189" t="s">
        <v>167</v>
      </c>
      <c r="Z32" s="188" t="s">
        <v>41</v>
      </c>
      <c r="AA32" s="189" t="s">
        <v>218</v>
      </c>
      <c r="AB32" s="183">
        <f t="shared" si="0"/>
        <v>68</v>
      </c>
      <c r="AC32" s="184">
        <f>IF(AND(L32=2,P32="Probabilidad",AB32&gt;=75),50,IF(AND(P32="Probabilidad",L32=2,AB32&gt;=50),37,IF(AND(P32="Probabilidad",L32=2,AB32&gt;=25),25,IF(AND(P32="Probabilidad",L32=2,AB32&gt;10),12,IF(AND(L32=1,P32="Probabilidad",AB32&gt;=75),100,IF(AND(P32="Probabilidad",L32=1,AB32&gt;=50),75,IF(AND(P32="Probabilidad",L32=1,AB32&gt;=25),50,IF(AND(P32="Probabilidad",L32=1,AB32&gt;10),25,IF(AND(P32="Probabilidad",L32=3,AB32&gt;=75),33.3,IF(AND(P32="Probabilidad",L32=3,AB32,AB32&gt;=50),25,IF(AND(P32="Probabilidad",L32=3,AB32&gt;=25),17,IF(AND(P32="Probabilidad",L32=3,AB32&gt;10),8,0))))))))))))</f>
        <v>37</v>
      </c>
      <c r="AD32" s="184">
        <f>IF(AND(L32=2,P32="Impacto",AB32&gt;=75),50,IF(AND(P32="Impacto",L32=2,AB32&gt;=50),37,IF(AND(P32="Impacto",L32=2,AB32&gt;=25),25,IF(AND(P32="Impacto",L32=2,AB32&gt;10),12,IF(AND(L32=1,P32="Impacto",AB32&gt;=75),100,IF(AND(P32="Impacto",L32=1,AB32&gt;=50),75,IF(AND(P32="Impacto",L32=1,AB32&gt;=25),50,IF(AND(P32="Impacto",L32=1,AB32&gt;10),25,IF(AND(P32="Impacto",L32=3,AB32&gt;=75),33.3,IF(AND(P32="Impacto",L32=3,AB32,AB32&gt;=50),25,IF(AND(P32="Impacto",L32=3,AB32&gt;=25),17,IF(AND(P32="Impacto",L32=3,AB32&gt;10),8,0))))))))))))</f>
        <v>0</v>
      </c>
      <c r="AE32" s="235">
        <f>SUM(AC32:AC34)</f>
        <v>74</v>
      </c>
      <c r="AF32" s="235">
        <f>SUM(AD32:AD34)</f>
        <v>0</v>
      </c>
      <c r="AG32" s="236">
        <f>IF(AE32&gt;75,2,IF(AE32&gt;=30,1,"-"))</f>
        <v>1</v>
      </c>
      <c r="AH32" s="236" t="str">
        <f>IF(AF32&gt;75,2,IF(AF32&gt;=30,1,"-"))</f>
        <v>-</v>
      </c>
      <c r="AI32" s="193"/>
      <c r="AJ32" s="237" t="str">
        <f>IF(AND(AG32=2,H32="Casi seguro"),Hoja1!$J$5,IF(AND(AG32=2,H32="Posible"),Hoja1!$J$6,IF(AND(H32="Improbable",AG32=2),Hoja1!J15,IF(AND(AG32=1,H32="Casi seguro"),Hoja1!$J$4,IF(AND(AG32=1,H32="Posible"),Hoja1!$J$5,IF(AND(AG32=1,H32="Improbable"),Hoja1!$J$6,'FT-Mapa de riesgos'!H32))))))</f>
        <v>Improbable</v>
      </c>
      <c r="AK32" s="237" t="str">
        <f>IF(AND(AH32=2,I32="Catastrofico"),Hoja1!$K$5,IF(AND(AH32=2,I32="Mayor"),Hoja1!$K$6,IF(AND(AH32=2,I32="Moderado"),Hoja1!$K$7,IF(AND(AH32=1,I32="Catastrofico"),Hoja1!$K$4,IF(AND(AH32=1,I32="Mayor "),Hoja1!$K$5,IF(AND(AH32=1,I32="Moderado"),Hoja1!$K$6,IF(AND(AH32=2,I32="Menor"),Hoja1!$K$7,'FT-Mapa de riesgos'!I32)))))))</f>
        <v>Moderado</v>
      </c>
      <c r="AL32" s="238" t="str">
        <f>IF(ISERROR(VLOOKUP(AJ32&amp;AK32,Hoja1!$C$1:$F$25,4,0)),"",(VLOOKUP(AJ32&amp;AK32,Hoja1!$C$1:$F$25,4,0)))</f>
        <v>Moderado</v>
      </c>
      <c r="AM32" s="233"/>
    </row>
    <row r="33" spans="1:39" ht="186" customHeight="1" x14ac:dyDescent="0.4">
      <c r="A33" s="191"/>
      <c r="B33" s="245"/>
      <c r="C33" s="244"/>
      <c r="D33" s="244"/>
      <c r="E33" s="244"/>
      <c r="F33" s="195" t="s">
        <v>193</v>
      </c>
      <c r="G33" s="244"/>
      <c r="H33" s="239"/>
      <c r="I33" s="240"/>
      <c r="J33" s="238"/>
      <c r="K33" s="185" t="s">
        <v>85</v>
      </c>
      <c r="L33" s="234"/>
      <c r="M33" s="195" t="s">
        <v>222</v>
      </c>
      <c r="N33" s="195" t="s">
        <v>223</v>
      </c>
      <c r="O33" s="195" t="s">
        <v>224</v>
      </c>
      <c r="P33" s="188" t="s">
        <v>22</v>
      </c>
      <c r="Q33" s="188" t="s">
        <v>42</v>
      </c>
      <c r="R33" s="188" t="str">
        <f t="shared" si="1"/>
        <v>N/A</v>
      </c>
      <c r="S33" s="188" t="s">
        <v>41</v>
      </c>
      <c r="T33" s="189" t="s">
        <v>231</v>
      </c>
      <c r="U33" s="188" t="s">
        <v>41</v>
      </c>
      <c r="V33" s="189" t="s">
        <v>151</v>
      </c>
      <c r="W33" s="189" t="s">
        <v>102</v>
      </c>
      <c r="X33" s="190" t="s">
        <v>108</v>
      </c>
      <c r="Y33" s="189" t="s">
        <v>167</v>
      </c>
      <c r="Z33" s="188" t="s">
        <v>41</v>
      </c>
      <c r="AA33" s="189" t="s">
        <v>218</v>
      </c>
      <c r="AB33" s="183">
        <f t="shared" si="0"/>
        <v>68</v>
      </c>
      <c r="AC33" s="184">
        <f>IF(AND(L32=2,P33="Probabilidad",AB33&gt;=75),50,IF(AND(P33="Probabilidad",L32=2,AB33&gt;=50),37,IF(AND(P33="Probabilidad",L32=2,AB33&gt;=25),25,IF(AND(P33="Probabilidad",L32=2,AB33&gt;10),12,IF(AND(L32=1,P33="Probabilidad",AB33&gt;=75),100,IF(AND(P33="Probabilidad",L32=1,AB33&gt;=50),75,IF(AND(P33="Probabilidad",L32=1,AB33&gt;=25),50,IF(AND(P33="Probabilidad",L32=1,AB33&gt;10),25,IF(AND(P33="Probabilidad",L32=3,AB33&gt;=75),33.3,IF(AND(P33="Probabilidad",L32=3,AB33,AB33&gt;=50),25,IF(AND(P33="Probabilidad",L32=3,AB33&gt;=25),17,IF(AND(P33="Probabilidad",L32=3,AB33&gt;10),8,0))))))))))))</f>
        <v>37</v>
      </c>
      <c r="AD33" s="184">
        <f>IF(AND(L32=2,P33="Impacto",AB33&gt;=75),50,IF(AND(P33="Impacto",L32=2,AB33&gt;=50),37,IF(AND(P33="Impacto",L32=2,AB33&gt;=25),25,IF(AND(P33="Impacto",L32=2,AB33&gt;10),12,IF(AND(L32=1,P33="Impacto",AB33&gt;=75),100,IF(AND(P33="Impacto",L32=1,AB33&gt;=50),75,IF(AND(P33="Impacto",L32=1,AB33&gt;=25),50,IF(AND(P33="Impacto",L32=1,AB33&gt;10),25,IF(AND(P33="Impacto",L32=3,AB33&gt;=75),33.3,IF(AND(P33="Impacto",L32=3,AB33,AB33&gt;=50),25,IF(AND(P33="Impacto",L32=3,AB33&gt;=25),17,IF(AND(P33="Impacto",L32=3,AB33&gt;10),8,0))))))))))))</f>
        <v>0</v>
      </c>
      <c r="AE33" s="235"/>
      <c r="AF33" s="235"/>
      <c r="AG33" s="236"/>
      <c r="AH33" s="236"/>
      <c r="AI33" s="193"/>
      <c r="AJ33" s="237"/>
      <c r="AK33" s="237"/>
      <c r="AL33" s="238"/>
      <c r="AM33" s="233"/>
    </row>
    <row r="34" spans="1:39" ht="73.5" hidden="1" customHeight="1" x14ac:dyDescent="0.4">
      <c r="A34" s="191"/>
      <c r="B34" s="245"/>
      <c r="C34" s="244"/>
      <c r="D34" s="244"/>
      <c r="E34" s="244"/>
      <c r="F34" s="195"/>
      <c r="G34" s="244"/>
      <c r="H34" s="239"/>
      <c r="I34" s="240"/>
      <c r="J34" s="238"/>
      <c r="K34" s="187"/>
      <c r="L34" s="234"/>
      <c r="M34" s="195"/>
      <c r="N34" s="195"/>
      <c r="O34" s="195"/>
      <c r="P34" s="188"/>
      <c r="Q34" s="188"/>
      <c r="R34" s="188" t="str">
        <f t="shared" si="1"/>
        <v/>
      </c>
      <c r="S34" s="188"/>
      <c r="T34" s="188" t="str">
        <f t="shared" si="2"/>
        <v/>
      </c>
      <c r="U34" s="188"/>
      <c r="V34" s="188"/>
      <c r="W34" s="188"/>
      <c r="X34" s="190"/>
      <c r="Y34" s="188"/>
      <c r="Z34" s="188"/>
      <c r="AA34" s="188" t="str">
        <f t="shared" si="3"/>
        <v/>
      </c>
      <c r="AB34" s="183">
        <f t="shared" si="0"/>
        <v>0</v>
      </c>
      <c r="AC34" s="184">
        <f>IF(AND(L32=2,P34="Probabilidad",AB34&gt;=75),50,IF(AND(P34="Probabilidad",L32=2,AB34&gt;=50),37,IF(AND(P34="Probabilidad",L32=2,AB34&gt;=25),25,IF(AND(P34="Probabilidad",L32=2,AB34&gt;10),12,IF(AND(L32=1,P34="Probabilidad",AB34&gt;=75),100,IF(AND(P34="Probabilidad",L32=1,AB34&gt;=50),75,IF(AND(P34="Probabilidad",L32=1,AB34&gt;=25),50,IF(AND(P34="Probabilidad",L32=1,AB34&gt;10),25,IF(AND(P34="Probabilidad",L32=3,AB34&gt;=75),33.3,IF(AND(P34="Probabilidad",L32=3,AB34,AB34&gt;=50),25,IF(AND(P34="Probabilidad",L32=3,AB34&gt;=25),17,IF(AND(P34="Probabilidad",L32=3,AB34&gt;10),8,0))))))))))))</f>
        <v>0</v>
      </c>
      <c r="AD34" s="184">
        <f>IF(AND(L32=2,P34="Impacto",AB34&gt;=75),50,IF(AND(P34="Impacto",L32=2,AB34&gt;=50),37,IF(AND(P34="Impacto",L32=2,AB34&gt;=25),25,IF(AND(P34="Impacto",L32=2,AB34&gt;10),12,IF(AND(L32=1,P34="Impacto",AB34&gt;=75),100,IF(AND(P34="Impacto",L32=1,AB34&gt;=50),75,IF(AND(P34="Impacto",L32=1,AB34&gt;=25),50,IF(AND(P34="Impacto",L32=1,AB34&gt;10),25,IF(AND(P34="Impacto",L32=3,AB34&gt;=75),33.3,IF(AND(P34="Impacto",L32=3,AB34,AB34&gt;=50),25,IF(AND(P34="Impacto",L32=3,AB34&gt;=25),17,IF(AND(P34="Impacto",L32=3,AB34&gt;10),8,0))))))))))))</f>
        <v>0</v>
      </c>
      <c r="AE34" s="235"/>
      <c r="AF34" s="235"/>
      <c r="AG34" s="236"/>
      <c r="AH34" s="236"/>
      <c r="AI34" s="193"/>
      <c r="AJ34" s="237"/>
      <c r="AK34" s="237"/>
      <c r="AL34" s="238"/>
      <c r="AM34" s="231"/>
    </row>
    <row r="35" spans="1:39" ht="220.5" customHeight="1" x14ac:dyDescent="0.4">
      <c r="A35" s="191"/>
      <c r="B35" s="245">
        <v>6</v>
      </c>
      <c r="C35" s="244" t="s">
        <v>194</v>
      </c>
      <c r="D35" s="244" t="s">
        <v>195</v>
      </c>
      <c r="E35" s="244" t="s">
        <v>67</v>
      </c>
      <c r="F35" s="195" t="s">
        <v>196</v>
      </c>
      <c r="G35" s="244" t="s">
        <v>197</v>
      </c>
      <c r="H35" s="239" t="s">
        <v>14</v>
      </c>
      <c r="I35" s="240" t="s">
        <v>19</v>
      </c>
      <c r="J35" s="238" t="str">
        <f>IF(ISERROR(VLOOKUP(H35&amp;I35,Hoja1!$C$1:$F$25,4,0)),"",(VLOOKUP(H35&amp;I35,Hoja1!$C$1:$F$25,4,0)))</f>
        <v>Moderado</v>
      </c>
      <c r="K35" s="185" t="s">
        <v>85</v>
      </c>
      <c r="L35" s="234">
        <v>3</v>
      </c>
      <c r="M35" s="213" t="s">
        <v>225</v>
      </c>
      <c r="N35" s="195" t="s">
        <v>226</v>
      </c>
      <c r="O35" s="195" t="s">
        <v>227</v>
      </c>
      <c r="P35" s="188" t="s">
        <v>22</v>
      </c>
      <c r="Q35" s="188" t="s">
        <v>42</v>
      </c>
      <c r="R35" s="188" t="str">
        <f t="shared" si="1"/>
        <v>N/A</v>
      </c>
      <c r="S35" s="188" t="s">
        <v>41</v>
      </c>
      <c r="T35" s="189" t="s">
        <v>232</v>
      </c>
      <c r="U35" s="188" t="s">
        <v>41</v>
      </c>
      <c r="V35" s="188" t="s">
        <v>72</v>
      </c>
      <c r="W35" s="188" t="s">
        <v>101</v>
      </c>
      <c r="X35" s="190" t="s">
        <v>102</v>
      </c>
      <c r="Y35" s="189" t="s">
        <v>108</v>
      </c>
      <c r="Z35" s="188" t="s">
        <v>41</v>
      </c>
      <c r="AA35" s="189" t="s">
        <v>233</v>
      </c>
      <c r="AB35" s="183">
        <f t="shared" si="0"/>
        <v>68</v>
      </c>
      <c r="AC35" s="184">
        <f>IF(AND(L35=2,P35="Probabilidad",AB35&gt;=75),50,IF(AND(P35="Probabilidad",L35=2,AB35&gt;=50),37,IF(AND(P35="Probabilidad",L35=2,AB35&gt;=25),25,IF(AND(P35="Probabilidad",L35=2,AB35&gt;10),12,IF(AND(L35=1,P35="Probabilidad",AB35&gt;=75),100,IF(AND(P35="Probabilidad",L35=1,AB35&gt;=50),75,IF(AND(P35="Probabilidad",L35=1,AB35&gt;=25),50,IF(AND(P35="Probabilidad",L35=1,AB35&gt;10),25,IF(AND(P35="Probabilidad",L35=3,AB35&gt;=75),33.3,IF(AND(P35="Probabilidad",L35=3,AB35,AB35&gt;=50),25,IF(AND(P35="Probabilidad",L35=3,AB35&gt;=25),17,IF(AND(P35="Probabilidad",L35=3,AB35&gt;10),8,0))))))))))))</f>
        <v>25</v>
      </c>
      <c r="AD35" s="184">
        <f>IF(AND(L35=2,P35="Impacto",AB35&gt;=75),50,IF(AND(P35="Impacto",L35=2,AB35&gt;=50),37,IF(AND(P35="Impacto",L35=2,AB35&gt;=25),25,IF(AND(P35="Impacto",L35=2,AB35&gt;10),12,IF(AND(L35=1,P35="Impacto",AB35&gt;=75),100,IF(AND(P35="Impacto",L35=1,AB35&gt;=50),75,IF(AND(P35="Impacto",L35=1,AB35&gt;=25),50,IF(AND(P35="Impacto",L35=1,AB35&gt;10),25,IF(AND(P35="Impacto",L35=3,AB35&gt;=75),33.3,IF(AND(P35="Impacto",L35=3,AB35,AB35&gt;=50),25,IF(AND(P35="Impacto",L35=3,AB35&gt;=25),17,IF(AND(P35="Impacto",L35=3,AB35&gt;10),8,0))))))))))))</f>
        <v>0</v>
      </c>
      <c r="AE35" s="235">
        <f>SUM(AC35:AC37)</f>
        <v>75</v>
      </c>
      <c r="AF35" s="235">
        <f>SUM(AD35:AD37)</f>
        <v>0</v>
      </c>
      <c r="AG35" s="236">
        <f>IF(AE35&gt;75,2,IF(AE35&gt;=30,1,"-"))</f>
        <v>1</v>
      </c>
      <c r="AH35" s="236" t="str">
        <f>IF(AF35&gt;75,2,IF(AF35&gt;=30,1,"-"))</f>
        <v>-</v>
      </c>
      <c r="AI35" s="193"/>
      <c r="AJ35" s="237" t="str">
        <f>IF(AND(AG35=2,H35="Casi seguro"),Hoja1!$J$5,IF(AND(AG35=2,H35="Posible"),Hoja1!$J$6,IF(AND(H35="Improbable",AG35=2),Hoja1!J18,IF(AND(AG35=1,H35="Casi seguro"),Hoja1!$J$4,IF(AND(AG35=1,H35="Posible"),Hoja1!$J$5,IF(AND(AG35=1,H35="Improbable"),Hoja1!$J$6,'FT-Mapa de riesgos'!H35))))))</f>
        <v>Rara Vez</v>
      </c>
      <c r="AK35" s="237" t="str">
        <f>IF(AND(AH35=2,I35="Catastrofico"),Hoja1!$K$5,IF(AND(AH35=2,I35="Mayor"),Hoja1!$K$6,IF(AND(AH35=2,I35="Moderado"),Hoja1!$K$7,IF(AND(AH35=1,I35="Catastrofico"),Hoja1!$K$4,IF(AND(AH35=1,I35="Mayor "),Hoja1!$K$5,IF(AND(AH35=1,I35="Moderado"),Hoja1!$K$6,IF(AND(AH35=2,I35="Menor"),Hoja1!$K$7,'FT-Mapa de riesgos'!I35)))))))</f>
        <v>Moderado</v>
      </c>
      <c r="AL35" s="238" t="str">
        <f>IF(ISERROR(VLOOKUP(AJ35&amp;AK35,Hoja1!$C$1:$F$25,4,0)),"",(VLOOKUP(AJ35&amp;AK35,Hoja1!$C$1:$F$25,4,0)))</f>
        <v>Moderado</v>
      </c>
      <c r="AM35" s="233" t="s">
        <v>176</v>
      </c>
    </row>
    <row r="36" spans="1:39" ht="183.95" customHeight="1" x14ac:dyDescent="0.4">
      <c r="A36" s="191"/>
      <c r="B36" s="245"/>
      <c r="C36" s="244"/>
      <c r="D36" s="244"/>
      <c r="E36" s="244"/>
      <c r="F36" s="195" t="s">
        <v>159</v>
      </c>
      <c r="G36" s="244"/>
      <c r="H36" s="239"/>
      <c r="I36" s="240"/>
      <c r="J36" s="238"/>
      <c r="K36" s="185" t="s">
        <v>85</v>
      </c>
      <c r="L36" s="234"/>
      <c r="M36" s="195" t="s">
        <v>222</v>
      </c>
      <c r="N36" s="195" t="s">
        <v>223</v>
      </c>
      <c r="O36" s="195" t="s">
        <v>224</v>
      </c>
      <c r="P36" s="188" t="s">
        <v>22</v>
      </c>
      <c r="Q36" s="188" t="s">
        <v>42</v>
      </c>
      <c r="R36" s="188" t="str">
        <f t="shared" si="1"/>
        <v>N/A</v>
      </c>
      <c r="S36" s="188" t="s">
        <v>41</v>
      </c>
      <c r="T36" s="189" t="s">
        <v>231</v>
      </c>
      <c r="U36" s="188" t="s">
        <v>41</v>
      </c>
      <c r="V36" s="189" t="s">
        <v>151</v>
      </c>
      <c r="W36" s="189" t="s">
        <v>102</v>
      </c>
      <c r="X36" s="190" t="s">
        <v>108</v>
      </c>
      <c r="Y36" s="189" t="s">
        <v>167</v>
      </c>
      <c r="Z36" s="188" t="s">
        <v>41</v>
      </c>
      <c r="AA36" s="189" t="s">
        <v>218</v>
      </c>
      <c r="AB36" s="183">
        <f t="shared" si="0"/>
        <v>68</v>
      </c>
      <c r="AC36" s="184">
        <f>IF(AND(L35=2,P36="Probabilidad",AB36&gt;=75),50,IF(AND(P36="Probabilidad",L35=2,AB36&gt;=50),37,IF(AND(P36="Probabilidad",L35=2,AB36&gt;=25),25,IF(AND(P36="Probabilidad",L35=2,AB36&gt;10),12,IF(AND(L35=1,P36="Probabilidad",AB36&gt;=75),100,IF(AND(P36="Probabilidad",L35=1,AB36&gt;=50),75,IF(AND(P36="Probabilidad",L35=1,AB36&gt;=25),50,IF(AND(P36="Probabilidad",L35=1,AB36&gt;10),25,IF(AND(P36="Probabilidad",L35=3,AB36&gt;=75),33.3,IF(AND(P36="Probabilidad",L35=3,AB36,AB36&gt;=50),25,IF(AND(P36="Probabilidad",L35=3,AB36&gt;=25),17,IF(AND(P36="Probabilidad",L35=3,AB36&gt;10),8,0))))))))))))</f>
        <v>25</v>
      </c>
      <c r="AD36" s="184">
        <f>IF(AND(L35=2,P36="Impacto",AB36&gt;=75),50,IF(AND(P36="Impacto",L35=2,AB36&gt;=50),37,IF(AND(P36="Impacto",L35=2,AB36&gt;=25),25,IF(AND(P36="Impacto",L35=2,AB36&gt;10),12,IF(AND(L35=1,P36="Impacto",AB36&gt;=75),100,IF(AND(P36="Impacto",L35=1,AB36&gt;=50),75,IF(AND(P36="Impacto",L35=1,AB36&gt;=25),50,IF(AND(P36="Impacto",L35=1,AB36&gt;10),25,IF(AND(P36="Impacto",L35=3,AB36&gt;=75),33.3,IF(AND(P36="Impacto",L35=3,AB36,AB36&gt;=50),25,IF(AND(P36="Impacto",L35=3,AB36&gt;=25),17,IF(AND(P36="Impacto",L35=3,AB36&gt;10),8,0))))))))))))</f>
        <v>0</v>
      </c>
      <c r="AE36" s="235"/>
      <c r="AF36" s="235"/>
      <c r="AG36" s="236"/>
      <c r="AH36" s="236"/>
      <c r="AI36" s="193"/>
      <c r="AJ36" s="237"/>
      <c r="AK36" s="237"/>
      <c r="AL36" s="238"/>
      <c r="AM36" s="233"/>
    </row>
    <row r="37" spans="1:39" ht="183.95" customHeight="1" x14ac:dyDescent="0.4">
      <c r="A37" s="191"/>
      <c r="B37" s="245"/>
      <c r="C37" s="244"/>
      <c r="D37" s="244"/>
      <c r="E37" s="244"/>
      <c r="F37" s="195" t="s">
        <v>198</v>
      </c>
      <c r="G37" s="244"/>
      <c r="H37" s="239"/>
      <c r="I37" s="240"/>
      <c r="J37" s="238"/>
      <c r="K37" s="185" t="s">
        <v>85</v>
      </c>
      <c r="L37" s="234"/>
      <c r="M37" s="195" t="s">
        <v>228</v>
      </c>
      <c r="N37" s="195" t="s">
        <v>229</v>
      </c>
      <c r="O37" s="195" t="s">
        <v>230</v>
      </c>
      <c r="P37" s="188" t="s">
        <v>22</v>
      </c>
      <c r="Q37" s="188" t="s">
        <v>42</v>
      </c>
      <c r="R37" s="188" t="str">
        <f t="shared" si="1"/>
        <v>N/A</v>
      </c>
      <c r="S37" s="188" t="s">
        <v>41</v>
      </c>
      <c r="T37" s="189" t="s">
        <v>231</v>
      </c>
      <c r="U37" s="188" t="s">
        <v>41</v>
      </c>
      <c r="V37" s="188" t="s">
        <v>72</v>
      </c>
      <c r="W37" s="188" t="s">
        <v>101</v>
      </c>
      <c r="X37" s="190" t="s">
        <v>102</v>
      </c>
      <c r="Y37" s="189" t="s">
        <v>108</v>
      </c>
      <c r="Z37" s="188" t="s">
        <v>41</v>
      </c>
      <c r="AA37" s="189" t="s">
        <v>234</v>
      </c>
      <c r="AB37" s="183">
        <f t="shared" si="0"/>
        <v>68</v>
      </c>
      <c r="AC37" s="184">
        <f>IF(AND(L35=2,P37="Probabilidad",AB37&gt;=75),50,IF(AND(P37="Probabilidad",L35=2,AB37&gt;=50),37,IF(AND(P37="Probabilidad",L35=2,AB37&gt;=25),25,IF(AND(P37="Probabilidad",L35=2,AB37&gt;10),12,IF(AND(L35=1,P37="Probabilidad",AB37&gt;=75),100,IF(AND(P37="Probabilidad",L35=1,AB37&gt;=50),75,IF(AND(P37="Probabilidad",L35=1,AB37&gt;=25),50,IF(AND(P37="Probabilidad",L35=1,AB37&gt;10),25,IF(AND(P37="Probabilidad",L35=3,AB37&gt;=75),33.3,IF(AND(P37="Probabilidad",L35=3,AB37,AB37&gt;=50),25,IF(AND(P37="Probabilidad",L35=3,AB37&gt;=25),17,IF(AND(P37="Probabilidad",L35=3,AB37&gt;10),8,0))))))))))))</f>
        <v>25</v>
      </c>
      <c r="AD37" s="184">
        <f>IF(AND(L35=2,P37="Impacto",AB37&gt;=75),50,IF(AND(P37="Impacto",L35=2,AB37&gt;=50),37,IF(AND(P37="Impacto",L35=2,AB37&gt;=25),25,IF(AND(P37="Impacto",L35=2,AB37&gt;10),12,IF(AND(L35=1,P37="Impacto",AB37&gt;=75),100,IF(AND(P37="Impacto",L35=1,AB37&gt;=50),75,IF(AND(P37="Impacto",L35=1,AB37&gt;=25),50,IF(AND(P37="Impacto",L35=1,AB37&gt;10),25,IF(AND(P37="Impacto",L35=3,AB37&gt;=75),33.3,IF(AND(P37="Impacto",L35=3,AB37,AB37&gt;=50),25,IF(AND(P37="Impacto",L35=3,AB37&gt;=25),17,IF(AND(P37="Impacto",L35=3,AB37&gt;10),8,0))))))))))))</f>
        <v>0</v>
      </c>
      <c r="AE37" s="235"/>
      <c r="AF37" s="235"/>
      <c r="AG37" s="236"/>
      <c r="AH37" s="236"/>
      <c r="AI37" s="193"/>
      <c r="AJ37" s="237"/>
      <c r="AK37" s="237"/>
      <c r="AL37" s="238"/>
      <c r="AM37" s="233"/>
    </row>
    <row r="38" spans="1:39" ht="189.95" customHeight="1" x14ac:dyDescent="0.4">
      <c r="A38" s="191"/>
      <c r="B38" s="245">
        <v>7</v>
      </c>
      <c r="C38" s="244" t="s">
        <v>178</v>
      </c>
      <c r="D38" s="244" t="s">
        <v>173</v>
      </c>
      <c r="E38" s="244" t="s">
        <v>67</v>
      </c>
      <c r="F38" s="195" t="s">
        <v>159</v>
      </c>
      <c r="G38" s="244" t="s">
        <v>174</v>
      </c>
      <c r="H38" s="239" t="s">
        <v>14</v>
      </c>
      <c r="I38" s="240" t="s">
        <v>21</v>
      </c>
      <c r="J38" s="238" t="str">
        <f>IF(ISERROR(VLOOKUP(H38&amp;I38,Hoja1!$C$1:$F$25,4,0)),"",(VLOOKUP(H38&amp;I38,Hoja1!$C$1:$F$25,4,0)))</f>
        <v>Extremo</v>
      </c>
      <c r="K38" s="185" t="s">
        <v>85</v>
      </c>
      <c r="L38" s="234">
        <v>2</v>
      </c>
      <c r="M38" s="195" t="s">
        <v>222</v>
      </c>
      <c r="N38" s="195" t="s">
        <v>163</v>
      </c>
      <c r="O38" s="195" t="s">
        <v>165</v>
      </c>
      <c r="P38" s="188" t="s">
        <v>22</v>
      </c>
      <c r="Q38" s="188" t="s">
        <v>41</v>
      </c>
      <c r="R38" s="188" t="s">
        <v>167</v>
      </c>
      <c r="S38" s="188" t="s">
        <v>41</v>
      </c>
      <c r="T38" s="189" t="s">
        <v>238</v>
      </c>
      <c r="U38" s="188" t="s">
        <v>41</v>
      </c>
      <c r="V38" s="188" t="s">
        <v>72</v>
      </c>
      <c r="W38" s="188" t="s">
        <v>101</v>
      </c>
      <c r="X38" s="190" t="s">
        <v>102</v>
      </c>
      <c r="Y38" s="189" t="s">
        <v>108</v>
      </c>
      <c r="Z38" s="188" t="s">
        <v>41</v>
      </c>
      <c r="AA38" s="189" t="s">
        <v>170</v>
      </c>
      <c r="AB38" s="183">
        <f t="shared" si="0"/>
        <v>100</v>
      </c>
      <c r="AC38" s="184">
        <f>IF(AND(L38=2,P38="Probabilidad",AB38&gt;=75),50,IF(AND(P38="Probabilidad",L38=2,AB38&gt;=50),37,IF(AND(P38="Probabilidad",L38=2,AB38&gt;=25),25,IF(AND(P38="Probabilidad",L38=2,AB38&gt;10),12,IF(AND(L38=1,P38="Probabilidad",AB38&gt;=75),100,IF(AND(P38="Probabilidad",L38=1,AB38&gt;=50),75,IF(AND(P38="Probabilidad",L38=1,AB38&gt;=25),50,IF(AND(P38="Probabilidad",L38=1,AB38&gt;10),25,IF(AND(P38="Probabilidad",L38=3,AB38&gt;=75),33.3,IF(AND(P38="Probabilidad",L38=3,AB38,AB38&gt;=50),25,IF(AND(P38="Probabilidad",L38=3,AB38&gt;=25),17,IF(AND(P38="Probabilidad",L38=3,AB38&gt;10),8,0))))))))))))</f>
        <v>50</v>
      </c>
      <c r="AD38" s="184">
        <f>IF(AND(L38=2,P38="Impacto",AB38&gt;=75),50,IF(AND(P38="Impacto",L38=2,AB38&gt;=50),37,IF(AND(P38="Impacto",L38=2,AB38&gt;=25),25,IF(AND(P38="Impacto",L38=2,AB38&gt;10),12,IF(AND(L38=1,P38="Impacto",AB38&gt;=75),100,IF(AND(P38="Impacto",L38=1,AB38&gt;=50),75,IF(AND(P38="Impacto",L38=1,AB38&gt;=25),50,IF(AND(P38="Impacto",L38=1,AB38&gt;10),25,IF(AND(P38="Impacto",L38=3,AB38&gt;=75),33.3,IF(AND(P38="Impacto",L38=3,AB38,AB38&gt;=50),25,IF(AND(P38="Impacto",L38=3,AB38&gt;=25),17,IF(AND(P38="Impacto",L38=3,AB38&gt;10),8,0))))))))))))</f>
        <v>0</v>
      </c>
      <c r="AE38" s="235">
        <f>SUM(AC38:AC40)</f>
        <v>100</v>
      </c>
      <c r="AF38" s="235">
        <f>SUM(AD38:AD40)</f>
        <v>0</v>
      </c>
      <c r="AG38" s="236">
        <f>IF(AE38&gt;75,2,IF(AE38&gt;=30,1,"-"))</f>
        <v>2</v>
      </c>
      <c r="AH38" s="236" t="str">
        <f>IF(AF38&gt;75,2,IF(AF38&gt;=30,1,"-"))</f>
        <v>-</v>
      </c>
      <c r="AI38" s="193"/>
      <c r="AJ38" s="237" t="s">
        <v>51</v>
      </c>
      <c r="AK38" s="237" t="str">
        <f>IF(AND(AH38=2,I38="Catastrofico"),Hoja1!$K$5,IF(AND(AH38=2,I38="Mayor"),Hoja1!$K$6,IF(AND(AH38=2,I38="Moderado"),Hoja1!$K$7,IF(AND(AH38=1,I38="Catastrofico"),Hoja1!$K$4,IF(AND(AH38=1,I38="Mayor "),Hoja1!$K$5,IF(AND(AH38=1,I38="Moderado"),Hoja1!$K$6,IF(AND(AH38=2,I38="Menor"),Hoja1!$K$7,'FT-Mapa de riesgos'!I38)))))))</f>
        <v>Catastrofico</v>
      </c>
      <c r="AL38" s="238" t="str">
        <f>IF(ISERROR(VLOOKUP(AJ38&amp;AK38,Hoja1!$C$1:$F$25,4,0)),"",(VLOOKUP(AJ38&amp;AK38,Hoja1!$C$1:$F$25,4,0)))</f>
        <v>Alto</v>
      </c>
      <c r="AM38" s="233"/>
    </row>
    <row r="39" spans="1:39" ht="189.95" customHeight="1" x14ac:dyDescent="0.4">
      <c r="A39" s="191"/>
      <c r="B39" s="245"/>
      <c r="C39" s="244"/>
      <c r="D39" s="244"/>
      <c r="E39" s="244"/>
      <c r="F39" s="195" t="s">
        <v>172</v>
      </c>
      <c r="G39" s="244"/>
      <c r="H39" s="239"/>
      <c r="I39" s="240"/>
      <c r="J39" s="238"/>
      <c r="K39" s="185" t="s">
        <v>85</v>
      </c>
      <c r="L39" s="234"/>
      <c r="M39" s="195" t="s">
        <v>222</v>
      </c>
      <c r="N39" s="195" t="s">
        <v>163</v>
      </c>
      <c r="O39" s="195" t="s">
        <v>165</v>
      </c>
      <c r="P39" s="188" t="s">
        <v>22</v>
      </c>
      <c r="Q39" s="188" t="s">
        <v>41</v>
      </c>
      <c r="R39" s="188" t="s">
        <v>167</v>
      </c>
      <c r="S39" s="188" t="s">
        <v>41</v>
      </c>
      <c r="T39" s="189" t="s">
        <v>238</v>
      </c>
      <c r="U39" s="188" t="s">
        <v>41</v>
      </c>
      <c r="V39" s="188" t="s">
        <v>72</v>
      </c>
      <c r="W39" s="188" t="s">
        <v>101</v>
      </c>
      <c r="X39" s="190" t="s">
        <v>102</v>
      </c>
      <c r="Y39" s="189" t="s">
        <v>108</v>
      </c>
      <c r="Z39" s="188" t="s">
        <v>41</v>
      </c>
      <c r="AA39" s="189" t="s">
        <v>170</v>
      </c>
      <c r="AB39" s="183">
        <f t="shared" si="0"/>
        <v>100</v>
      </c>
      <c r="AC39" s="184">
        <f>IF(AND(L38=2,P39="Probabilidad",AB39&gt;=75),50,IF(AND(P39="Probabilidad",L38=2,AB39&gt;=50),37,IF(AND(P39="Probabilidad",L38=2,AB39&gt;=25),25,IF(AND(P39="Probabilidad",L38=2,AB39&gt;10),12,IF(AND(L38=1,P39="Probabilidad",AB39&gt;=75),100,IF(AND(P39="Probabilidad",L38=1,AB39&gt;=50),75,IF(AND(P39="Probabilidad",L38=1,AB39&gt;=25),50,IF(AND(P39="Probabilidad",L38=1,AB39&gt;10),25,IF(AND(P39="Probabilidad",L38=3,AB39&gt;=75),33.3,IF(AND(P39="Probabilidad",L38=3,AB39,AB39&gt;=50),25,IF(AND(P39="Probabilidad",L38=3,AB39&gt;=25),17,IF(AND(P39="Probabilidad",L38=3,AB39&gt;10),8,0))))))))))))</f>
        <v>50</v>
      </c>
      <c r="AD39" s="184">
        <f>IF(AND(L38=2,P39="Impacto",AB39&gt;=75),50,IF(AND(P39="Impacto",L38=2,AB39&gt;=50),37,IF(AND(P39="Impacto",L38=2,AB39&gt;=25),25,IF(AND(P39="Impacto",L38=2,AB39&gt;10),12,IF(AND(L38=1,P39="Impacto",AB39&gt;=75),100,IF(AND(P39="Impacto",L38=1,AB39&gt;=50),75,IF(AND(P39="Impacto",L38=1,AB39&gt;=25),50,IF(AND(P39="Impacto",L38=1,AB39&gt;10),25,IF(AND(P39="Impacto",L38=3,AB39&gt;=75),33.3,IF(AND(P39="Impacto",L38=3,AB39,AB39&gt;=50),25,IF(AND(P39="Impacto",L38=3,AB39&gt;=25),17,IF(AND(P39="Impacto",L38=3,AB39&gt;10),8,0))))))))))))</f>
        <v>0</v>
      </c>
      <c r="AE39" s="235"/>
      <c r="AF39" s="235"/>
      <c r="AG39" s="236"/>
      <c r="AH39" s="236"/>
      <c r="AI39" s="193"/>
      <c r="AJ39" s="237"/>
      <c r="AK39" s="237"/>
      <c r="AL39" s="238"/>
      <c r="AM39" s="233"/>
    </row>
    <row r="40" spans="1:39" ht="73.5" hidden="1" customHeight="1" x14ac:dyDescent="0.4">
      <c r="A40" s="191"/>
      <c r="B40" s="245"/>
      <c r="C40" s="244"/>
      <c r="D40" s="244"/>
      <c r="E40" s="244"/>
      <c r="F40" s="195"/>
      <c r="G40" s="244"/>
      <c r="H40" s="239"/>
      <c r="I40" s="240"/>
      <c r="J40" s="238"/>
      <c r="K40" s="187"/>
      <c r="L40" s="234"/>
      <c r="M40" s="212"/>
      <c r="N40" s="212"/>
      <c r="O40" s="212"/>
      <c r="P40" s="188"/>
      <c r="Q40" s="188"/>
      <c r="R40" s="188" t="str">
        <f t="shared" si="1"/>
        <v/>
      </c>
      <c r="S40" s="188"/>
      <c r="T40" s="188" t="str">
        <f t="shared" si="2"/>
        <v/>
      </c>
      <c r="U40" s="188"/>
      <c r="V40" s="188"/>
      <c r="W40" s="188"/>
      <c r="X40" s="190"/>
      <c r="Y40" s="188"/>
      <c r="Z40" s="188"/>
      <c r="AA40" s="188" t="str">
        <f t="shared" si="3"/>
        <v/>
      </c>
      <c r="AB40" s="183">
        <f t="shared" si="0"/>
        <v>0</v>
      </c>
      <c r="AC40" s="184">
        <f>IF(AND(L38=2,P40="Probabilidad",AB40&gt;=75),50,IF(AND(P40="Probabilidad",L38=2,AB40&gt;=50),37,IF(AND(P40="Probabilidad",L38=2,AB40&gt;=25),25,IF(AND(P40="Probabilidad",L38=2,AB40&gt;10),12,IF(AND(L38=1,P40="Probabilidad",AB40&gt;=75),100,IF(AND(P40="Probabilidad",L38=1,AB40&gt;=50),75,IF(AND(P40="Probabilidad",L38=1,AB40&gt;=25),50,IF(AND(P40="Probabilidad",L38=1,AB40&gt;10),25,IF(AND(P40="Probabilidad",L38=3,AB40&gt;=75),33.3,IF(AND(P40="Probabilidad",L38=3,AB40,AB40&gt;=50),25,IF(AND(P40="Probabilidad",L38=3,AB40&gt;=25),17,IF(AND(P40="Probabilidad",L38=3,AB40&gt;10),8,0))))))))))))</f>
        <v>0</v>
      </c>
      <c r="AD40" s="184">
        <f>IF(AND(L38=2,P40="Impacto",AB40&gt;=75),50,IF(AND(P40="Impacto",L38=2,AB40&gt;=50),37,IF(AND(P40="Impacto",L38=2,AB40&gt;=25),25,IF(AND(P40="Impacto",L38=2,AB40&gt;10),12,IF(AND(L38=1,P40="Impacto",AB40&gt;=75),100,IF(AND(P40="Impacto",L38=1,AB40&gt;=50),75,IF(AND(P40="Impacto",L38=1,AB40&gt;=25),50,IF(AND(P40="Impacto",L38=1,AB40&gt;10),25,IF(AND(P40="Impacto",L38=3,AB40&gt;=75),33.3,IF(AND(P40="Impacto",L38=3,AB40,AB40&gt;=50),25,IF(AND(P40="Impacto",L38=3,AB40&gt;=25),17,IF(AND(P40="Impacto",L38=3,AB40&gt;10),8,0))))))))))))</f>
        <v>0</v>
      </c>
      <c r="AE40" s="235"/>
      <c r="AF40" s="235"/>
      <c r="AG40" s="236"/>
      <c r="AH40" s="236"/>
      <c r="AI40" s="193"/>
      <c r="AJ40" s="237"/>
      <c r="AK40" s="237"/>
      <c r="AL40" s="238"/>
      <c r="AM40" s="233"/>
    </row>
    <row r="41" spans="1:39" ht="300" customHeight="1" x14ac:dyDescent="0.4">
      <c r="A41" s="191"/>
      <c r="B41" s="245">
        <v>8</v>
      </c>
      <c r="C41" s="244" t="s">
        <v>199</v>
      </c>
      <c r="D41" s="244" t="s">
        <v>200</v>
      </c>
      <c r="E41" s="244" t="s">
        <v>35</v>
      </c>
      <c r="F41" s="195" t="s">
        <v>201</v>
      </c>
      <c r="G41" s="244" t="s">
        <v>202</v>
      </c>
      <c r="H41" s="239" t="s">
        <v>15</v>
      </c>
      <c r="I41" s="240" t="s">
        <v>18</v>
      </c>
      <c r="J41" s="238" t="str">
        <f>IF(ISERROR(VLOOKUP(H41&amp;I41,Hoja1!$C$1:$F$25,4,0)),"",(VLOOKUP(H41&amp;I41,Hoja1!$C$1:$F$25,4,0)))</f>
        <v>Moderado</v>
      </c>
      <c r="K41" s="185" t="s">
        <v>85</v>
      </c>
      <c r="L41" s="234">
        <v>1</v>
      </c>
      <c r="M41" s="195" t="s">
        <v>235</v>
      </c>
      <c r="N41" s="195" t="s">
        <v>236</v>
      </c>
      <c r="O41" s="195" t="s">
        <v>237</v>
      </c>
      <c r="P41" s="188" t="s">
        <v>22</v>
      </c>
      <c r="Q41" s="188" t="s">
        <v>41</v>
      </c>
      <c r="R41" s="188" t="s">
        <v>167</v>
      </c>
      <c r="S41" s="188" t="s">
        <v>41</v>
      </c>
      <c r="T41" s="189" t="s">
        <v>231</v>
      </c>
      <c r="U41" s="188" t="s">
        <v>41</v>
      </c>
      <c r="V41" s="188" t="s">
        <v>72</v>
      </c>
      <c r="W41" s="188" t="s">
        <v>101</v>
      </c>
      <c r="X41" s="190" t="s">
        <v>102</v>
      </c>
      <c r="Y41" s="189" t="s">
        <v>108</v>
      </c>
      <c r="Z41" s="188" t="s">
        <v>41</v>
      </c>
      <c r="AA41" s="189" t="s">
        <v>239</v>
      </c>
      <c r="AB41" s="183">
        <f t="shared" si="0"/>
        <v>100</v>
      </c>
      <c r="AC41" s="184">
        <f>IF(AND(L41=2,P41="Probabilidad",AB41&gt;=75),50,IF(AND(P41="Probabilidad",L41=2,AB41&gt;=50),37,IF(AND(P41="Probabilidad",L41=2,AB41&gt;=25),25,IF(AND(P41="Probabilidad",L41=2,AB41&gt;10),12,IF(AND(L41=1,P41="Probabilidad",AB41&gt;=75),100,IF(AND(P41="Probabilidad",L41=1,AB41&gt;=50),75,IF(AND(P41="Probabilidad",L41=1,AB41&gt;=25),50,IF(AND(P41="Probabilidad",L41=1,AB41&gt;10),25,IF(AND(P41="Probabilidad",L41=3,AB41&gt;=75),33.3,IF(AND(P41="Probabilidad",L41=3,AB41,AB41&gt;=50),25,IF(AND(P41="Probabilidad",L41=3,AB41&gt;=25),17,IF(AND(P41="Probabilidad",L41=3,AB41&gt;10),8,0))))))))))))</f>
        <v>100</v>
      </c>
      <c r="AD41" s="184">
        <f>IF(AND(L41=2,P41="Impacto",AB41&gt;=75),50,IF(AND(P41="Impacto",L41=2,AB41&gt;=50),37,IF(AND(P41="Impacto",L41=2,AB41&gt;=25),25,IF(AND(P41="Impacto",L41=2,AB41&gt;10),12,IF(AND(L41=1,P41="Impacto",AB41&gt;=75),100,IF(AND(P41="Impacto",L41=1,AB41&gt;=50),75,IF(AND(P41="Impacto",L41=1,AB41&gt;=25),50,IF(AND(P41="Impacto",L41=1,AB41&gt;10),25,IF(AND(P41="Impacto",L41=3,AB41&gt;=75),33.3,IF(AND(P41="Impacto",L41=3,AB41,AB41&gt;=50),25,IF(AND(P41="Impacto",L41=3,AB41&gt;=25),17,IF(AND(P41="Impacto",L41=3,AB41&gt;10),8,0))))))))))))</f>
        <v>0</v>
      </c>
      <c r="AE41" s="235">
        <f>SUM(AC41:AC43)</f>
        <v>100</v>
      </c>
      <c r="AF41" s="235">
        <f>SUM(AD41:AD43)</f>
        <v>0</v>
      </c>
      <c r="AG41" s="236">
        <f>IF(AE41&gt;75,2,IF(AE41&gt;=30,1,"-"))</f>
        <v>2</v>
      </c>
      <c r="AH41" s="236" t="str">
        <f>IF(AF41&gt;75,2,IF(AF41&gt;=30,1,"-"))</f>
        <v>-</v>
      </c>
      <c r="AI41" s="193"/>
      <c r="AJ41" s="237" t="str">
        <f>IF(AND(AG41=2,H41="Casi seguro"),Hoja1!$J$5,IF(AND(AG41=2,H41="Posible"),Hoja1!$J$6,IF(AND(H41="Improbable",AG41=2),Hoja1!J24,IF(AND(AG41=1,H41="Casi seguro"),Hoja1!$J$4,IF(AND(AG41=1,H41="Posible"),Hoja1!$J$5,IF(AND(AG41=1,H41="Improbable"),Hoja1!$J$6,'FT-Mapa de riesgos'!H41))))))</f>
        <v>Rara Vez</v>
      </c>
      <c r="AK41" s="237" t="str">
        <f>IF(AND(AH41=2,I41="Catastrofico"),Hoja1!$K$5,IF(AND(AH41=2,I41="Mayor"),Hoja1!$K$6,IF(AND(AH41=2,I41="Moderado"),Hoja1!$K$7,IF(AND(AH41=1,I41="Catastrofico"),Hoja1!$K$4,IF(AND(AH41=1,I41="Mayor "),Hoja1!$K$5,IF(AND(AH41=1,I41="Moderado"),Hoja1!$K$6,IF(AND(AH41=2,I41="Menor"),Hoja1!$K$7,'FT-Mapa de riesgos'!I41)))))))</f>
        <v>Menor</v>
      </c>
      <c r="AL41" s="238" t="str">
        <f>IF(ISERROR(VLOOKUP(AJ41&amp;AK41,Hoja1!$C$1:$F$25,4,0)),"",(VLOOKUP(AJ41&amp;AK41,Hoja1!$C$1:$F$25,4,0)))</f>
        <v>Bajo</v>
      </c>
      <c r="AM41" s="233"/>
    </row>
    <row r="42" spans="1:39" ht="73.5" hidden="1" customHeight="1" x14ac:dyDescent="0.4">
      <c r="A42" s="191"/>
      <c r="B42" s="245"/>
      <c r="C42" s="244"/>
      <c r="D42" s="244"/>
      <c r="E42" s="244"/>
      <c r="F42" s="195"/>
      <c r="G42" s="244"/>
      <c r="H42" s="239"/>
      <c r="I42" s="240"/>
      <c r="J42" s="238"/>
      <c r="K42" s="185"/>
      <c r="L42" s="234"/>
      <c r="M42" s="212"/>
      <c r="N42" s="212"/>
      <c r="O42" s="212"/>
      <c r="P42" s="188"/>
      <c r="Q42" s="188"/>
      <c r="R42" s="188" t="str">
        <f t="shared" si="1"/>
        <v/>
      </c>
      <c r="S42" s="188"/>
      <c r="T42" s="188" t="str">
        <f t="shared" si="2"/>
        <v/>
      </c>
      <c r="U42" s="188"/>
      <c r="V42" s="188"/>
      <c r="W42" s="188"/>
      <c r="X42" s="190"/>
      <c r="Y42" s="188"/>
      <c r="Z42" s="188"/>
      <c r="AA42" s="188" t="str">
        <f t="shared" si="3"/>
        <v/>
      </c>
      <c r="AB42" s="183">
        <f t="shared" si="0"/>
        <v>0</v>
      </c>
      <c r="AC42" s="184">
        <f>IF(AND(L41=2,P42="Probabilidad",AB42&gt;=75),50,IF(AND(P42="Probabilidad",L41=2,AB42&gt;=50),37,IF(AND(P42="Probabilidad",L41=2,AB42&gt;=25),25,IF(AND(P42="Probabilidad",L41=2,AB42&gt;10),12,IF(AND(L41=1,P42="Probabilidad",AB42&gt;=75),100,IF(AND(P42="Probabilidad",L41=1,AB42&gt;=50),75,IF(AND(P42="Probabilidad",L41=1,AB42&gt;=25),50,IF(AND(P42="Probabilidad",L41=1,AB42&gt;10),25,IF(AND(P42="Probabilidad",L41=3,AB42&gt;=75),33.3,IF(AND(P42="Probabilidad",L41=3,AB42,AB42&gt;=50),25,IF(AND(P42="Probabilidad",L41=3,AB42&gt;=25),17,IF(AND(P42="Probabilidad",L41=3,AB42&gt;10),8,0))))))))))))</f>
        <v>0</v>
      </c>
      <c r="AD42" s="184">
        <f>IF(AND(L41=2,P42="Impacto",AB42&gt;=75),50,IF(AND(P42="Impacto",L41=2,AB42&gt;=50),37,IF(AND(P42="Impacto",L41=2,AB42&gt;=25),25,IF(AND(P42="Impacto",L41=2,AB42&gt;10),12,IF(AND(L41=1,P42="Impacto",AB42&gt;=75),100,IF(AND(P42="Impacto",L41=1,AB42&gt;=50),75,IF(AND(P42="Impacto",L41=1,AB42&gt;=25),50,IF(AND(P42="Impacto",L41=1,AB42&gt;10),25,IF(AND(P42="Impacto",L41=3,AB42&gt;=75),33.3,IF(AND(P42="Impacto",L41=3,AB42,AB42&gt;=50),25,IF(AND(P42="Impacto",L41=3,AB42&gt;=25),17,IF(AND(P42="Impacto",L41=3,AB42&gt;10),8,0))))))))))))</f>
        <v>0</v>
      </c>
      <c r="AE42" s="235"/>
      <c r="AF42" s="235"/>
      <c r="AG42" s="236"/>
      <c r="AH42" s="236"/>
      <c r="AI42" s="193"/>
      <c r="AJ42" s="237"/>
      <c r="AK42" s="237"/>
      <c r="AL42" s="238"/>
      <c r="AM42" s="233"/>
    </row>
    <row r="43" spans="1:39" ht="73.5" hidden="1" customHeight="1" x14ac:dyDescent="0.4">
      <c r="A43" s="191"/>
      <c r="B43" s="245"/>
      <c r="C43" s="244"/>
      <c r="D43" s="244"/>
      <c r="E43" s="244"/>
      <c r="F43" s="195"/>
      <c r="G43" s="244"/>
      <c r="H43" s="239"/>
      <c r="I43" s="240"/>
      <c r="J43" s="238"/>
      <c r="K43" s="187"/>
      <c r="L43" s="234"/>
      <c r="M43" s="212"/>
      <c r="N43" s="212"/>
      <c r="O43" s="212"/>
      <c r="P43" s="188"/>
      <c r="Q43" s="188"/>
      <c r="R43" s="188" t="str">
        <f t="shared" si="1"/>
        <v/>
      </c>
      <c r="S43" s="188"/>
      <c r="T43" s="188" t="str">
        <f t="shared" si="2"/>
        <v/>
      </c>
      <c r="U43" s="188"/>
      <c r="V43" s="188"/>
      <c r="W43" s="188"/>
      <c r="X43" s="190"/>
      <c r="Y43" s="188"/>
      <c r="Z43" s="188"/>
      <c r="AA43" s="188" t="str">
        <f t="shared" si="3"/>
        <v/>
      </c>
      <c r="AB43" s="183">
        <f t="shared" si="0"/>
        <v>0</v>
      </c>
      <c r="AC43" s="184">
        <f>IF(AND(L41=2,P43="Probabilidad",AB43&gt;=75),50,IF(AND(P43="Probabilidad",L41=2,AB43&gt;=50),37,IF(AND(P43="Probabilidad",L41=2,AB43&gt;=25),25,IF(AND(P43="Probabilidad",L41=2,AB43&gt;10),12,IF(AND(L41=1,P43="Probabilidad",AB43&gt;=75),100,IF(AND(P43="Probabilidad",L41=1,AB43&gt;=50),75,IF(AND(P43="Probabilidad",L41=1,AB43&gt;=25),50,IF(AND(P43="Probabilidad",L41=1,AB43&gt;10),25,IF(AND(P43="Probabilidad",L41=3,AB43&gt;=75),33.3,IF(AND(P43="Probabilidad",L41=3,AB43,AB43&gt;=50),25,IF(AND(P43="Probabilidad",L41=3,AB43&gt;=25),17,IF(AND(P43="Probabilidad",L41=3,AB43&gt;10),8,0))))))))))))</f>
        <v>0</v>
      </c>
      <c r="AD43" s="184">
        <f>IF(AND(L41=2,P43="Impacto",AB43&gt;=75),50,IF(AND(P43="Impacto",L41=2,AB43&gt;=50),37,IF(AND(P43="Impacto",L41=2,AB43&gt;=25),25,IF(AND(P43="Impacto",L41=2,AB43&gt;10),12,IF(AND(L41=1,P43="Impacto",AB43&gt;=75),100,IF(AND(P43="Impacto",L41=1,AB43&gt;=50),75,IF(AND(P43="Impacto",L41=1,AB43&gt;=25),50,IF(AND(P43="Impacto",L41=1,AB43&gt;10),25,IF(AND(P43="Impacto",L41=3,AB43&gt;=75),33.3,IF(AND(P43="Impacto",L41=3,AB43,AB43&gt;=50),25,IF(AND(P43="Impacto",L41=3,AB43&gt;=25),17,IF(AND(P43="Impacto",L41=3,AB43&gt;10),8,0))))))))))))</f>
        <v>0</v>
      </c>
      <c r="AE43" s="235"/>
      <c r="AF43" s="235"/>
      <c r="AG43" s="236"/>
      <c r="AH43" s="236"/>
      <c r="AI43" s="193"/>
      <c r="AJ43" s="237"/>
      <c r="AK43" s="237"/>
      <c r="AL43" s="238"/>
      <c r="AM43" s="233"/>
    </row>
    <row r="44" spans="1:39" ht="189.95" customHeight="1" x14ac:dyDescent="0.4">
      <c r="A44" s="191"/>
      <c r="B44" s="245">
        <v>9</v>
      </c>
      <c r="C44" s="249" t="s">
        <v>240</v>
      </c>
      <c r="D44" s="249" t="s">
        <v>241</v>
      </c>
      <c r="E44" s="244" t="s">
        <v>67</v>
      </c>
      <c r="F44" s="195" t="s">
        <v>242</v>
      </c>
      <c r="G44" s="249" t="s">
        <v>243</v>
      </c>
      <c r="H44" s="239" t="s">
        <v>15</v>
      </c>
      <c r="I44" s="240" t="s">
        <v>19</v>
      </c>
      <c r="J44" s="238" t="str">
        <f>IF(ISERROR(VLOOKUP(H44&amp;I44,Hoja1!$C$1:$F$25,4,0)),"",(VLOOKUP(H44&amp;I44,Hoja1!$C$1:$F$25,4,0)))</f>
        <v>Alto</v>
      </c>
      <c r="K44" s="185" t="s">
        <v>85</v>
      </c>
      <c r="L44" s="234">
        <v>3</v>
      </c>
      <c r="M44" s="195" t="s">
        <v>251</v>
      </c>
      <c r="N44" s="195" t="s">
        <v>252</v>
      </c>
      <c r="O44" s="195" t="s">
        <v>253</v>
      </c>
      <c r="P44" s="188" t="s">
        <v>22</v>
      </c>
      <c r="Q44" s="188" t="s">
        <v>41</v>
      </c>
      <c r="R44" s="189" t="s">
        <v>261</v>
      </c>
      <c r="S44" s="188" t="s">
        <v>41</v>
      </c>
      <c r="T44" s="189" t="s">
        <v>263</v>
      </c>
      <c r="U44" s="188" t="s">
        <v>41</v>
      </c>
      <c r="V44" s="188" t="s">
        <v>72</v>
      </c>
      <c r="W44" s="188" t="s">
        <v>101</v>
      </c>
      <c r="X44" s="190" t="s">
        <v>102</v>
      </c>
      <c r="Y44" s="189" t="s">
        <v>108</v>
      </c>
      <c r="Z44" s="188" t="s">
        <v>41</v>
      </c>
      <c r="AA44" s="195" t="s">
        <v>265</v>
      </c>
      <c r="AB44" s="183">
        <f t="shared" ref="AB44:AB79" si="4">SUM(IF(Q44="Si",Q$15,0)+(IF(S44="Si",S$15,0))+IF(U44="Si",U$15,0)+IF(Z44="Si",Z$15,0))</f>
        <v>100</v>
      </c>
      <c r="AC44" s="184">
        <f>IF(AND(L44=2,P44="Probabilidad",AB44&gt;=75),50,IF(AND(P44="Probabilidad",L44=2,AB44&gt;=50),37,IF(AND(P44="Probabilidad",L44=2,AB44&gt;=25),25,IF(AND(P44="Probabilidad",L44=2,AB44&gt;10),12,IF(AND(L44=1,P44="Probabilidad",AB44&gt;=75),100,IF(AND(P44="Probabilidad",L44=1,AB44&gt;=50),75,IF(AND(P44="Probabilidad",L44=1,AB44&gt;=25),50,IF(AND(P44="Probabilidad",L44=1,AB44&gt;10),25,IF(AND(P44="Probabilidad",L44=3,AB44&gt;=75),33.3,IF(AND(P44="Probabilidad",L44=3,AB44,AB44&gt;=50),25,IF(AND(P44="Probabilidad",L44=3,AB44&gt;=25),17,IF(AND(P44="Probabilidad",L44=3,AB44&gt;10),8,0))))))))))))</f>
        <v>33.299999999999997</v>
      </c>
      <c r="AD44" s="184">
        <f>IF(AND(L44=2,P44="Impacto",AB44&gt;=75),50,IF(AND(P44="Impacto",L44=2,AB44&gt;=50),37,IF(AND(P44="Impacto",L44=2,AB44&gt;=25),25,IF(AND(P44="Impacto",L44=2,AB44&gt;10),12,IF(AND(L44=1,P44="Impacto",AB44&gt;=75),100,IF(AND(P44="Impacto",L44=1,AB44&gt;=50),75,IF(AND(P44="Impacto",L44=1,AB44&gt;=25),50,IF(AND(P44="Impacto",L44=1,AB44&gt;10),25,IF(AND(P44="Impacto",L44=3,AB44&gt;=75),33.3,IF(AND(P44="Impacto",L44=3,AB44,AB44&gt;=50),25,IF(AND(P44="Impacto",L44=3,AB44&gt;=25),17,IF(AND(P44="Impacto",L44=3,AB44&gt;10),8,0))))))))))))</f>
        <v>0</v>
      </c>
      <c r="AE44" s="235">
        <f>SUM(AC44:AC46)</f>
        <v>91.6</v>
      </c>
      <c r="AF44" s="235">
        <f>SUM(AD44:AD46)</f>
        <v>0</v>
      </c>
      <c r="AG44" s="236">
        <f>IF(AE44&gt;75,2,IF(AE44&gt;=30,1,"-"))</f>
        <v>2</v>
      </c>
      <c r="AH44" s="236" t="str">
        <f>IF(AF44&gt;75,2,IF(AF44&gt;=30,1,"-"))</f>
        <v>-</v>
      </c>
      <c r="AI44" s="193"/>
      <c r="AJ44" s="237" t="str">
        <f>IF(AND(AG44=2,H44="Casi seguro"),Hoja1!$J$5,IF(AND(AG44=2,H44="Posible"),Hoja1!$J$6,IF(AND(H44="Improbable",AG44=2),Hoja1!#REF!,IF(AND(AG44=1,H44="Casi seguro"),Hoja1!$J$4,IF(AND(AG44=1,H44="Posible"),Hoja1!$J$5,IF(AND(AG44=1,H44="Improbable"),Hoja1!$J$6,'FT-Mapa de riesgos'!H44))))))</f>
        <v>Rara Vez</v>
      </c>
      <c r="AK44" s="237" t="str">
        <f>IF(AND(AH44=2,I44="Catastrofico"),Hoja1!$K$5,IF(AND(AH44=2,I44="Mayor"),Hoja1!$K$6,IF(AND(AH44=2,I44="Moderado"),Hoja1!$K$7,IF(AND(AH44=1,I44="Catastrofico"),Hoja1!$K$4,IF(AND(AH44=1,I44="Mayor "),Hoja1!$K$5,IF(AND(AH44=1,I44="Moderado"),Hoja1!$K$6,IF(AND(AH44=2,I44="Menor"),Hoja1!$K$7,'FT-Mapa de riesgos'!I44)))))))</f>
        <v>Moderado</v>
      </c>
      <c r="AL44" s="238" t="str">
        <f>IF(ISERROR(VLOOKUP(AJ44&amp;AK44,Hoja1!$C$1:$F$25,4,0)),"",(VLOOKUP(AJ44&amp;AK44,Hoja1!$C$1:$F$25,4,0)))</f>
        <v>Moderado</v>
      </c>
      <c r="AM44" s="233"/>
    </row>
    <row r="45" spans="1:39" ht="189.95" customHeight="1" x14ac:dyDescent="0.4">
      <c r="A45" s="191"/>
      <c r="B45" s="245"/>
      <c r="C45" s="249"/>
      <c r="D45" s="249"/>
      <c r="E45" s="244"/>
      <c r="F45" s="195" t="s">
        <v>244</v>
      </c>
      <c r="G45" s="249"/>
      <c r="H45" s="239"/>
      <c r="I45" s="240"/>
      <c r="J45" s="238"/>
      <c r="K45" s="185" t="s">
        <v>85</v>
      </c>
      <c r="L45" s="234"/>
      <c r="M45" s="195" t="s">
        <v>254</v>
      </c>
      <c r="N45" s="195" t="s">
        <v>255</v>
      </c>
      <c r="O45" s="195" t="s">
        <v>167</v>
      </c>
      <c r="P45" s="188" t="s">
        <v>22</v>
      </c>
      <c r="Q45" s="188" t="s">
        <v>41</v>
      </c>
      <c r="R45" s="189" t="s">
        <v>262</v>
      </c>
      <c r="S45" s="188" t="s">
        <v>41</v>
      </c>
      <c r="T45" s="189" t="s">
        <v>263</v>
      </c>
      <c r="U45" s="188" t="s">
        <v>41</v>
      </c>
      <c r="V45" s="188" t="s">
        <v>72</v>
      </c>
      <c r="W45" s="188" t="s">
        <v>101</v>
      </c>
      <c r="X45" s="190" t="s">
        <v>102</v>
      </c>
      <c r="Y45" s="189" t="s">
        <v>108</v>
      </c>
      <c r="Z45" s="188" t="s">
        <v>41</v>
      </c>
      <c r="AA45" s="195" t="s">
        <v>266</v>
      </c>
      <c r="AB45" s="183">
        <f t="shared" si="4"/>
        <v>100</v>
      </c>
      <c r="AC45" s="184">
        <f>IF(AND(L44=2,P45="Probabilidad",AB45&gt;=75),50,IF(AND(P45="Probabilidad",L44=2,AB45&gt;=50),37,IF(AND(P45="Probabilidad",L44=2,AB45&gt;=25),25,IF(AND(P45="Probabilidad",L44=2,AB45&gt;10),12,IF(AND(L44=1,P45="Probabilidad",AB45&gt;=75),100,IF(AND(P45="Probabilidad",L44=1,AB45&gt;=50),75,IF(AND(P45="Probabilidad",L44=1,AB45&gt;=25),50,IF(AND(P45="Probabilidad",L44=1,AB45&gt;10),25,IF(AND(P45="Probabilidad",L44=3,AB45&gt;=75),33.3,IF(AND(P45="Probabilidad",L44=3,AB45,AB45&gt;=50),25,IF(AND(P45="Probabilidad",L44=3,AB45&gt;=25),17,IF(AND(P45="Probabilidad",L44=3,AB45&gt;10),8,0))))))))))))</f>
        <v>33.299999999999997</v>
      </c>
      <c r="AD45" s="184">
        <f>IF(AND(L44=2,P45="Impacto",AB45&gt;=75),50,IF(AND(P45="Impacto",L44=2,AB45&gt;=50),37,IF(AND(P45="Impacto",L44=2,AB45&gt;=25),25,IF(AND(P45="Impacto",L44=2,AB45&gt;10),12,IF(AND(L44=1,P45="Impacto",AB45&gt;=75),100,IF(AND(P45="Impacto",L44=1,AB45&gt;=50),75,IF(AND(P45="Impacto",L44=1,AB45&gt;=25),50,IF(AND(P45="Impacto",L44=1,AB45&gt;10),25,IF(AND(P45="Impacto",L44=3,AB45&gt;=75),33.3,IF(AND(P45="Impacto",L44=3,AB45,AB45&gt;=50),25,IF(AND(P45="Impacto",L44=3,AB45&gt;=25),17,IF(AND(P45="Impacto",L44=3,AB45&gt;10),8,0))))))))))))</f>
        <v>0</v>
      </c>
      <c r="AE45" s="235"/>
      <c r="AF45" s="235"/>
      <c r="AG45" s="236"/>
      <c r="AH45" s="236"/>
      <c r="AI45" s="193"/>
      <c r="AJ45" s="237"/>
      <c r="AK45" s="237"/>
      <c r="AL45" s="238"/>
      <c r="AM45" s="233"/>
    </row>
    <row r="46" spans="1:39" ht="189.95" customHeight="1" x14ac:dyDescent="0.4">
      <c r="A46" s="191"/>
      <c r="B46" s="245"/>
      <c r="C46" s="249"/>
      <c r="D46" s="249"/>
      <c r="E46" s="244"/>
      <c r="F46" s="195" t="s">
        <v>245</v>
      </c>
      <c r="G46" s="249"/>
      <c r="H46" s="239"/>
      <c r="I46" s="240"/>
      <c r="J46" s="238"/>
      <c r="K46" s="185" t="s">
        <v>85</v>
      </c>
      <c r="L46" s="234"/>
      <c r="M46" s="195" t="s">
        <v>256</v>
      </c>
      <c r="N46" s="195" t="s">
        <v>257</v>
      </c>
      <c r="O46" s="195" t="s">
        <v>258</v>
      </c>
      <c r="P46" s="188" t="s">
        <v>22</v>
      </c>
      <c r="Q46" s="188" t="s">
        <v>42</v>
      </c>
      <c r="R46" s="188" t="str">
        <f t="shared" ref="R46:R79" si="5">+IF(Q46="No","N/A","")</f>
        <v>N/A</v>
      </c>
      <c r="S46" s="188" t="s">
        <v>41</v>
      </c>
      <c r="T46" s="189" t="s">
        <v>264</v>
      </c>
      <c r="U46" s="188" t="s">
        <v>41</v>
      </c>
      <c r="V46" s="189" t="s">
        <v>151</v>
      </c>
      <c r="W46" s="189" t="s">
        <v>167</v>
      </c>
      <c r="X46" s="190" t="s">
        <v>102</v>
      </c>
      <c r="Y46" s="189" t="s">
        <v>108</v>
      </c>
      <c r="Z46" s="188" t="s">
        <v>41</v>
      </c>
      <c r="AA46" s="195" t="s">
        <v>267</v>
      </c>
      <c r="AB46" s="183">
        <f t="shared" si="4"/>
        <v>68</v>
      </c>
      <c r="AC46" s="184">
        <f>IF(AND(L44=2,P46="Probabilidad",AB46&gt;=75),50,IF(AND(P46="Probabilidad",L44=2,AB46&gt;=50),37,IF(AND(P46="Probabilidad",L44=2,AB46&gt;=25),25,IF(AND(P46="Probabilidad",L44=2,AB46&gt;10),12,IF(AND(L44=1,P46="Probabilidad",AB46&gt;=75),100,IF(AND(P46="Probabilidad",L44=1,AB46&gt;=50),75,IF(AND(P46="Probabilidad",L44=1,AB46&gt;=25),50,IF(AND(P46="Probabilidad",L44=1,AB46&gt;10),25,IF(AND(P46="Probabilidad",L44=3,AB46&gt;=75),33.3,IF(AND(P46="Probabilidad",L44=3,AB46,AB46&gt;=50),25,IF(AND(P46="Probabilidad",L44=3,AB46&gt;=25),17,IF(AND(P46="Probabilidad",L44=3,AB46&gt;10),8,0))))))))))))</f>
        <v>25</v>
      </c>
      <c r="AD46" s="184">
        <f>IF(AND(L44=2,P46="Impacto",AB46&gt;=75),50,IF(AND(P46="Impacto",L44=2,AB46&gt;=50),37,IF(AND(P46="Impacto",L44=2,AB46&gt;=25),25,IF(AND(P46="Impacto",L44=2,AB46&gt;10),12,IF(AND(L44=1,P46="Impacto",AB46&gt;=75),100,IF(AND(P46="Impacto",L44=1,AB46&gt;=50),75,IF(AND(P46="Impacto",L44=1,AB46&gt;=25),50,IF(AND(P46="Impacto",L44=1,AB46&gt;10),25,IF(AND(P46="Impacto",L44=3,AB46&gt;=75),33.3,IF(AND(P46="Impacto",L44=3,AB46,AB46&gt;=50),25,IF(AND(P46="Impacto",L44=3,AB46&gt;=25),17,IF(AND(P46="Impacto",L44=3,AB46&gt;10),8,0))))))))))))</f>
        <v>0</v>
      </c>
      <c r="AE46" s="235"/>
      <c r="AF46" s="235"/>
      <c r="AG46" s="236"/>
      <c r="AH46" s="236"/>
      <c r="AI46" s="193"/>
      <c r="AJ46" s="237"/>
      <c r="AK46" s="237"/>
      <c r="AL46" s="238"/>
      <c r="AM46" s="233"/>
    </row>
    <row r="47" spans="1:39" ht="189.95" customHeight="1" x14ac:dyDescent="0.4">
      <c r="A47" s="191"/>
      <c r="B47" s="245">
        <v>10</v>
      </c>
      <c r="C47" s="241" t="s">
        <v>246</v>
      </c>
      <c r="D47" s="241" t="s">
        <v>247</v>
      </c>
      <c r="E47" s="244" t="s">
        <v>67</v>
      </c>
      <c r="F47" s="195" t="s">
        <v>248</v>
      </c>
      <c r="G47" s="241" t="s">
        <v>249</v>
      </c>
      <c r="H47" s="239" t="s">
        <v>16</v>
      </c>
      <c r="I47" s="240" t="s">
        <v>20</v>
      </c>
      <c r="J47" s="238" t="str">
        <f>IF(ISERROR(VLOOKUP(H47&amp;I47,Hoja1!$C$1:$F$25,4,0)),"",(VLOOKUP(H47&amp;I47,Hoja1!$C$1:$F$25,4,0)))</f>
        <v>Extremo</v>
      </c>
      <c r="K47" s="185" t="s">
        <v>85</v>
      </c>
      <c r="L47" s="234">
        <v>2</v>
      </c>
      <c r="M47" s="195" t="s">
        <v>259</v>
      </c>
      <c r="N47" s="195" t="s">
        <v>260</v>
      </c>
      <c r="O47" s="195" t="s">
        <v>258</v>
      </c>
      <c r="P47" s="188" t="s">
        <v>22</v>
      </c>
      <c r="Q47" s="188" t="s">
        <v>42</v>
      </c>
      <c r="R47" s="188" t="str">
        <f t="shared" si="5"/>
        <v>N/A</v>
      </c>
      <c r="S47" s="188" t="s">
        <v>41</v>
      </c>
      <c r="T47" s="189" t="s">
        <v>264</v>
      </c>
      <c r="U47" s="188" t="s">
        <v>41</v>
      </c>
      <c r="V47" s="189" t="s">
        <v>91</v>
      </c>
      <c r="W47" s="188" t="s">
        <v>101</v>
      </c>
      <c r="X47" s="190" t="s">
        <v>102</v>
      </c>
      <c r="Y47" s="189" t="s">
        <v>108</v>
      </c>
      <c r="Z47" s="188" t="s">
        <v>41</v>
      </c>
      <c r="AA47" s="195" t="s">
        <v>268</v>
      </c>
      <c r="AB47" s="183">
        <f t="shared" si="4"/>
        <v>68</v>
      </c>
      <c r="AC47" s="184">
        <f>IF(AND(L47=2,P47="Probabilidad",AB47&gt;=75),50,IF(AND(P47="Probabilidad",L47=2,AB47&gt;=50),37,IF(AND(P47="Probabilidad",L47=2,AB47&gt;=25),25,IF(AND(P47="Probabilidad",L47=2,AB47&gt;10),12,IF(AND(L47=1,P47="Probabilidad",AB47&gt;=75),100,IF(AND(P47="Probabilidad",L47=1,AB47&gt;=50),75,IF(AND(P47="Probabilidad",L47=1,AB47&gt;=25),50,IF(AND(P47="Probabilidad",L47=1,AB47&gt;10),25,IF(AND(P47="Probabilidad",L47=3,AB47&gt;=75),33.3,IF(AND(P47="Probabilidad",L47=3,AB47,AB47&gt;=50),25,IF(AND(P47="Probabilidad",L47=3,AB47&gt;=25),17,IF(AND(P47="Probabilidad",L47=3,AB47&gt;10),8,0))))))))))))</f>
        <v>37</v>
      </c>
      <c r="AD47" s="184">
        <f>IF(AND(L47=2,P47="Impacto",AB47&gt;=75),50,IF(AND(P47="Impacto",L47=2,AB47&gt;=50),37,IF(AND(P47="Impacto",L47=2,AB47&gt;=25),25,IF(AND(P47="Impacto",L47=2,AB47&gt;10),12,IF(AND(L47=1,P47="Impacto",AB47&gt;=75),100,IF(AND(P47="Impacto",L47=1,AB47&gt;=50),75,IF(AND(P47="Impacto",L47=1,AB47&gt;=25),50,IF(AND(P47="Impacto",L47=1,AB47&gt;10),25,IF(AND(P47="Impacto",L47=3,AB47&gt;=75),33.3,IF(AND(P47="Impacto",L47=3,AB47,AB47&gt;=50),25,IF(AND(P47="Impacto",L47=3,AB47&gt;=25),17,IF(AND(P47="Impacto",L47=3,AB47&gt;10),8,0))))))))))))</f>
        <v>0</v>
      </c>
      <c r="AE47" s="235">
        <f>SUM(AC47:AC49)</f>
        <v>74</v>
      </c>
      <c r="AF47" s="235">
        <f>SUM(AD47:AD49)</f>
        <v>0</v>
      </c>
      <c r="AG47" s="236">
        <f>IF(AE47&gt;75,2,IF(AE47&gt;=30,1,"-"))</f>
        <v>1</v>
      </c>
      <c r="AH47" s="236" t="str">
        <f>IF(AF47&gt;75,2,IF(AF47&gt;=30,1,"-"))</f>
        <v>-</v>
      </c>
      <c r="AI47" s="193"/>
      <c r="AJ47" s="237" t="str">
        <f>IF(AND(AG47=2,H47="Casi seguro"),Hoja1!$J$5,IF(AND(AG47=2,H47="Posible"),Hoja1!$J$6,IF(AND(H47="Improbable",AG47=2),Hoja1!#REF!,IF(AND(AG47=1,H47="Casi seguro"),Hoja1!$J$4,IF(AND(AG47=1,H47="Posible"),Hoja1!$J$5,IF(AND(AG47=1,H47="Improbable"),Hoja1!$J$6,'FT-Mapa de riesgos'!H47))))))</f>
        <v>Posible</v>
      </c>
      <c r="AK47" s="237" t="str">
        <f>IF(AND(AH47=2,I47="Catastrofico"),Hoja1!$K$5,IF(AND(AH47=2,I47="Mayor"),Hoja1!$K$6,IF(AND(AH47=2,I47="Moderado"),Hoja1!$K$7,IF(AND(AH47=1,I47="Catastrofico"),Hoja1!$K$4,IF(AND(AH47=1,I47="Mayor "),Hoja1!$K$5,IF(AND(AH47=1,I47="Moderado"),Hoja1!$K$6,IF(AND(AH47=2,I47="Menor"),Hoja1!$K$7,'FT-Mapa de riesgos'!I47)))))))</f>
        <v xml:space="preserve">Mayor </v>
      </c>
      <c r="AL47" s="238" t="str">
        <f>IF(ISERROR(VLOOKUP(AJ47&amp;AK47,Hoja1!$C$1:$F$25,4,0)),"",(VLOOKUP(AJ47&amp;AK47,Hoja1!$C$1:$F$25,4,0)))</f>
        <v>Extremo</v>
      </c>
      <c r="AM47" s="233"/>
    </row>
    <row r="48" spans="1:39" ht="189.95" customHeight="1" x14ac:dyDescent="0.4">
      <c r="A48" s="191"/>
      <c r="B48" s="245"/>
      <c r="C48" s="242"/>
      <c r="D48" s="242"/>
      <c r="E48" s="244"/>
      <c r="F48" s="195" t="s">
        <v>250</v>
      </c>
      <c r="G48" s="242"/>
      <c r="H48" s="239"/>
      <c r="I48" s="240"/>
      <c r="J48" s="238"/>
      <c r="K48" s="185" t="s">
        <v>85</v>
      </c>
      <c r="L48" s="234"/>
      <c r="M48" s="195" t="s">
        <v>259</v>
      </c>
      <c r="N48" s="195" t="s">
        <v>260</v>
      </c>
      <c r="O48" s="195" t="s">
        <v>258</v>
      </c>
      <c r="P48" s="188" t="s">
        <v>22</v>
      </c>
      <c r="Q48" s="188" t="s">
        <v>42</v>
      </c>
      <c r="R48" s="188" t="str">
        <f t="shared" si="5"/>
        <v>N/A</v>
      </c>
      <c r="S48" s="188" t="s">
        <v>41</v>
      </c>
      <c r="T48" s="189" t="s">
        <v>264</v>
      </c>
      <c r="U48" s="188" t="s">
        <v>41</v>
      </c>
      <c r="V48" s="189" t="s">
        <v>91</v>
      </c>
      <c r="W48" s="188" t="s">
        <v>101</v>
      </c>
      <c r="X48" s="190" t="s">
        <v>102</v>
      </c>
      <c r="Y48" s="189" t="s">
        <v>108</v>
      </c>
      <c r="Z48" s="188" t="s">
        <v>41</v>
      </c>
      <c r="AA48" s="195" t="s">
        <v>268</v>
      </c>
      <c r="AB48" s="183">
        <f t="shared" si="4"/>
        <v>68</v>
      </c>
      <c r="AC48" s="184">
        <f>IF(AND(L47=2,P48="Probabilidad",AB48&gt;=75),50,IF(AND(P48="Probabilidad",L47=2,AB48&gt;=50),37,IF(AND(P48="Probabilidad",L47=2,AB48&gt;=25),25,IF(AND(P48="Probabilidad",L47=2,AB48&gt;10),12,IF(AND(L47=1,P48="Probabilidad",AB48&gt;=75),100,IF(AND(P48="Probabilidad",L47=1,AB48&gt;=50),75,IF(AND(P48="Probabilidad",L47=1,AB48&gt;=25),50,IF(AND(P48="Probabilidad",L47=1,AB48&gt;10),25,IF(AND(P48="Probabilidad",L47=3,AB48&gt;=75),33.3,IF(AND(P48="Probabilidad",L47=3,AB48,AB48&gt;=50),25,IF(AND(P48="Probabilidad",L47=3,AB48&gt;=25),17,IF(AND(P48="Probabilidad",L47=3,AB48&gt;10),8,0))))))))))))</f>
        <v>37</v>
      </c>
      <c r="AD48" s="184">
        <f>IF(AND(L47=2,P48="Impacto",AB48&gt;=75),50,IF(AND(P48="Impacto",L47=2,AB48&gt;=50),37,IF(AND(P48="Impacto",L47=2,AB48&gt;=25),25,IF(AND(P48="Impacto",L47=2,AB48&gt;10),12,IF(AND(L47=1,P48="Impacto",AB48&gt;=75),100,IF(AND(P48="Impacto",L47=1,AB48&gt;=50),75,IF(AND(P48="Impacto",L47=1,AB48&gt;=25),50,IF(AND(P48="Impacto",L47=1,AB48&gt;10),25,IF(AND(P48="Impacto",L47=3,AB48&gt;=75),33.3,IF(AND(P48="Impacto",L47=3,AB48,AB48&gt;=50),25,IF(AND(P48="Impacto",L47=3,AB48&gt;=25),17,IF(AND(P48="Impacto",L47=3,AB48&gt;10),8,0))))))))))))</f>
        <v>0</v>
      </c>
      <c r="AE48" s="235"/>
      <c r="AF48" s="235"/>
      <c r="AG48" s="236"/>
      <c r="AH48" s="236"/>
      <c r="AI48" s="193"/>
      <c r="AJ48" s="237"/>
      <c r="AK48" s="237"/>
      <c r="AL48" s="238"/>
      <c r="AM48" s="233"/>
    </row>
    <row r="49" spans="1:39" ht="73.5" hidden="1" customHeight="1" x14ac:dyDescent="0.4">
      <c r="A49" s="191"/>
      <c r="B49" s="245"/>
      <c r="C49" s="243"/>
      <c r="D49" s="243"/>
      <c r="E49" s="244"/>
      <c r="F49" s="198"/>
      <c r="G49" s="243"/>
      <c r="H49" s="239"/>
      <c r="I49" s="240"/>
      <c r="J49" s="238"/>
      <c r="K49" s="187"/>
      <c r="L49" s="234"/>
      <c r="M49" s="212"/>
      <c r="N49" s="212"/>
      <c r="O49" s="212"/>
      <c r="P49" s="188"/>
      <c r="Q49" s="188"/>
      <c r="R49" s="188" t="str">
        <f t="shared" si="5"/>
        <v/>
      </c>
      <c r="S49" s="188"/>
      <c r="T49" s="188" t="str">
        <f t="shared" ref="T49:T76" si="6">+IF(S49="No","N/A","")</f>
        <v/>
      </c>
      <c r="U49" s="188"/>
      <c r="V49" s="189"/>
      <c r="W49" s="188"/>
      <c r="X49" s="190"/>
      <c r="Y49" s="188"/>
      <c r="Z49" s="188"/>
      <c r="AA49" s="188" t="str">
        <f t="shared" ref="AA49:AA76" si="7">+IF(Z49="No","N/A","")</f>
        <v/>
      </c>
      <c r="AB49" s="183">
        <f t="shared" si="4"/>
        <v>0</v>
      </c>
      <c r="AC49" s="184">
        <f>IF(AND(L47=2,P49="Probabilidad",AB49&gt;=75),50,IF(AND(P49="Probabilidad",L47=2,AB49&gt;=50),37,IF(AND(P49="Probabilidad",L47=2,AB49&gt;=25),25,IF(AND(P49="Probabilidad",L47=2,AB49&gt;10),12,IF(AND(L47=1,P49="Probabilidad",AB49&gt;=75),100,IF(AND(P49="Probabilidad",L47=1,AB49&gt;=50),75,IF(AND(P49="Probabilidad",L47=1,AB49&gt;=25),50,IF(AND(P49="Probabilidad",L47=1,AB49&gt;10),25,IF(AND(P49="Probabilidad",L47=3,AB49&gt;=75),33.3,IF(AND(P49="Probabilidad",L47=3,AB49,AB49&gt;=50),25,IF(AND(P49="Probabilidad",L47=3,AB49&gt;=25),17,IF(AND(P49="Probabilidad",L47=3,AB49&gt;10),8,0))))))))))))</f>
        <v>0</v>
      </c>
      <c r="AD49" s="184">
        <f>IF(AND(L47=2,P49="Impacto",AB49&gt;=75),50,IF(AND(P49="Impacto",L47=2,AB49&gt;=50),37,IF(AND(P49="Impacto",L47=2,AB49&gt;=25),25,IF(AND(P49="Impacto",L47=2,AB49&gt;10),12,IF(AND(L47=1,P49="Impacto",AB49&gt;=75),100,IF(AND(P49="Impacto",L47=1,AB49&gt;=50),75,IF(AND(P49="Impacto",L47=1,AB49&gt;=25),50,IF(AND(P49="Impacto",L47=1,AB49&gt;10),25,IF(AND(P49="Impacto",L47=3,AB49&gt;=75),33.3,IF(AND(P49="Impacto",L47=3,AB49,AB49&gt;=50),25,IF(AND(P49="Impacto",L47=3,AB49&gt;=25),17,IF(AND(P49="Impacto",L47=3,AB49&gt;10),8,0))))))))))))</f>
        <v>0</v>
      </c>
      <c r="AE49" s="235"/>
      <c r="AF49" s="235"/>
      <c r="AG49" s="236"/>
      <c r="AH49" s="236"/>
      <c r="AI49" s="193"/>
      <c r="AJ49" s="237"/>
      <c r="AK49" s="237"/>
      <c r="AL49" s="238"/>
      <c r="AM49" s="231"/>
    </row>
    <row r="50" spans="1:39" ht="189.95" customHeight="1" x14ac:dyDescent="0.4">
      <c r="A50" s="191"/>
      <c r="B50" s="245">
        <v>11</v>
      </c>
      <c r="C50" s="246" t="s">
        <v>269</v>
      </c>
      <c r="D50" s="246" t="s">
        <v>270</v>
      </c>
      <c r="E50" s="244" t="s">
        <v>35</v>
      </c>
      <c r="F50" s="195" t="s">
        <v>271</v>
      </c>
      <c r="G50" s="246" t="s">
        <v>272</v>
      </c>
      <c r="H50" s="239" t="s">
        <v>15</v>
      </c>
      <c r="I50" s="240" t="s">
        <v>19</v>
      </c>
      <c r="J50" s="238" t="str">
        <f>IF(ISERROR(VLOOKUP(H50&amp;I50,Hoja1!$C$1:$F$25,4,0)),"",(VLOOKUP(H50&amp;I50,Hoja1!$C$1:$F$25,4,0)))</f>
        <v>Alto</v>
      </c>
      <c r="K50" s="185" t="s">
        <v>85</v>
      </c>
      <c r="L50" s="234">
        <v>3</v>
      </c>
      <c r="M50" s="195" t="s">
        <v>297</v>
      </c>
      <c r="N50" s="195" t="s">
        <v>281</v>
      </c>
      <c r="O50" s="195" t="s">
        <v>282</v>
      </c>
      <c r="P50" s="188" t="s">
        <v>22</v>
      </c>
      <c r="Q50" s="188" t="s">
        <v>42</v>
      </c>
      <c r="R50" s="188" t="str">
        <f t="shared" si="5"/>
        <v>N/A</v>
      </c>
      <c r="S50" s="188" t="s">
        <v>41</v>
      </c>
      <c r="T50" s="189" t="s">
        <v>298</v>
      </c>
      <c r="U50" s="188" t="s">
        <v>41</v>
      </c>
      <c r="V50" s="189" t="s">
        <v>91</v>
      </c>
      <c r="W50" s="188" t="s">
        <v>101</v>
      </c>
      <c r="X50" s="190" t="s">
        <v>102</v>
      </c>
      <c r="Y50" s="189" t="s">
        <v>108</v>
      </c>
      <c r="Z50" s="188" t="s">
        <v>41</v>
      </c>
      <c r="AA50" s="195" t="s">
        <v>303</v>
      </c>
      <c r="AB50" s="183">
        <f t="shared" si="4"/>
        <v>68</v>
      </c>
      <c r="AC50" s="184">
        <f>IF(AND(L50=2,P50="Probabilidad",AB50&gt;=75),50,IF(AND(P50="Probabilidad",L50=2,AB50&gt;=50),37,IF(AND(P50="Probabilidad",L50=2,AB50&gt;=25),25,IF(AND(P50="Probabilidad",L50=2,AB50&gt;10),12,IF(AND(L50=1,P50="Probabilidad",AB50&gt;=75),100,IF(AND(P50="Probabilidad",L50=1,AB50&gt;=50),75,IF(AND(P50="Probabilidad",L50=1,AB50&gt;=25),50,IF(AND(P50="Probabilidad",L50=1,AB50&gt;10),25,IF(AND(P50="Probabilidad",L50=3,AB50&gt;=75),33.3,IF(AND(P50="Probabilidad",L50=3,AB50,AB50&gt;=50),25,IF(AND(P50="Probabilidad",L50=3,AB50&gt;=25),17,IF(AND(P50="Probabilidad",L50=3,AB50&gt;10),8,0))))))))))))</f>
        <v>25</v>
      </c>
      <c r="AD50" s="184">
        <f>IF(AND(L50=2,P50="Impacto",AB50&gt;=75),50,IF(AND(P50="Impacto",L50=2,AB50&gt;=50),37,IF(AND(P50="Impacto",L50=2,AB50&gt;=25),25,IF(AND(P50="Impacto",L50=2,AB50&gt;10),12,IF(AND(L50=1,P50="Impacto",AB50&gt;=75),100,IF(AND(P50="Impacto",L50=1,AB50&gt;=50),75,IF(AND(P50="Impacto",L50=1,AB50&gt;=25),50,IF(AND(P50="Impacto",L50=1,AB50&gt;10),25,IF(AND(P50="Impacto",L50=3,AB50&gt;=75),33.3,IF(AND(P50="Impacto",L50=3,AB50,AB50&gt;=50),25,IF(AND(P50="Impacto",L50=3,AB50&gt;=25),17,IF(AND(P50="Impacto",L50=3,AB50&gt;10),8,0))))))))))))</f>
        <v>0</v>
      </c>
      <c r="AE50" s="235">
        <f>SUM(AC50:AC52)</f>
        <v>75</v>
      </c>
      <c r="AF50" s="235">
        <f>SUM(AD50:AD52)</f>
        <v>0</v>
      </c>
      <c r="AG50" s="236">
        <f>IF(AE50&gt;75,2,IF(AE50&gt;=30,1,"-"))</f>
        <v>1</v>
      </c>
      <c r="AH50" s="236" t="str">
        <f>IF(AF50&gt;75,2,IF(AF50&gt;=30,1,"-"))</f>
        <v>-</v>
      </c>
      <c r="AI50" s="193"/>
      <c r="AJ50" s="237" t="str">
        <f>IF(AND(AG50=2,H50="Casi seguro"),Hoja1!$J$5,IF(AND(AG50=2,H50="Posible"),Hoja1!$J$6,IF(AND(H50="Improbable",AG50=2),Hoja1!#REF!,IF(AND(AG50=1,H50="Casi seguro"),Hoja1!$J$4,IF(AND(AG50=1,H50="Posible"),Hoja1!$J$5,IF(AND(AG50=1,H50="Improbable"),Hoja1!$J$6,'FT-Mapa de riesgos'!H50))))))</f>
        <v>Improbable</v>
      </c>
      <c r="AK50" s="237" t="str">
        <f>IF(AND(AH50=2,I50="Catastrofico"),Hoja1!$K$5,IF(AND(AH50=2,I50="Mayor"),Hoja1!$K$6,IF(AND(AH50=2,I50="Moderado"),Hoja1!$K$7,IF(AND(AH50=1,I50="Catastrofico"),Hoja1!$K$4,IF(AND(AH50=1,I50="Mayor "),Hoja1!$K$5,IF(AND(AH50=1,I50="Moderado"),Hoja1!$K$6,IF(AND(AH50=2,I50="Menor"),Hoja1!$K$7,'FT-Mapa de riesgos'!I50)))))))</f>
        <v>Moderado</v>
      </c>
      <c r="AL50" s="238" t="str">
        <f>IF(ISERROR(VLOOKUP(AJ50&amp;AK50,Hoja1!$C$1:$F$25,4,0)),"",(VLOOKUP(AJ50&amp;AK50,Hoja1!$C$1:$F$25,4,0)))</f>
        <v>Moderado</v>
      </c>
      <c r="AM50" s="233" t="s">
        <v>176</v>
      </c>
    </row>
    <row r="51" spans="1:39" ht="225.75" customHeight="1" x14ac:dyDescent="0.4">
      <c r="A51" s="191"/>
      <c r="B51" s="245"/>
      <c r="C51" s="247"/>
      <c r="D51" s="247"/>
      <c r="E51" s="244"/>
      <c r="F51" s="195" t="s">
        <v>273</v>
      </c>
      <c r="G51" s="247"/>
      <c r="H51" s="239"/>
      <c r="I51" s="240"/>
      <c r="J51" s="238"/>
      <c r="K51" s="185" t="s">
        <v>85</v>
      </c>
      <c r="L51" s="234"/>
      <c r="M51" s="195" t="s">
        <v>283</v>
      </c>
      <c r="N51" s="195" t="s">
        <v>284</v>
      </c>
      <c r="O51" s="195" t="s">
        <v>285</v>
      </c>
      <c r="P51" s="188" t="s">
        <v>22</v>
      </c>
      <c r="Q51" s="188" t="s">
        <v>42</v>
      </c>
      <c r="R51" s="188" t="str">
        <f t="shared" si="5"/>
        <v>N/A</v>
      </c>
      <c r="S51" s="188" t="s">
        <v>41</v>
      </c>
      <c r="T51" s="189" t="s">
        <v>299</v>
      </c>
      <c r="U51" s="188" t="s">
        <v>41</v>
      </c>
      <c r="V51" s="189" t="s">
        <v>73</v>
      </c>
      <c r="W51" s="189" t="s">
        <v>101</v>
      </c>
      <c r="X51" s="190" t="s">
        <v>102</v>
      </c>
      <c r="Y51" s="189" t="s">
        <v>108</v>
      </c>
      <c r="Z51" s="188" t="s">
        <v>41</v>
      </c>
      <c r="AA51" s="195" t="s">
        <v>304</v>
      </c>
      <c r="AB51" s="183">
        <f t="shared" si="4"/>
        <v>68</v>
      </c>
      <c r="AC51" s="184">
        <f>IF(AND(L50=2,P51="Probabilidad",AB51&gt;=75),50,IF(AND(P51="Probabilidad",L50=2,AB51&gt;=50),37,IF(AND(P51="Probabilidad",L50=2,AB51&gt;=25),25,IF(AND(P51="Probabilidad",L50=2,AB51&gt;10),12,IF(AND(L50=1,P51="Probabilidad",AB51&gt;=75),100,IF(AND(P51="Probabilidad",L50=1,AB51&gt;=50),75,IF(AND(P51="Probabilidad",L50=1,AB51&gt;=25),50,IF(AND(P51="Probabilidad",L50=1,AB51&gt;10),25,IF(AND(P51="Probabilidad",L50=3,AB51&gt;=75),33.3,IF(AND(P51="Probabilidad",L50=3,AB51,AB51&gt;=50),25,IF(AND(P51="Probabilidad",L50=3,AB51&gt;=25),17,IF(AND(P51="Probabilidad",L50=3,AB51&gt;10),8,0))))))))))))</f>
        <v>25</v>
      </c>
      <c r="AD51" s="184">
        <f>IF(AND(L50=2,P51="Impacto",AB51&gt;=75),50,IF(AND(P51="Impacto",L50=2,AB51&gt;=50),37,IF(AND(P51="Impacto",L50=2,AB51&gt;=25),25,IF(AND(P51="Impacto",L50=2,AB51&gt;10),12,IF(AND(L50=1,P51="Impacto",AB51&gt;=75),100,IF(AND(P51="Impacto",L50=1,AB51&gt;=50),75,IF(AND(P51="Impacto",L50=1,AB51&gt;=25),50,IF(AND(P51="Impacto",L50=1,AB51&gt;10),25,IF(AND(P51="Impacto",L50=3,AB51&gt;=75),33.3,IF(AND(P51="Impacto",L50=3,AB51,AB51&gt;=50),25,IF(AND(P51="Impacto",L50=3,AB51&gt;=25),17,IF(AND(P51="Impacto",L50=3,AB51&gt;10),8,0))))))))))))</f>
        <v>0</v>
      </c>
      <c r="AE51" s="235"/>
      <c r="AF51" s="235"/>
      <c r="AG51" s="236"/>
      <c r="AH51" s="236"/>
      <c r="AI51" s="193"/>
      <c r="AJ51" s="237"/>
      <c r="AK51" s="237"/>
      <c r="AL51" s="238"/>
      <c r="AM51" s="233"/>
    </row>
    <row r="52" spans="1:39" ht="189.95" customHeight="1" x14ac:dyDescent="0.4">
      <c r="A52" s="191"/>
      <c r="B52" s="245"/>
      <c r="C52" s="248"/>
      <c r="D52" s="248"/>
      <c r="E52" s="244"/>
      <c r="F52" s="195" t="s">
        <v>274</v>
      </c>
      <c r="G52" s="248"/>
      <c r="H52" s="239"/>
      <c r="I52" s="240"/>
      <c r="J52" s="238"/>
      <c r="K52" s="185" t="s">
        <v>85</v>
      </c>
      <c r="L52" s="234"/>
      <c r="M52" s="195" t="s">
        <v>286</v>
      </c>
      <c r="N52" s="195" t="s">
        <v>287</v>
      </c>
      <c r="O52" s="195" t="s">
        <v>288</v>
      </c>
      <c r="P52" s="188" t="s">
        <v>22</v>
      </c>
      <c r="Q52" s="188" t="s">
        <v>42</v>
      </c>
      <c r="R52" s="188" t="str">
        <f t="shared" si="5"/>
        <v>N/A</v>
      </c>
      <c r="S52" s="188" t="s">
        <v>41</v>
      </c>
      <c r="T52" s="189" t="s">
        <v>300</v>
      </c>
      <c r="U52" s="188" t="s">
        <v>41</v>
      </c>
      <c r="V52" s="189" t="s">
        <v>90</v>
      </c>
      <c r="W52" s="189" t="s">
        <v>101</v>
      </c>
      <c r="X52" s="190" t="s">
        <v>102</v>
      </c>
      <c r="Y52" s="189" t="s">
        <v>108</v>
      </c>
      <c r="Z52" s="188" t="s">
        <v>41</v>
      </c>
      <c r="AA52" s="195" t="s">
        <v>305</v>
      </c>
      <c r="AB52" s="183">
        <f t="shared" si="4"/>
        <v>68</v>
      </c>
      <c r="AC52" s="184">
        <f>IF(AND(L50=2,P52="Probabilidad",AB52&gt;=75),50,IF(AND(P52="Probabilidad",L50=2,AB52&gt;=50),37,IF(AND(P52="Probabilidad",L50=2,AB52&gt;=25),25,IF(AND(P52="Probabilidad",L50=2,AB52&gt;10),12,IF(AND(L50=1,P52="Probabilidad",AB52&gt;=75),100,IF(AND(P52="Probabilidad",L50=1,AB52&gt;=50),75,IF(AND(P52="Probabilidad",L50=1,AB52&gt;=25),50,IF(AND(P52="Probabilidad",L50=1,AB52&gt;10),25,IF(AND(P52="Probabilidad",L50=3,AB52&gt;=75),33.3,IF(AND(P52="Probabilidad",L50=3,AB52,AB52&gt;=50),25,IF(AND(P52="Probabilidad",L50=3,AB52&gt;=25),17,IF(AND(P52="Probabilidad",L50=3,AB52&gt;10),8,0))))))))))))</f>
        <v>25</v>
      </c>
      <c r="AD52" s="184">
        <f>IF(AND(L50=2,P52="Impacto",AB52&gt;=75),50,IF(AND(P52="Impacto",L50=2,AB52&gt;=50),37,IF(AND(P52="Impacto",L50=2,AB52&gt;=25),25,IF(AND(P52="Impacto",L50=2,AB52&gt;10),12,IF(AND(L50=1,P52="Impacto",AB52&gt;=75),100,IF(AND(P52="Impacto",L50=1,AB52&gt;=50),75,IF(AND(P52="Impacto",L50=1,AB52&gt;=25),50,IF(AND(P52="Impacto",L50=1,AB52&gt;10),25,IF(AND(P52="Impacto",L50=3,AB52&gt;=75),33.3,IF(AND(P52="Impacto",L50=3,AB52,AB52&gt;=50),25,IF(AND(P52="Impacto",L50=3,AB52&gt;=25),17,IF(AND(P52="Impacto",L50=3,AB52&gt;10),8,0))))))))))))</f>
        <v>0</v>
      </c>
      <c r="AE52" s="235"/>
      <c r="AF52" s="235"/>
      <c r="AG52" s="236"/>
      <c r="AH52" s="236"/>
      <c r="AI52" s="193"/>
      <c r="AJ52" s="237"/>
      <c r="AK52" s="237"/>
      <c r="AL52" s="238"/>
      <c r="AM52" s="233"/>
    </row>
    <row r="53" spans="1:39" ht="189.95" customHeight="1" x14ac:dyDescent="0.4">
      <c r="A53" s="191"/>
      <c r="B53" s="245">
        <v>12</v>
      </c>
      <c r="C53" s="246" t="s">
        <v>275</v>
      </c>
      <c r="D53" s="246" t="s">
        <v>276</v>
      </c>
      <c r="E53" s="244" t="s">
        <v>79</v>
      </c>
      <c r="F53" s="195" t="s">
        <v>277</v>
      </c>
      <c r="G53" s="246" t="s">
        <v>278</v>
      </c>
      <c r="H53" s="239" t="s">
        <v>15</v>
      </c>
      <c r="I53" s="240" t="s">
        <v>18</v>
      </c>
      <c r="J53" s="238" t="str">
        <f>IF(ISERROR(VLOOKUP(H53&amp;I53,Hoja1!$C$1:$F$25,4,0)),"",(VLOOKUP(H53&amp;I53,Hoja1!$C$1:$F$25,4,0)))</f>
        <v>Moderado</v>
      </c>
      <c r="K53" s="185" t="s">
        <v>85</v>
      </c>
      <c r="L53" s="234">
        <v>3</v>
      </c>
      <c r="M53" s="195" t="s">
        <v>289</v>
      </c>
      <c r="N53" s="195" t="s">
        <v>290</v>
      </c>
      <c r="O53" s="195" t="s">
        <v>291</v>
      </c>
      <c r="P53" s="188" t="s">
        <v>22</v>
      </c>
      <c r="Q53" s="188" t="s">
        <v>42</v>
      </c>
      <c r="R53" s="188" t="str">
        <f t="shared" si="5"/>
        <v>N/A</v>
      </c>
      <c r="S53" s="188" t="s">
        <v>41</v>
      </c>
      <c r="T53" s="189" t="s">
        <v>301</v>
      </c>
      <c r="U53" s="188" t="s">
        <v>41</v>
      </c>
      <c r="V53" s="189" t="s">
        <v>151</v>
      </c>
      <c r="W53" s="189" t="s">
        <v>101</v>
      </c>
      <c r="X53" s="190" t="s">
        <v>102</v>
      </c>
      <c r="Y53" s="189" t="s">
        <v>108</v>
      </c>
      <c r="Z53" s="188" t="s">
        <v>41</v>
      </c>
      <c r="AA53" s="195" t="s">
        <v>306</v>
      </c>
      <c r="AB53" s="183">
        <f t="shared" si="4"/>
        <v>68</v>
      </c>
      <c r="AC53" s="184">
        <f>IF(AND(L53=2,P53="Probabilidad",AB53&gt;=75),50,IF(AND(P53="Probabilidad",L53=2,AB53&gt;=50),37,IF(AND(P53="Probabilidad",L53=2,AB53&gt;=25),25,IF(AND(P53="Probabilidad",L53=2,AB53&gt;10),12,IF(AND(L53=1,P53="Probabilidad",AB53&gt;=75),100,IF(AND(P53="Probabilidad",L53=1,AB53&gt;=50),75,IF(AND(P53="Probabilidad",L53=1,AB53&gt;=25),50,IF(AND(P53="Probabilidad",L53=1,AB53&gt;10),25,IF(AND(P53="Probabilidad",L53=3,AB53&gt;=75),33.3,IF(AND(P53="Probabilidad",L53=3,AB53,AB53&gt;=50),25,IF(AND(P53="Probabilidad",L53=3,AB53&gt;=25),17,IF(AND(P53="Probabilidad",L53=3,AB53&gt;10),8,0))))))))))))</f>
        <v>25</v>
      </c>
      <c r="AD53" s="184">
        <f>IF(AND(L53=2,P53="Impacto",AB53&gt;=75),50,IF(AND(P53="Impacto",L53=2,AB53&gt;=50),37,IF(AND(P53="Impacto",L53=2,AB53&gt;=25),25,IF(AND(P53="Impacto",L53=2,AB53&gt;10),12,IF(AND(L53=1,P53="Impacto",AB53&gt;=75),100,IF(AND(P53="Impacto",L53=1,AB53&gt;=50),75,IF(AND(P53="Impacto",L53=1,AB53&gt;=25),50,IF(AND(P53="Impacto",L53=1,AB53&gt;10),25,IF(AND(P53="Impacto",L53=3,AB53&gt;=75),33.3,IF(AND(P53="Impacto",L53=3,AB53,AB53&gt;=50),25,IF(AND(P53="Impacto",L53=3,AB53&gt;=25),17,IF(AND(P53="Impacto",L53=3,AB53&gt;10),8,0))))))))))))</f>
        <v>0</v>
      </c>
      <c r="AE53" s="235">
        <f>SUM(AC53:AC55)</f>
        <v>83.3</v>
      </c>
      <c r="AF53" s="235">
        <f>SUM(AD53:AD55)</f>
        <v>0</v>
      </c>
      <c r="AG53" s="236">
        <f>IF(AE53&gt;75,2,IF(AE53&gt;=30,1,"-"))</f>
        <v>2</v>
      </c>
      <c r="AH53" s="236" t="str">
        <f>IF(AF53&gt;75,2,IF(AF53&gt;=30,1,"-"))</f>
        <v>-</v>
      </c>
      <c r="AI53" s="193"/>
      <c r="AJ53" s="237" t="str">
        <f>IF(AND(AG53=2,H53="Casi seguro"),Hoja1!$J$5,IF(AND(AG53=2,H53="Posible"),Hoja1!$J$6,IF(AND(H53="Improbable",AG53=2),Hoja1!#REF!,IF(AND(AG53=1,H53="Casi seguro"),Hoja1!$J$4,IF(AND(AG53=1,H53="Posible"),Hoja1!$J$5,IF(AND(AG53=1,H53="Improbable"),Hoja1!$J$6,'FT-Mapa de riesgos'!H53))))))</f>
        <v>Rara Vez</v>
      </c>
      <c r="AK53" s="237" t="str">
        <f>IF(AND(AH53=2,I53="Catastrofico"),Hoja1!$K$5,IF(AND(AH53=2,I53="Mayor"),Hoja1!$K$6,IF(AND(AH53=2,I53="Moderado"),Hoja1!$K$7,IF(AND(AH53=1,I53="Catastrofico"),Hoja1!$K$4,IF(AND(AH53=1,I53="Mayor "),Hoja1!$K$5,IF(AND(AH53=1,I53="Moderado"),Hoja1!$K$6,IF(AND(AH53=2,I53="Menor"),Hoja1!$K$7,'FT-Mapa de riesgos'!I53)))))))</f>
        <v>Menor</v>
      </c>
      <c r="AL53" s="238" t="str">
        <f>IF(ISERROR(VLOOKUP(AJ53&amp;AK53,Hoja1!$C$1:$F$25,4,0)),"",(VLOOKUP(AJ53&amp;AK53,Hoja1!$C$1:$F$25,4,0)))</f>
        <v>Bajo</v>
      </c>
      <c r="AM53" s="233"/>
    </row>
    <row r="54" spans="1:39" ht="234.75" customHeight="1" x14ac:dyDescent="0.4">
      <c r="A54" s="191"/>
      <c r="B54" s="245"/>
      <c r="C54" s="247"/>
      <c r="D54" s="247"/>
      <c r="E54" s="244"/>
      <c r="F54" s="195" t="s">
        <v>279</v>
      </c>
      <c r="G54" s="247"/>
      <c r="H54" s="239"/>
      <c r="I54" s="240"/>
      <c r="J54" s="238"/>
      <c r="K54" s="185" t="s">
        <v>85</v>
      </c>
      <c r="L54" s="234"/>
      <c r="M54" s="195" t="s">
        <v>292</v>
      </c>
      <c r="N54" s="195" t="s">
        <v>293</v>
      </c>
      <c r="O54" s="195" t="s">
        <v>294</v>
      </c>
      <c r="P54" s="188" t="s">
        <v>22</v>
      </c>
      <c r="Q54" s="188" t="s">
        <v>41</v>
      </c>
      <c r="R54" s="189" t="s">
        <v>262</v>
      </c>
      <c r="S54" s="188" t="s">
        <v>41</v>
      </c>
      <c r="T54" s="189" t="s">
        <v>301</v>
      </c>
      <c r="U54" s="188" t="s">
        <v>41</v>
      </c>
      <c r="V54" s="189" t="s">
        <v>151</v>
      </c>
      <c r="W54" s="189" t="s">
        <v>101</v>
      </c>
      <c r="X54" s="190" t="s">
        <v>102</v>
      </c>
      <c r="Y54" s="189" t="s">
        <v>108</v>
      </c>
      <c r="Z54" s="188" t="s">
        <v>41</v>
      </c>
      <c r="AA54" s="195" t="s">
        <v>307</v>
      </c>
      <c r="AB54" s="183">
        <f t="shared" si="4"/>
        <v>100</v>
      </c>
      <c r="AC54" s="184">
        <f>IF(AND(L53=2,P54="Probabilidad",AB54&gt;=75),50,IF(AND(P54="Probabilidad",L53=2,AB54&gt;=50),37,IF(AND(P54="Probabilidad",L53=2,AB54&gt;=25),25,IF(AND(P54="Probabilidad",L53=2,AB54&gt;10),12,IF(AND(L53=1,P54="Probabilidad",AB54&gt;=75),100,IF(AND(P54="Probabilidad",L53=1,AB54&gt;=50),75,IF(AND(P54="Probabilidad",L53=1,AB54&gt;=25),50,IF(AND(P54="Probabilidad",L53=1,AB54&gt;10),25,IF(AND(P54="Probabilidad",L53=3,AB54&gt;=75),33.3,IF(AND(P54="Probabilidad",L53=3,AB54,AB54&gt;=50),25,IF(AND(P54="Probabilidad",L53=3,AB54&gt;=25),17,IF(AND(P54="Probabilidad",L53=3,AB54&gt;10),8,0))))))))))))</f>
        <v>33.299999999999997</v>
      </c>
      <c r="AD54" s="184">
        <f>IF(AND(L53=2,P54="Impacto",AB54&gt;=75),50,IF(AND(P54="Impacto",L53=2,AB54&gt;=50),37,IF(AND(P54="Impacto",L53=2,AB54&gt;=25),25,IF(AND(P54="Impacto",L53=2,AB54&gt;10),12,IF(AND(L53=1,P54="Impacto",AB54&gt;=75),100,IF(AND(P54="Impacto",L53=1,AB54&gt;=50),75,IF(AND(P54="Impacto",L53=1,AB54&gt;=25),50,IF(AND(P54="Impacto",L53=1,AB54&gt;10),25,IF(AND(P54="Impacto",L53=3,AB54&gt;=75),33.3,IF(AND(P54="Impacto",L53=3,AB54,AB54&gt;=50),25,IF(AND(P54="Impacto",L53=3,AB54&gt;=25),17,IF(AND(P54="Impacto",L53=3,AB54&gt;10),8,0))))))))))))</f>
        <v>0</v>
      </c>
      <c r="AE54" s="235"/>
      <c r="AF54" s="235"/>
      <c r="AG54" s="236"/>
      <c r="AH54" s="236"/>
      <c r="AI54" s="193"/>
      <c r="AJ54" s="237"/>
      <c r="AK54" s="237"/>
      <c r="AL54" s="238"/>
      <c r="AM54" s="233"/>
    </row>
    <row r="55" spans="1:39" ht="189.95" customHeight="1" x14ac:dyDescent="0.4">
      <c r="A55" s="191"/>
      <c r="B55" s="245"/>
      <c r="C55" s="248"/>
      <c r="D55" s="248"/>
      <c r="E55" s="244"/>
      <c r="F55" s="195" t="s">
        <v>280</v>
      </c>
      <c r="G55" s="248"/>
      <c r="H55" s="239"/>
      <c r="I55" s="240"/>
      <c r="J55" s="238"/>
      <c r="K55" s="185" t="s">
        <v>85</v>
      </c>
      <c r="L55" s="234"/>
      <c r="M55" s="195" t="s">
        <v>295</v>
      </c>
      <c r="N55" s="195" t="s">
        <v>296</v>
      </c>
      <c r="O55" s="195" t="s">
        <v>282</v>
      </c>
      <c r="P55" s="188" t="s">
        <v>22</v>
      </c>
      <c r="Q55" s="188" t="s">
        <v>42</v>
      </c>
      <c r="R55" s="188" t="str">
        <f t="shared" si="5"/>
        <v>N/A</v>
      </c>
      <c r="S55" s="188" t="s">
        <v>41</v>
      </c>
      <c r="T55" s="189" t="s">
        <v>302</v>
      </c>
      <c r="U55" s="188" t="s">
        <v>41</v>
      </c>
      <c r="V55" s="189" t="s">
        <v>73</v>
      </c>
      <c r="W55" s="189" t="s">
        <v>101</v>
      </c>
      <c r="X55" s="190" t="s">
        <v>102</v>
      </c>
      <c r="Y55" s="189" t="s">
        <v>108</v>
      </c>
      <c r="Z55" s="188" t="s">
        <v>41</v>
      </c>
      <c r="AA55" s="195" t="s">
        <v>308</v>
      </c>
      <c r="AB55" s="183">
        <f t="shared" si="4"/>
        <v>68</v>
      </c>
      <c r="AC55" s="184">
        <f>IF(AND(L53=2,P55="Probabilidad",AB55&gt;=75),50,IF(AND(P55="Probabilidad",L53=2,AB55&gt;=50),37,IF(AND(P55="Probabilidad",L53=2,AB55&gt;=25),25,IF(AND(P55="Probabilidad",L53=2,AB55&gt;10),12,IF(AND(L53=1,P55="Probabilidad",AB55&gt;=75),100,IF(AND(P55="Probabilidad",L53=1,AB55&gt;=50),75,IF(AND(P55="Probabilidad",L53=1,AB55&gt;=25),50,IF(AND(P55="Probabilidad",L53=1,AB55&gt;10),25,IF(AND(P55="Probabilidad",L53=3,AB55&gt;=75),33.3,IF(AND(P55="Probabilidad",L53=3,AB55,AB55&gt;=50),25,IF(AND(P55="Probabilidad",L53=3,AB55&gt;=25),17,IF(AND(P55="Probabilidad",L53=3,AB55&gt;10),8,0))))))))))))</f>
        <v>25</v>
      </c>
      <c r="AD55" s="184">
        <f>IF(AND(L53=2,P55="Impacto",AB55&gt;=75),50,IF(AND(P55="Impacto",L53=2,AB55&gt;=50),37,IF(AND(P55="Impacto",L53=2,AB55&gt;=25),25,IF(AND(P55="Impacto",L53=2,AB55&gt;10),12,IF(AND(L53=1,P55="Impacto",AB55&gt;=75),100,IF(AND(P55="Impacto",L53=1,AB55&gt;=50),75,IF(AND(P55="Impacto",L53=1,AB55&gt;=25),50,IF(AND(P55="Impacto",L53=1,AB55&gt;10),25,IF(AND(P55="Impacto",L53=3,AB55&gt;=75),33.3,IF(AND(P55="Impacto",L53=3,AB55,AB55&gt;=50),25,IF(AND(P55="Impacto",L53=3,AB55&gt;=25),17,IF(AND(P55="Impacto",L53=3,AB55&gt;10),8,0))))))))))))</f>
        <v>0</v>
      </c>
      <c r="AE55" s="235"/>
      <c r="AF55" s="235"/>
      <c r="AG55" s="236"/>
      <c r="AH55" s="236"/>
      <c r="AI55" s="193"/>
      <c r="AJ55" s="237"/>
      <c r="AK55" s="237"/>
      <c r="AL55" s="238"/>
      <c r="AM55" s="233"/>
    </row>
    <row r="56" spans="1:39" ht="189.95" customHeight="1" x14ac:dyDescent="0.4">
      <c r="A56" s="191"/>
      <c r="B56" s="245">
        <v>13</v>
      </c>
      <c r="C56" s="249" t="s">
        <v>309</v>
      </c>
      <c r="D56" s="249" t="s">
        <v>310</v>
      </c>
      <c r="E56" s="244" t="s">
        <v>79</v>
      </c>
      <c r="F56" s="195" t="s">
        <v>311</v>
      </c>
      <c r="G56" s="249" t="s">
        <v>312</v>
      </c>
      <c r="H56" s="239" t="s">
        <v>13</v>
      </c>
      <c r="I56" s="240" t="s">
        <v>21</v>
      </c>
      <c r="J56" s="238" t="str">
        <f>IF(ISERROR(VLOOKUP(H56&amp;I56,Hoja1!$C$1:$F$25,4,0)),"",(VLOOKUP(H56&amp;I56,Hoja1!$C$1:$F$25,4,0)))</f>
        <v>Alto</v>
      </c>
      <c r="K56" s="185" t="s">
        <v>85</v>
      </c>
      <c r="L56" s="234">
        <v>3</v>
      </c>
      <c r="M56" s="195" t="s">
        <v>320</v>
      </c>
      <c r="N56" s="195" t="s">
        <v>321</v>
      </c>
      <c r="O56" s="195" t="s">
        <v>322</v>
      </c>
      <c r="P56" s="188" t="s">
        <v>22</v>
      </c>
      <c r="Q56" s="188" t="s">
        <v>42</v>
      </c>
      <c r="R56" s="188" t="str">
        <f t="shared" si="5"/>
        <v>N/A</v>
      </c>
      <c r="S56" s="188" t="s">
        <v>41</v>
      </c>
      <c r="T56" s="189" t="s">
        <v>335</v>
      </c>
      <c r="U56" s="188" t="s">
        <v>41</v>
      </c>
      <c r="V56" s="189" t="s">
        <v>91</v>
      </c>
      <c r="W56" s="188" t="s">
        <v>101</v>
      </c>
      <c r="X56" s="190" t="s">
        <v>102</v>
      </c>
      <c r="Y56" s="189" t="s">
        <v>108</v>
      </c>
      <c r="Z56" s="188" t="s">
        <v>41</v>
      </c>
      <c r="AA56" s="195" t="s">
        <v>338</v>
      </c>
      <c r="AB56" s="183">
        <f t="shared" si="4"/>
        <v>68</v>
      </c>
      <c r="AC56" s="184">
        <f>IF(AND(L56=2,P56="Probabilidad",AB56&gt;=75),50,IF(AND(P56="Probabilidad",L56=2,AB56&gt;=50),37,IF(AND(P56="Probabilidad",L56=2,AB56&gt;=25),25,IF(AND(P56="Probabilidad",L56=2,AB56&gt;10),12,IF(AND(L56=1,P56="Probabilidad",AB56&gt;=75),100,IF(AND(P56="Probabilidad",L56=1,AB56&gt;=50),75,IF(AND(P56="Probabilidad",L56=1,AB56&gt;=25),50,IF(AND(P56="Probabilidad",L56=1,AB56&gt;10),25,IF(AND(P56="Probabilidad",L56=3,AB56&gt;=75),33.3,IF(AND(P56="Probabilidad",L56=3,AB56,AB56&gt;=50),25,IF(AND(P56="Probabilidad",L56=3,AB56&gt;=25),17,IF(AND(P56="Probabilidad",L56=3,AB56&gt;10),8,0))))))))))))</f>
        <v>25</v>
      </c>
      <c r="AD56" s="184">
        <f>IF(AND(L56=2,P56="Impacto",AB56&gt;=75),50,IF(AND(P56="Impacto",L56=2,AB56&gt;=50),37,IF(AND(P56="Impacto",L56=2,AB56&gt;=25),25,IF(AND(P56="Impacto",L56=2,AB56&gt;10),12,IF(AND(L56=1,P56="Impacto",AB56&gt;=75),100,IF(AND(P56="Impacto",L56=1,AB56&gt;=50),75,IF(AND(P56="Impacto",L56=1,AB56&gt;=25),50,IF(AND(P56="Impacto",L56=1,AB56&gt;10),25,IF(AND(P56="Impacto",L56=3,AB56&gt;=75),33.3,IF(AND(P56="Impacto",L56=3,AB56,AB56&gt;=50),25,IF(AND(P56="Impacto",L56=3,AB56&gt;=25),17,IF(AND(P56="Impacto",L56=3,AB56&gt;10),8,0))))))))))))</f>
        <v>0</v>
      </c>
      <c r="AE56" s="235">
        <f>SUM(AC56:AC58)</f>
        <v>75</v>
      </c>
      <c r="AF56" s="235">
        <f>SUM(AD56:AD58)</f>
        <v>0</v>
      </c>
      <c r="AG56" s="236">
        <f>IF(AE56&gt;75,2,IF(AE56&gt;=30,1,"-"))</f>
        <v>1</v>
      </c>
      <c r="AH56" s="236" t="str">
        <f>IF(AF56&gt;75,2,IF(AF56&gt;=30,1,"-"))</f>
        <v>-</v>
      </c>
      <c r="AI56" s="193"/>
      <c r="AJ56" s="237" t="str">
        <f>IF(AND(AG56=2,H56="Casi seguro"),Hoja1!$J$5,IF(AND(AG56=2,H56="Posible"),Hoja1!$J$6,IF(AND(H56="Improbable",AG56=2),Hoja1!J3,IF(AND(AG56=1,H56="Casi seguro"),Hoja1!$J$4,IF(AND(AG56=1,H56="Posible"),Hoja1!$J$5,IF(AND(AG56=1,H56="Improbable"),Hoja1!$J$6,'FT-Mapa de riesgos'!H56))))))</f>
        <v>Rara vez</v>
      </c>
      <c r="AK56" s="237" t="str">
        <f>IF(AND(AH56=2,I56="Catastrofico"),Hoja1!$K$5,IF(AND(AH56=2,I56="Mayor"),Hoja1!$K$6,IF(AND(AH56=2,I56="Moderado"),Hoja1!$K$7,IF(AND(AH56=1,I56="Catastrofico"),Hoja1!$K$4,IF(AND(AH56=1,I56="Mayor "),Hoja1!$K$5,IF(AND(AH56=1,I56="Moderado"),Hoja1!$K$6,IF(AND(AH56=2,I56="Menor"),Hoja1!$K$7,'FT-Mapa de riesgos'!I56)))))))</f>
        <v>Catastrofico</v>
      </c>
      <c r="AL56" s="238" t="str">
        <f>IF(ISERROR(VLOOKUP(AJ56&amp;AK56,Hoja1!$C$1:$F$25,4,0)),"",(VLOOKUP(AJ56&amp;AK56,Hoja1!$C$1:$F$25,4,0)))</f>
        <v>Alto</v>
      </c>
      <c r="AM56" s="233"/>
    </row>
    <row r="57" spans="1:39" ht="295.5" customHeight="1" x14ac:dyDescent="0.4">
      <c r="A57" s="191"/>
      <c r="B57" s="245"/>
      <c r="C57" s="249"/>
      <c r="D57" s="249"/>
      <c r="E57" s="244"/>
      <c r="F57" s="195" t="s">
        <v>313</v>
      </c>
      <c r="G57" s="249"/>
      <c r="H57" s="239"/>
      <c r="I57" s="240"/>
      <c r="J57" s="238"/>
      <c r="K57" s="185" t="s">
        <v>85</v>
      </c>
      <c r="L57" s="234"/>
      <c r="M57" s="195" t="s">
        <v>323</v>
      </c>
      <c r="N57" s="195" t="s">
        <v>324</v>
      </c>
      <c r="O57" s="195" t="s">
        <v>325</v>
      </c>
      <c r="P57" s="188" t="s">
        <v>22</v>
      </c>
      <c r="Q57" s="188" t="s">
        <v>42</v>
      </c>
      <c r="R57" s="188" t="str">
        <f t="shared" si="5"/>
        <v>N/A</v>
      </c>
      <c r="S57" s="188" t="s">
        <v>41</v>
      </c>
      <c r="T57" s="189" t="s">
        <v>335</v>
      </c>
      <c r="U57" s="188" t="s">
        <v>41</v>
      </c>
      <c r="V57" s="189" t="s">
        <v>91</v>
      </c>
      <c r="W57" s="188" t="s">
        <v>101</v>
      </c>
      <c r="X57" s="190" t="s">
        <v>102</v>
      </c>
      <c r="Y57" s="189" t="s">
        <v>108</v>
      </c>
      <c r="Z57" s="188" t="s">
        <v>41</v>
      </c>
      <c r="AA57" s="195" t="s">
        <v>339</v>
      </c>
      <c r="AB57" s="183">
        <f t="shared" si="4"/>
        <v>68</v>
      </c>
      <c r="AC57" s="184">
        <f>IF(AND(L56=2,P57="Probabilidad",AB57&gt;=75),50,IF(AND(P57="Probabilidad",L56=2,AB57&gt;=50),37,IF(AND(P57="Probabilidad",L56=2,AB57&gt;=25),25,IF(AND(P57="Probabilidad",L56=2,AB57&gt;10),12,IF(AND(L56=1,P57="Probabilidad",AB57&gt;=75),100,IF(AND(P57="Probabilidad",L56=1,AB57&gt;=50),75,IF(AND(P57="Probabilidad",L56=1,AB57&gt;=25),50,IF(AND(P57="Probabilidad",L56=1,AB57&gt;10),25,IF(AND(P57="Probabilidad",L56=3,AB57&gt;=75),33.3,IF(AND(P57="Probabilidad",L56=3,AB57,AB57&gt;=50),25,IF(AND(P57="Probabilidad",L56=3,AB57&gt;=25),17,IF(AND(P57="Probabilidad",L56=3,AB57&gt;10),8,0))))))))))))</f>
        <v>25</v>
      </c>
      <c r="AD57" s="184">
        <f>IF(AND(L56=2,P57="Impacto",AB57&gt;=75),50,IF(AND(P57="Impacto",L56=2,AB57&gt;=50),37,IF(AND(P57="Impacto",L56=2,AB57&gt;=25),25,IF(AND(P57="Impacto",L56=2,AB57&gt;10),12,IF(AND(L56=1,P57="Impacto",AB57&gt;=75),100,IF(AND(P57="Impacto",L56=1,AB57&gt;=50),75,IF(AND(P57="Impacto",L56=1,AB57&gt;=25),50,IF(AND(P57="Impacto",L56=1,AB57&gt;10),25,IF(AND(P57="Impacto",L56=3,AB57&gt;=75),33.3,IF(AND(P57="Impacto",L56=3,AB57,AB57&gt;=50),25,IF(AND(P57="Impacto",L56=3,AB57&gt;=25),17,IF(AND(P57="Impacto",L56=3,AB57&gt;10),8,0))))))))))))</f>
        <v>0</v>
      </c>
      <c r="AE57" s="235"/>
      <c r="AF57" s="235"/>
      <c r="AG57" s="236"/>
      <c r="AH57" s="236"/>
      <c r="AI57" s="193"/>
      <c r="AJ57" s="237"/>
      <c r="AK57" s="237"/>
      <c r="AL57" s="238"/>
      <c r="AM57" s="233"/>
    </row>
    <row r="58" spans="1:39" ht="189.95" customHeight="1" x14ac:dyDescent="0.4">
      <c r="A58" s="191"/>
      <c r="B58" s="245"/>
      <c r="C58" s="249"/>
      <c r="D58" s="249"/>
      <c r="E58" s="244"/>
      <c r="F58" s="195" t="s">
        <v>314</v>
      </c>
      <c r="G58" s="249"/>
      <c r="H58" s="239"/>
      <c r="I58" s="240"/>
      <c r="J58" s="238"/>
      <c r="K58" s="185" t="s">
        <v>85</v>
      </c>
      <c r="L58" s="234"/>
      <c r="M58" s="195" t="s">
        <v>326</v>
      </c>
      <c r="N58" s="195" t="s">
        <v>327</v>
      </c>
      <c r="O58" s="195" t="s">
        <v>328</v>
      </c>
      <c r="P58" s="188" t="s">
        <v>22</v>
      </c>
      <c r="Q58" s="188" t="s">
        <v>42</v>
      </c>
      <c r="R58" s="188" t="str">
        <f t="shared" si="5"/>
        <v>N/A</v>
      </c>
      <c r="S58" s="188" t="s">
        <v>41</v>
      </c>
      <c r="T58" s="189" t="s">
        <v>336</v>
      </c>
      <c r="U58" s="188" t="s">
        <v>41</v>
      </c>
      <c r="V58" s="189" t="s">
        <v>151</v>
      </c>
      <c r="W58" s="189" t="s">
        <v>101</v>
      </c>
      <c r="X58" s="190" t="s">
        <v>102</v>
      </c>
      <c r="Y58" s="189" t="s">
        <v>108</v>
      </c>
      <c r="Z58" s="188" t="s">
        <v>41</v>
      </c>
      <c r="AA58" s="195" t="s">
        <v>340</v>
      </c>
      <c r="AB58" s="183">
        <f t="shared" si="4"/>
        <v>68</v>
      </c>
      <c r="AC58" s="184">
        <f>IF(AND(L56=2,P58="Probabilidad",AB58&gt;=75),50,IF(AND(P58="Probabilidad",L56=2,AB58&gt;=50),37,IF(AND(P58="Probabilidad",L56=2,AB58&gt;=25),25,IF(AND(P58="Probabilidad",L56=2,AB58&gt;10),12,IF(AND(L56=1,P58="Probabilidad",AB58&gt;=75),100,IF(AND(P58="Probabilidad",L56=1,AB58&gt;=50),75,IF(AND(P58="Probabilidad",L56=1,AB58&gt;=25),50,IF(AND(P58="Probabilidad",L56=1,AB58&gt;10),25,IF(AND(P58="Probabilidad",L56=3,AB58&gt;=75),33.3,IF(AND(P58="Probabilidad",L56=3,AB58,AB58&gt;=50),25,IF(AND(P58="Probabilidad",L56=3,AB58&gt;=25),17,IF(AND(P58="Probabilidad",L56=3,AB58&gt;10),8,0))))))))))))</f>
        <v>25</v>
      </c>
      <c r="AD58" s="184">
        <f>IF(AND(L56=2,P58="Impacto",AB58&gt;=75),50,IF(AND(P58="Impacto",L56=2,AB58&gt;=50),37,IF(AND(P58="Impacto",L56=2,AB58&gt;=25),25,IF(AND(P58="Impacto",L56=2,AB58&gt;10),12,IF(AND(L56=1,P58="Impacto",AB58&gt;=75),100,IF(AND(P58="Impacto",L56=1,AB58&gt;=50),75,IF(AND(P58="Impacto",L56=1,AB58&gt;=25),50,IF(AND(P58="Impacto",L56=1,AB58&gt;10),25,IF(AND(P58="Impacto",L56=3,AB58&gt;=75),33.3,IF(AND(P58="Impacto",L56=3,AB58,AB58&gt;=50),25,IF(AND(P58="Impacto",L56=3,AB58&gt;=25),17,IF(AND(P58="Impacto",L56=3,AB58&gt;10),8,0))))))))))))</f>
        <v>0</v>
      </c>
      <c r="AE58" s="235"/>
      <c r="AF58" s="235"/>
      <c r="AG58" s="236"/>
      <c r="AH58" s="236"/>
      <c r="AI58" s="193"/>
      <c r="AJ58" s="237"/>
      <c r="AK58" s="237"/>
      <c r="AL58" s="238"/>
      <c r="AM58" s="233"/>
    </row>
    <row r="59" spans="1:39" ht="330.75" customHeight="1" x14ac:dyDescent="0.4">
      <c r="A59" s="191"/>
      <c r="B59" s="245">
        <v>14</v>
      </c>
      <c r="C59" s="249" t="s">
        <v>315</v>
      </c>
      <c r="D59" s="249" t="s">
        <v>316</v>
      </c>
      <c r="E59" s="244" t="s">
        <v>79</v>
      </c>
      <c r="F59" s="195" t="s">
        <v>317</v>
      </c>
      <c r="G59" s="249" t="s">
        <v>318</v>
      </c>
      <c r="H59" s="239" t="s">
        <v>15</v>
      </c>
      <c r="I59" s="240" t="s">
        <v>19</v>
      </c>
      <c r="J59" s="238" t="str">
        <f>IF(ISERROR(VLOOKUP(H59&amp;I59,Hoja1!$C$1:$F$25,4,0)),"",(VLOOKUP(H59&amp;I59,Hoja1!$C$1:$F$25,4,0)))</f>
        <v>Alto</v>
      </c>
      <c r="K59" s="185" t="s">
        <v>85</v>
      </c>
      <c r="L59" s="234">
        <v>2</v>
      </c>
      <c r="M59" s="195" t="s">
        <v>329</v>
      </c>
      <c r="N59" s="195" t="s">
        <v>330</v>
      </c>
      <c r="O59" s="195" t="s">
        <v>331</v>
      </c>
      <c r="P59" s="188" t="s">
        <v>22</v>
      </c>
      <c r="Q59" s="188" t="s">
        <v>41</v>
      </c>
      <c r="R59" s="189" t="s">
        <v>334</v>
      </c>
      <c r="S59" s="188" t="s">
        <v>41</v>
      </c>
      <c r="T59" s="189" t="s">
        <v>337</v>
      </c>
      <c r="U59" s="188" t="s">
        <v>41</v>
      </c>
      <c r="V59" s="188" t="s">
        <v>72</v>
      </c>
      <c r="W59" s="188" t="s">
        <v>101</v>
      </c>
      <c r="X59" s="190" t="s">
        <v>102</v>
      </c>
      <c r="Y59" s="189" t="s">
        <v>108</v>
      </c>
      <c r="Z59" s="188" t="s">
        <v>41</v>
      </c>
      <c r="AA59" s="195" t="s">
        <v>341</v>
      </c>
      <c r="AB59" s="183">
        <f t="shared" si="4"/>
        <v>100</v>
      </c>
      <c r="AC59" s="184">
        <f>IF(AND(L59=2,P59="Probabilidad",AB59&gt;=75),50,IF(AND(P59="Probabilidad",L59=2,AB59&gt;=50),37,IF(AND(P59="Probabilidad",L59=2,AB59&gt;=25),25,IF(AND(P59="Probabilidad",L59=2,AB59&gt;10),12,IF(AND(L59=1,P59="Probabilidad",AB59&gt;=75),100,IF(AND(P59="Probabilidad",L59=1,AB59&gt;=50),75,IF(AND(P59="Probabilidad",L59=1,AB59&gt;=25),50,IF(AND(P59="Probabilidad",L59=1,AB59&gt;10),25,IF(AND(P59="Probabilidad",L59=3,AB59&gt;=75),33.3,IF(AND(P59="Probabilidad",L59=3,AB59,AB59&gt;=50),25,IF(AND(P59="Probabilidad",L59=3,AB59&gt;=25),17,IF(AND(P59="Probabilidad",L59=3,AB59&gt;10),8,0))))))))))))</f>
        <v>50</v>
      </c>
      <c r="AD59" s="184">
        <f>IF(AND(L59=2,P59="Impacto",AB59&gt;=75),50,IF(AND(P59="Impacto",L59=2,AB59&gt;=50),37,IF(AND(P59="Impacto",L59=2,AB59&gt;=25),25,IF(AND(P59="Impacto",L59=2,AB59&gt;10),12,IF(AND(L59=1,P59="Impacto",AB59&gt;=75),100,IF(AND(P59="Impacto",L59=1,AB59&gt;=50),75,IF(AND(P59="Impacto",L59=1,AB59&gt;=25),50,IF(AND(P59="Impacto",L59=1,AB59&gt;10),25,IF(AND(P59="Impacto",L59=3,AB59&gt;=75),33.3,IF(AND(P59="Impacto",L59=3,AB59,AB59&gt;=50),25,IF(AND(P59="Impacto",L59=3,AB59&gt;=25),17,IF(AND(P59="Impacto",L59=3,AB59&gt;10),8,0))))))))))))</f>
        <v>0</v>
      </c>
      <c r="AE59" s="235">
        <f>SUM(AC59:AC61)</f>
        <v>100</v>
      </c>
      <c r="AF59" s="235">
        <f>SUM(AD59:AD61)</f>
        <v>0</v>
      </c>
      <c r="AG59" s="236">
        <f>IF(AE59&gt;75,2,IF(AE59&gt;=30,1,"-"))</f>
        <v>2</v>
      </c>
      <c r="AH59" s="236" t="str">
        <f>IF(AF59&gt;75,2,IF(AF59&gt;=30,1,"-"))</f>
        <v>-</v>
      </c>
      <c r="AI59" s="193"/>
      <c r="AJ59" s="237" t="str">
        <f>IF(AND(AG59=2,H59="Casi seguro"),Hoja1!$J$5,IF(AND(AG59=2,H59="Posible"),Hoja1!$J$6,IF(AND(H59="Improbable",AG59=2),Hoja1!J6,IF(AND(AG59=1,H59="Casi seguro"),Hoja1!$J$4,IF(AND(AG59=1,H59="Posible"),Hoja1!$J$5,IF(AND(AG59=1,H59="Improbable"),Hoja1!$J$6,'FT-Mapa de riesgos'!H59))))))</f>
        <v>Rara Vez</v>
      </c>
      <c r="AK59" s="237" t="str">
        <f>IF(AND(AH59=2,I59="Catastrofico"),Hoja1!$K$5,IF(AND(AH59=2,I59="Mayor"),Hoja1!$K$6,IF(AND(AH59=2,I59="Moderado"),Hoja1!$K$7,IF(AND(AH59=1,I59="Catastrofico"),Hoja1!$K$4,IF(AND(AH59=1,I59="Mayor "),Hoja1!$K$5,IF(AND(AH59=1,I59="Moderado"),Hoja1!$K$6,IF(AND(AH59=2,I59="Menor"),Hoja1!$K$7,'FT-Mapa de riesgos'!I59)))))))</f>
        <v>Moderado</v>
      </c>
      <c r="AL59" s="238" t="str">
        <f>IF(ISERROR(VLOOKUP(AJ59&amp;AK59,Hoja1!$C$1:$F$25,4,0)),"",(VLOOKUP(AJ59&amp;AK59,Hoja1!$C$1:$F$25,4,0)))</f>
        <v>Moderado</v>
      </c>
      <c r="AM59" s="233"/>
    </row>
    <row r="60" spans="1:39" ht="332.25" customHeight="1" x14ac:dyDescent="0.4">
      <c r="A60" s="191"/>
      <c r="B60" s="245"/>
      <c r="C60" s="249"/>
      <c r="D60" s="249"/>
      <c r="E60" s="244"/>
      <c r="F60" s="195" t="s">
        <v>319</v>
      </c>
      <c r="G60" s="249"/>
      <c r="H60" s="239"/>
      <c r="I60" s="240"/>
      <c r="J60" s="238"/>
      <c r="K60" s="185" t="s">
        <v>85</v>
      </c>
      <c r="L60" s="234"/>
      <c r="M60" s="195" t="s">
        <v>332</v>
      </c>
      <c r="N60" s="195" t="s">
        <v>330</v>
      </c>
      <c r="O60" s="195" t="s">
        <v>333</v>
      </c>
      <c r="P60" s="188" t="s">
        <v>22</v>
      </c>
      <c r="Q60" s="188" t="s">
        <v>41</v>
      </c>
      <c r="R60" s="189" t="s">
        <v>334</v>
      </c>
      <c r="S60" s="188" t="s">
        <v>41</v>
      </c>
      <c r="T60" s="189" t="s">
        <v>337</v>
      </c>
      <c r="U60" s="188" t="s">
        <v>41</v>
      </c>
      <c r="V60" s="188" t="s">
        <v>72</v>
      </c>
      <c r="W60" s="188" t="s">
        <v>101</v>
      </c>
      <c r="X60" s="190" t="s">
        <v>102</v>
      </c>
      <c r="Y60" s="189" t="s">
        <v>108</v>
      </c>
      <c r="Z60" s="188" t="s">
        <v>41</v>
      </c>
      <c r="AA60" s="195" t="s">
        <v>341</v>
      </c>
      <c r="AB60" s="183">
        <f t="shared" si="4"/>
        <v>100</v>
      </c>
      <c r="AC60" s="184">
        <f>IF(AND(L59=2,P60="Probabilidad",AB60&gt;=75),50,IF(AND(P60="Probabilidad",L59=2,AB60&gt;=50),37,IF(AND(P60="Probabilidad",L59=2,AB60&gt;=25),25,IF(AND(P60="Probabilidad",L59=2,AB60&gt;10),12,IF(AND(L59=1,P60="Probabilidad",AB60&gt;=75),100,IF(AND(P60="Probabilidad",L59=1,AB60&gt;=50),75,IF(AND(P60="Probabilidad",L59=1,AB60&gt;=25),50,IF(AND(P60="Probabilidad",L59=1,AB60&gt;10),25,IF(AND(P60="Probabilidad",L59=3,AB60&gt;=75),33.3,IF(AND(P60="Probabilidad",L59=3,AB60,AB60&gt;=50),25,IF(AND(P60="Probabilidad",L59=3,AB60&gt;=25),17,IF(AND(P60="Probabilidad",L59=3,AB60&gt;10),8,0))))))))))))</f>
        <v>50</v>
      </c>
      <c r="AD60" s="184">
        <f>IF(AND(L59=2,P60="Impacto",AB60&gt;=75),50,IF(AND(P60="Impacto",L59=2,AB60&gt;=50),37,IF(AND(P60="Impacto",L59=2,AB60&gt;=25),25,IF(AND(P60="Impacto",L59=2,AB60&gt;10),12,IF(AND(L59=1,P60="Impacto",AB60&gt;=75),100,IF(AND(P60="Impacto",L59=1,AB60&gt;=50),75,IF(AND(P60="Impacto",L59=1,AB60&gt;=25),50,IF(AND(P60="Impacto",L59=1,AB60&gt;10),25,IF(AND(P60="Impacto",L59=3,AB60&gt;=75),33.3,IF(AND(P60="Impacto",L59=3,AB60,AB60&gt;=50),25,IF(AND(P60="Impacto",L59=3,AB60&gt;=25),17,IF(AND(P60="Impacto",L59=3,AB60&gt;10),8,0))))))))))))</f>
        <v>0</v>
      </c>
      <c r="AE60" s="235"/>
      <c r="AF60" s="235"/>
      <c r="AG60" s="236"/>
      <c r="AH60" s="236"/>
      <c r="AI60" s="193"/>
      <c r="AJ60" s="237"/>
      <c r="AK60" s="237"/>
      <c r="AL60" s="238"/>
      <c r="AM60" s="233"/>
    </row>
    <row r="61" spans="1:39" ht="189.95" hidden="1" customHeight="1" x14ac:dyDescent="0.4">
      <c r="A61" s="191"/>
      <c r="B61" s="245"/>
      <c r="C61" s="249"/>
      <c r="D61" s="249"/>
      <c r="E61" s="244"/>
      <c r="F61" s="195"/>
      <c r="G61" s="249"/>
      <c r="H61" s="239"/>
      <c r="I61" s="240"/>
      <c r="J61" s="238"/>
      <c r="K61" s="187"/>
      <c r="L61" s="234"/>
      <c r="M61" s="212"/>
      <c r="N61" s="212"/>
      <c r="O61" s="212"/>
      <c r="P61" s="188"/>
      <c r="Q61" s="188"/>
      <c r="R61" s="188" t="str">
        <f t="shared" si="5"/>
        <v/>
      </c>
      <c r="S61" s="188"/>
      <c r="T61" s="188" t="str">
        <f t="shared" si="6"/>
        <v/>
      </c>
      <c r="U61" s="188"/>
      <c r="V61" s="188"/>
      <c r="W61" s="188"/>
      <c r="X61" s="190"/>
      <c r="Y61" s="188"/>
      <c r="Z61" s="188"/>
      <c r="AA61" s="188" t="str">
        <f t="shared" si="7"/>
        <v/>
      </c>
      <c r="AB61" s="183">
        <f t="shared" si="4"/>
        <v>0</v>
      </c>
      <c r="AC61" s="184">
        <f>IF(AND(L59=2,P61="Probabilidad",AB61&gt;=75),50,IF(AND(P61="Probabilidad",L59=2,AB61&gt;=50),37,IF(AND(P61="Probabilidad",L59=2,AB61&gt;=25),25,IF(AND(P61="Probabilidad",L59=2,AB61&gt;10),12,IF(AND(L59=1,P61="Probabilidad",AB61&gt;=75),100,IF(AND(P61="Probabilidad",L59=1,AB61&gt;=50),75,IF(AND(P61="Probabilidad",L59=1,AB61&gt;=25),50,IF(AND(P61="Probabilidad",L59=1,AB61&gt;10),25,IF(AND(P61="Probabilidad",L59=3,AB61&gt;=75),33.3,IF(AND(P61="Probabilidad",L59=3,AB61,AB61&gt;=50),25,IF(AND(P61="Probabilidad",L59=3,AB61&gt;=25),17,IF(AND(P61="Probabilidad",L59=3,AB61&gt;10),8,0))))))))))))</f>
        <v>0</v>
      </c>
      <c r="AD61" s="184">
        <f>IF(AND(L59=2,P61="Impacto",AB61&gt;=75),50,IF(AND(P61="Impacto",L59=2,AB61&gt;=50),37,IF(AND(P61="Impacto",L59=2,AB61&gt;=25),25,IF(AND(P61="Impacto",L59=2,AB61&gt;10),12,IF(AND(L59=1,P61="Impacto",AB61&gt;=75),100,IF(AND(P61="Impacto",L59=1,AB61&gt;=50),75,IF(AND(P61="Impacto",L59=1,AB61&gt;=25),50,IF(AND(P61="Impacto",L59=1,AB61&gt;10),25,IF(AND(P61="Impacto",L59=3,AB61&gt;=75),33.3,IF(AND(P61="Impacto",L59=3,AB61,AB61&gt;=50),25,IF(AND(P61="Impacto",L59=3,AB61&gt;=25),17,IF(AND(P61="Impacto",L59=3,AB61&gt;10),8,0))))))))))))</f>
        <v>0</v>
      </c>
      <c r="AE61" s="235"/>
      <c r="AF61" s="235"/>
      <c r="AG61" s="236"/>
      <c r="AH61" s="236"/>
      <c r="AI61" s="193"/>
      <c r="AJ61" s="237"/>
      <c r="AK61" s="237"/>
      <c r="AL61" s="238"/>
      <c r="AM61" s="233"/>
    </row>
    <row r="62" spans="1:39" ht="189.95" customHeight="1" x14ac:dyDescent="0.4">
      <c r="A62" s="191"/>
      <c r="B62" s="245">
        <v>15</v>
      </c>
      <c r="C62" s="249" t="s">
        <v>342</v>
      </c>
      <c r="D62" s="249" t="s">
        <v>343</v>
      </c>
      <c r="E62" s="244" t="s">
        <v>35</v>
      </c>
      <c r="F62" s="195" t="s">
        <v>344</v>
      </c>
      <c r="G62" s="249" t="s">
        <v>345</v>
      </c>
      <c r="H62" s="239" t="s">
        <v>15</v>
      </c>
      <c r="I62" s="240" t="s">
        <v>20</v>
      </c>
      <c r="J62" s="238" t="str">
        <f>IF(ISERROR(VLOOKUP(H62&amp;I62,Hoja1!$C$1:$F$25,4,0)),"",(VLOOKUP(H62&amp;I62,Hoja1!$C$1:$F$25,4,0)))</f>
        <v>Extremo</v>
      </c>
      <c r="K62" s="185" t="s">
        <v>85</v>
      </c>
      <c r="L62" s="234">
        <v>2</v>
      </c>
      <c r="M62" s="195" t="s">
        <v>357</v>
      </c>
      <c r="N62" s="195" t="s">
        <v>358</v>
      </c>
      <c r="O62" s="195" t="s">
        <v>359</v>
      </c>
      <c r="P62" s="188" t="s">
        <v>22</v>
      </c>
      <c r="Q62" s="188" t="s">
        <v>42</v>
      </c>
      <c r="R62" s="188" t="str">
        <f t="shared" si="5"/>
        <v>N/A</v>
      </c>
      <c r="S62" s="188" t="s">
        <v>41</v>
      </c>
      <c r="T62" s="189" t="s">
        <v>374</v>
      </c>
      <c r="U62" s="188" t="s">
        <v>41</v>
      </c>
      <c r="V62" s="188" t="s">
        <v>72</v>
      </c>
      <c r="W62" s="188" t="s">
        <v>101</v>
      </c>
      <c r="X62" s="190" t="s">
        <v>102</v>
      </c>
      <c r="Y62" s="189" t="s">
        <v>108</v>
      </c>
      <c r="Z62" s="188" t="s">
        <v>41</v>
      </c>
      <c r="AA62" s="195" t="s">
        <v>379</v>
      </c>
      <c r="AB62" s="183">
        <f t="shared" si="4"/>
        <v>68</v>
      </c>
      <c r="AC62" s="184">
        <f>IF(AND(L62=2,P62="Probabilidad",AB62&gt;=75),50,IF(AND(P62="Probabilidad",L62=2,AB62&gt;=50),37,IF(AND(P62="Probabilidad",L62=2,AB62&gt;=25),25,IF(AND(P62="Probabilidad",L62=2,AB62&gt;10),12,IF(AND(L62=1,P62="Probabilidad",AB62&gt;=75),100,IF(AND(P62="Probabilidad",L62=1,AB62&gt;=50),75,IF(AND(P62="Probabilidad",L62=1,AB62&gt;=25),50,IF(AND(P62="Probabilidad",L62=1,AB62&gt;10),25,IF(AND(P62="Probabilidad",L62=3,AB62&gt;=75),33.3,IF(AND(P62="Probabilidad",L62=3,AB62,AB62&gt;=50),25,IF(AND(P62="Probabilidad",L62=3,AB62&gt;=25),17,IF(AND(P62="Probabilidad",L62=3,AB62&gt;10),8,0))))))))))))</f>
        <v>37</v>
      </c>
      <c r="AD62" s="184">
        <f>IF(AND(L62=2,P62="Impacto",AB62&gt;=75),50,IF(AND(P62="Impacto",L62=2,AB62&gt;=50),37,IF(AND(P62="Impacto",L62=2,AB62&gt;=25),25,IF(AND(P62="Impacto",L62=2,AB62&gt;10),12,IF(AND(L62=1,P62="Impacto",AB62&gt;=75),100,IF(AND(P62="Impacto",L62=1,AB62&gt;=50),75,IF(AND(P62="Impacto",L62=1,AB62&gt;=25),50,IF(AND(P62="Impacto",L62=1,AB62&gt;10),25,IF(AND(P62="Impacto",L62=3,AB62&gt;=75),33.3,IF(AND(P62="Impacto",L62=3,AB62,AB62&gt;=50),25,IF(AND(P62="Impacto",L62=3,AB62&gt;=25),17,IF(AND(P62="Impacto",L62=3,AB62&gt;10),8,0))))))))))))</f>
        <v>0</v>
      </c>
      <c r="AE62" s="235">
        <f>SUM(AC62:AC64)</f>
        <v>87</v>
      </c>
      <c r="AF62" s="235">
        <f>SUM(AD62:AD64)</f>
        <v>0</v>
      </c>
      <c r="AG62" s="236">
        <f>IF(AE62&gt;75,2,IF(AE62&gt;=30,1,"-"))</f>
        <v>2</v>
      </c>
      <c r="AH62" s="236" t="str">
        <f>IF(AF62&gt;75,2,IF(AF62&gt;=30,1,"-"))</f>
        <v>-</v>
      </c>
      <c r="AI62" s="193"/>
      <c r="AJ62" s="237" t="str">
        <f>IF(AND(AG62=2,H62="Casi seguro"),Hoja1!$J$5,IF(AND(AG62=2,H62="Posible"),Hoja1!$J$6,IF(AND(H62="Improbable",AG62=2),Hoja1!J9,IF(AND(AG62=1,H62="Casi seguro"),Hoja1!$J$4,IF(AND(AG62=1,H62="Posible"),Hoja1!$J$5,IF(AND(AG62=1,H62="Improbable"),Hoja1!$J$6,'FT-Mapa de riesgos'!H62))))))</f>
        <v>Rara Vez</v>
      </c>
      <c r="AK62" s="237" t="str">
        <f>IF(AND(AH62=2,I62="Catastrofico"),Hoja1!$K$5,IF(AND(AH62=2,I62="Mayor"),Hoja1!$K$6,IF(AND(AH62=2,I62="Moderado"),Hoja1!$K$7,IF(AND(AH62=1,I62="Catastrofico"),Hoja1!$K$4,IF(AND(AH62=1,I62="Mayor "),Hoja1!$K$5,IF(AND(AH62=1,I62="Moderado"),Hoja1!$K$6,IF(AND(AH62=2,I62="Menor"),Hoja1!$K$7,'FT-Mapa de riesgos'!I62)))))))</f>
        <v xml:space="preserve">Mayor </v>
      </c>
      <c r="AL62" s="238" t="str">
        <f>IF(ISERROR(VLOOKUP(AJ62&amp;AK62,Hoja1!$C$1:$F$25,4,0)),"",(VLOOKUP(AJ62&amp;AK62,Hoja1!$C$1:$F$25,4,0)))</f>
        <v>Alto</v>
      </c>
      <c r="AM62" s="233"/>
    </row>
    <row r="63" spans="1:39" ht="189.95" customHeight="1" x14ac:dyDescent="0.4">
      <c r="A63" s="191"/>
      <c r="B63" s="245"/>
      <c r="C63" s="249"/>
      <c r="D63" s="249"/>
      <c r="E63" s="244"/>
      <c r="F63" s="195" t="s">
        <v>346</v>
      </c>
      <c r="G63" s="249"/>
      <c r="H63" s="239"/>
      <c r="I63" s="240"/>
      <c r="J63" s="238"/>
      <c r="K63" s="185" t="s">
        <v>85</v>
      </c>
      <c r="L63" s="234"/>
      <c r="M63" s="195" t="s">
        <v>360</v>
      </c>
      <c r="N63" s="195" t="s">
        <v>361</v>
      </c>
      <c r="O63" s="195" t="s">
        <v>359</v>
      </c>
      <c r="P63" s="188" t="s">
        <v>22</v>
      </c>
      <c r="Q63" s="188" t="s">
        <v>41</v>
      </c>
      <c r="R63" s="189" t="s">
        <v>373</v>
      </c>
      <c r="S63" s="188" t="s">
        <v>41</v>
      </c>
      <c r="T63" s="189" t="s">
        <v>375</v>
      </c>
      <c r="U63" s="188" t="s">
        <v>41</v>
      </c>
      <c r="V63" s="188" t="s">
        <v>72</v>
      </c>
      <c r="W63" s="188" t="s">
        <v>101</v>
      </c>
      <c r="X63" s="190" t="s">
        <v>102</v>
      </c>
      <c r="Y63" s="189" t="s">
        <v>108</v>
      </c>
      <c r="Z63" s="188" t="s">
        <v>41</v>
      </c>
      <c r="AA63" s="195" t="s">
        <v>379</v>
      </c>
      <c r="AB63" s="183">
        <f t="shared" si="4"/>
        <v>100</v>
      </c>
      <c r="AC63" s="184">
        <f>IF(AND(L62=2,P63="Probabilidad",AB63&gt;=75),50,IF(AND(P63="Probabilidad",L62=2,AB63&gt;=50),37,IF(AND(P63="Probabilidad",L62=2,AB63&gt;=25),25,IF(AND(P63="Probabilidad",L62=2,AB63&gt;10),12,IF(AND(L62=1,P63="Probabilidad",AB63&gt;=75),100,IF(AND(P63="Probabilidad",L62=1,AB63&gt;=50),75,IF(AND(P63="Probabilidad",L62=1,AB63&gt;=25),50,IF(AND(P63="Probabilidad",L62=1,AB63&gt;10),25,IF(AND(P63="Probabilidad",L62=3,AB63&gt;=75),33.3,IF(AND(P63="Probabilidad",L62=3,AB63,AB63&gt;=50),25,IF(AND(P63="Probabilidad",L62=3,AB63&gt;=25),17,IF(AND(P63="Probabilidad",L62=3,AB63&gt;10),8,0))))))))))))</f>
        <v>50</v>
      </c>
      <c r="AD63" s="184">
        <f>IF(AND(L62=2,P63="Impacto",AB63&gt;=75),50,IF(AND(P63="Impacto",L62=2,AB63&gt;=50),37,IF(AND(P63="Impacto",L62=2,AB63&gt;=25),25,IF(AND(P63="Impacto",L62=2,AB63&gt;10),12,IF(AND(L62=1,P63="Impacto",AB63&gt;=75),100,IF(AND(P63="Impacto",L62=1,AB63&gt;=50),75,IF(AND(P63="Impacto",L62=1,AB63&gt;=25),50,IF(AND(P63="Impacto",L62=1,AB63&gt;10),25,IF(AND(P63="Impacto",L62=3,AB63&gt;=75),33.3,IF(AND(P63="Impacto",L62=3,AB63,AB63&gt;=50),25,IF(AND(P63="Impacto",L62=3,AB63&gt;=25),17,IF(AND(P63="Impacto",L62=3,AB63&gt;10),8,0))))))))))))</f>
        <v>0</v>
      </c>
      <c r="AE63" s="235"/>
      <c r="AF63" s="235"/>
      <c r="AG63" s="236"/>
      <c r="AH63" s="236"/>
      <c r="AI63" s="193"/>
      <c r="AJ63" s="237"/>
      <c r="AK63" s="237"/>
      <c r="AL63" s="238"/>
      <c r="AM63" s="233"/>
    </row>
    <row r="64" spans="1:39" ht="189.95" hidden="1" customHeight="1" x14ac:dyDescent="0.4">
      <c r="A64" s="191"/>
      <c r="B64" s="245"/>
      <c r="C64" s="249"/>
      <c r="D64" s="249"/>
      <c r="E64" s="244"/>
      <c r="F64" s="195"/>
      <c r="G64" s="249"/>
      <c r="H64" s="239"/>
      <c r="I64" s="240"/>
      <c r="J64" s="238"/>
      <c r="K64" s="187"/>
      <c r="L64" s="234"/>
      <c r="M64" s="212"/>
      <c r="N64" s="212"/>
      <c r="O64" s="212"/>
      <c r="P64" s="188"/>
      <c r="Q64" s="188"/>
      <c r="R64" s="188" t="str">
        <f t="shared" si="5"/>
        <v/>
      </c>
      <c r="S64" s="188"/>
      <c r="T64" s="188" t="str">
        <f t="shared" si="6"/>
        <v/>
      </c>
      <c r="U64" s="188"/>
      <c r="V64" s="188"/>
      <c r="W64" s="188"/>
      <c r="X64" s="190"/>
      <c r="Y64" s="188"/>
      <c r="Z64" s="188"/>
      <c r="AA64" s="188" t="str">
        <f t="shared" si="7"/>
        <v/>
      </c>
      <c r="AB64" s="183">
        <f t="shared" si="4"/>
        <v>0</v>
      </c>
      <c r="AC64" s="184">
        <f>IF(AND(L62=2,P64="Probabilidad",AB64&gt;=75),50,IF(AND(P64="Probabilidad",L62=2,AB64&gt;=50),37,IF(AND(P64="Probabilidad",L62=2,AB64&gt;=25),25,IF(AND(P64="Probabilidad",L62=2,AB64&gt;10),12,IF(AND(L62=1,P64="Probabilidad",AB64&gt;=75),100,IF(AND(P64="Probabilidad",L62=1,AB64&gt;=50),75,IF(AND(P64="Probabilidad",L62=1,AB64&gt;=25),50,IF(AND(P64="Probabilidad",L62=1,AB64&gt;10),25,IF(AND(P64="Probabilidad",L62=3,AB64&gt;=75),33.3,IF(AND(P64="Probabilidad",L62=3,AB64,AB64&gt;=50),25,IF(AND(P64="Probabilidad",L62=3,AB64&gt;=25),17,IF(AND(P64="Probabilidad",L62=3,AB64&gt;10),8,0))))))))))))</f>
        <v>0</v>
      </c>
      <c r="AD64" s="184">
        <f>IF(AND(L62=2,P64="Impacto",AB64&gt;=75),50,IF(AND(P64="Impacto",L62=2,AB64&gt;=50),37,IF(AND(P64="Impacto",L62=2,AB64&gt;=25),25,IF(AND(P64="Impacto",L62=2,AB64&gt;10),12,IF(AND(L62=1,P64="Impacto",AB64&gt;=75),100,IF(AND(P64="Impacto",L62=1,AB64&gt;=50),75,IF(AND(P64="Impacto",L62=1,AB64&gt;=25),50,IF(AND(P64="Impacto",L62=1,AB64&gt;10),25,IF(AND(P64="Impacto",L62=3,AB64&gt;=75),33.3,IF(AND(P64="Impacto",L62=3,AB64,AB64&gt;=50),25,IF(AND(P64="Impacto",L62=3,AB64&gt;=25),17,IF(AND(P64="Impacto",L62=3,AB64&gt;10),8,0))))))))))))</f>
        <v>0</v>
      </c>
      <c r="AE64" s="235"/>
      <c r="AF64" s="235"/>
      <c r="AG64" s="236"/>
      <c r="AH64" s="236"/>
      <c r="AI64" s="193"/>
      <c r="AJ64" s="237"/>
      <c r="AK64" s="237"/>
      <c r="AL64" s="238"/>
      <c r="AM64" s="231"/>
    </row>
    <row r="65" spans="1:39" ht="189.95" customHeight="1" x14ac:dyDescent="0.4">
      <c r="A65" s="191"/>
      <c r="B65" s="245">
        <v>16</v>
      </c>
      <c r="C65" s="249" t="s">
        <v>347</v>
      </c>
      <c r="D65" s="249" t="s">
        <v>348</v>
      </c>
      <c r="E65" s="244" t="s">
        <v>79</v>
      </c>
      <c r="F65" s="195" t="s">
        <v>349</v>
      </c>
      <c r="G65" s="249" t="s">
        <v>350</v>
      </c>
      <c r="H65" s="239" t="s">
        <v>13</v>
      </c>
      <c r="I65" s="240" t="s">
        <v>20</v>
      </c>
      <c r="J65" s="238" t="str">
        <f>IF(ISERROR(VLOOKUP(H65&amp;I65,Hoja1!$C$1:$F$25,4,0)),"",(VLOOKUP(H65&amp;I65,Hoja1!$C$1:$F$25,4,0)))</f>
        <v>Alto</v>
      </c>
      <c r="K65" s="185" t="s">
        <v>85</v>
      </c>
      <c r="L65" s="234">
        <v>2</v>
      </c>
      <c r="M65" s="195" t="s">
        <v>362</v>
      </c>
      <c r="N65" s="195" t="s">
        <v>363</v>
      </c>
      <c r="O65" s="195" t="s">
        <v>364</v>
      </c>
      <c r="P65" s="188" t="s">
        <v>22</v>
      </c>
      <c r="Q65" s="188" t="s">
        <v>42</v>
      </c>
      <c r="R65" s="188" t="str">
        <f t="shared" si="5"/>
        <v>N/A</v>
      </c>
      <c r="S65" s="188" t="s">
        <v>41</v>
      </c>
      <c r="T65" s="189" t="s">
        <v>376</v>
      </c>
      <c r="U65" s="188" t="s">
        <v>41</v>
      </c>
      <c r="V65" s="189" t="s">
        <v>73</v>
      </c>
      <c r="W65" s="189" t="s">
        <v>101</v>
      </c>
      <c r="X65" s="190" t="s">
        <v>102</v>
      </c>
      <c r="Y65" s="189" t="s">
        <v>108</v>
      </c>
      <c r="Z65" s="188" t="s">
        <v>41</v>
      </c>
      <c r="AA65" s="195" t="s">
        <v>380</v>
      </c>
      <c r="AB65" s="183">
        <f t="shared" si="4"/>
        <v>68</v>
      </c>
      <c r="AC65" s="184">
        <f>IF(AND(L65=2,P65="Probabilidad",AB65&gt;=75),50,IF(AND(P65="Probabilidad",L65=2,AB65&gt;=50),37,IF(AND(P65="Probabilidad",L65=2,AB65&gt;=25),25,IF(AND(P65="Probabilidad",L65=2,AB65&gt;10),12,IF(AND(L65=1,P65="Probabilidad",AB65&gt;=75),100,IF(AND(P65="Probabilidad",L65=1,AB65&gt;=50),75,IF(AND(P65="Probabilidad",L65=1,AB65&gt;=25),50,IF(AND(P65="Probabilidad",L65=1,AB65&gt;10),25,IF(AND(P65="Probabilidad",L65=3,AB65&gt;=75),33.3,IF(AND(P65="Probabilidad",L65=3,AB65,AB65&gt;=50),25,IF(AND(P65="Probabilidad",L65=3,AB65&gt;=25),17,IF(AND(P65="Probabilidad",L65=3,AB65&gt;10),8,0))))))))))))</f>
        <v>37</v>
      </c>
      <c r="AD65" s="184">
        <f>IF(AND(L65=2,P65="Impacto",AB65&gt;=75),50,IF(AND(P65="Impacto",L65=2,AB65&gt;=50),37,IF(AND(P65="Impacto",L65=2,AB65&gt;=25),25,IF(AND(P65="Impacto",L65=2,AB65&gt;10),12,IF(AND(L65=1,P65="Impacto",AB65&gt;=75),100,IF(AND(P65="Impacto",L65=1,AB65&gt;=50),75,IF(AND(P65="Impacto",L65=1,AB65&gt;=25),50,IF(AND(P65="Impacto",L65=1,AB65&gt;10),25,IF(AND(P65="Impacto",L65=3,AB65&gt;=75),33.3,IF(AND(P65="Impacto",L65=3,AB65,AB65&gt;=50),25,IF(AND(P65="Impacto",L65=3,AB65&gt;=25),17,IF(AND(P65="Impacto",L65=3,AB65&gt;10),8,0))))))))))))</f>
        <v>0</v>
      </c>
      <c r="AE65" s="235">
        <f>SUM(AC65:AC67)</f>
        <v>74</v>
      </c>
      <c r="AF65" s="235">
        <f>SUM(AD65:AD67)</f>
        <v>0</v>
      </c>
      <c r="AG65" s="236">
        <f>IF(AE65&gt;75,2,IF(AE65&gt;=30,1,"-"))</f>
        <v>1</v>
      </c>
      <c r="AH65" s="236" t="str">
        <f>IF(AF65&gt;75,2,IF(AF65&gt;=30,1,"-"))</f>
        <v>-</v>
      </c>
      <c r="AI65" s="193"/>
      <c r="AJ65" s="237" t="str">
        <f>IF(AND(AG65=2,H65="Casi seguro"),Hoja1!$J$5,IF(AND(AG65=2,H65="Posible"),Hoja1!$J$6,IF(AND(H65="Improbable",AG65=2),Hoja1!J12,IF(AND(AG65=1,H65="Casi seguro"),Hoja1!$J$4,IF(AND(AG65=1,H65="Posible"),Hoja1!$J$5,IF(AND(AG65=1,H65="Improbable"),Hoja1!$J$6,'FT-Mapa de riesgos'!H65))))))</f>
        <v>Rara vez</v>
      </c>
      <c r="AK65" s="237" t="str">
        <f>IF(AND(AH65=2,I65="Catastrofico"),Hoja1!$K$5,IF(AND(AH65=2,I65="Mayor"),Hoja1!$K$6,IF(AND(AH65=2,I65="Moderado"),Hoja1!$K$7,IF(AND(AH65=1,I65="Catastrofico"),Hoja1!$K$4,IF(AND(AH65=1,I65="Mayor "),Hoja1!$K$5,IF(AND(AH65=1,I65="Moderado"),Hoja1!$K$6,IF(AND(AH65=2,I65="Menor"),Hoja1!$K$7,'FT-Mapa de riesgos'!I65)))))))</f>
        <v xml:space="preserve">Mayor </v>
      </c>
      <c r="AL65" s="238" t="str">
        <f>IF(ISERROR(VLOOKUP(AJ65&amp;AK65,Hoja1!$C$1:$F$25,4,0)),"",(VLOOKUP(AJ65&amp;AK65,Hoja1!$C$1:$F$25,4,0)))</f>
        <v>Alto</v>
      </c>
      <c r="AM65" s="233" t="s">
        <v>176</v>
      </c>
    </row>
    <row r="66" spans="1:39" ht="189.95" customHeight="1" x14ac:dyDescent="0.4">
      <c r="A66" s="191"/>
      <c r="B66" s="245"/>
      <c r="C66" s="249"/>
      <c r="D66" s="249"/>
      <c r="E66" s="244"/>
      <c r="F66" s="195" t="s">
        <v>351</v>
      </c>
      <c r="G66" s="249"/>
      <c r="H66" s="239"/>
      <c r="I66" s="240"/>
      <c r="J66" s="238"/>
      <c r="K66" s="185" t="s">
        <v>85</v>
      </c>
      <c r="L66" s="234"/>
      <c r="M66" s="195" t="s">
        <v>365</v>
      </c>
      <c r="N66" s="195" t="s">
        <v>366</v>
      </c>
      <c r="O66" s="195" t="s">
        <v>367</v>
      </c>
      <c r="P66" s="188" t="s">
        <v>22</v>
      </c>
      <c r="Q66" s="188" t="s">
        <v>42</v>
      </c>
      <c r="R66" s="188" t="str">
        <f t="shared" si="5"/>
        <v>N/A</v>
      </c>
      <c r="S66" s="188" t="s">
        <v>41</v>
      </c>
      <c r="T66" s="189" t="s">
        <v>377</v>
      </c>
      <c r="U66" s="188" t="s">
        <v>41</v>
      </c>
      <c r="V66" s="189" t="s">
        <v>91</v>
      </c>
      <c r="W66" s="188" t="s">
        <v>101</v>
      </c>
      <c r="X66" s="190" t="s">
        <v>102</v>
      </c>
      <c r="Y66" s="189" t="s">
        <v>108</v>
      </c>
      <c r="Z66" s="188" t="s">
        <v>41</v>
      </c>
      <c r="AA66" s="195" t="s">
        <v>381</v>
      </c>
      <c r="AB66" s="183">
        <f t="shared" si="4"/>
        <v>68</v>
      </c>
      <c r="AC66" s="184">
        <f>IF(AND(L65=2,P66="Probabilidad",AB66&gt;=75),50,IF(AND(P66="Probabilidad",L65=2,AB66&gt;=50),37,IF(AND(P66="Probabilidad",L65=2,AB66&gt;=25),25,IF(AND(P66="Probabilidad",L65=2,AB66&gt;10),12,IF(AND(L65=1,P66="Probabilidad",AB66&gt;=75),100,IF(AND(P66="Probabilidad",L65=1,AB66&gt;=50),75,IF(AND(P66="Probabilidad",L65=1,AB66&gt;=25),50,IF(AND(P66="Probabilidad",L65=1,AB66&gt;10),25,IF(AND(P66="Probabilidad",L65=3,AB66&gt;=75),33.3,IF(AND(P66="Probabilidad",L65=3,AB66,AB66&gt;=50),25,IF(AND(P66="Probabilidad",L65=3,AB66&gt;=25),17,IF(AND(P66="Probabilidad",L65=3,AB66&gt;10),8,0))))))))))))</f>
        <v>37</v>
      </c>
      <c r="AD66" s="184">
        <f>IF(AND(L65=2,P66="Impacto",AB66&gt;=75),50,IF(AND(P66="Impacto",L65=2,AB66&gt;=50),37,IF(AND(P66="Impacto",L65=2,AB66&gt;=25),25,IF(AND(P66="Impacto",L65=2,AB66&gt;10),12,IF(AND(L65=1,P66="Impacto",AB66&gt;=75),100,IF(AND(P66="Impacto",L65=1,AB66&gt;=50),75,IF(AND(P66="Impacto",L65=1,AB66&gt;=25),50,IF(AND(P66="Impacto",L65=1,AB66&gt;10),25,IF(AND(P66="Impacto",L65=3,AB66&gt;=75),33.3,IF(AND(P66="Impacto",L65=3,AB66,AB66&gt;=50),25,IF(AND(P66="Impacto",L65=3,AB66&gt;=25),17,IF(AND(P66="Impacto",L65=3,AB66&gt;10),8,0))))))))))))</f>
        <v>0</v>
      </c>
      <c r="AE66" s="235"/>
      <c r="AF66" s="235"/>
      <c r="AG66" s="236"/>
      <c r="AH66" s="236"/>
      <c r="AI66" s="193"/>
      <c r="AJ66" s="237"/>
      <c r="AK66" s="237"/>
      <c r="AL66" s="238"/>
      <c r="AM66" s="233"/>
    </row>
    <row r="67" spans="1:39" ht="73.5" hidden="1" customHeight="1" x14ac:dyDescent="0.4">
      <c r="A67" s="191"/>
      <c r="B67" s="245"/>
      <c r="C67" s="249"/>
      <c r="D67" s="249"/>
      <c r="E67" s="244"/>
      <c r="F67" s="195"/>
      <c r="G67" s="249"/>
      <c r="H67" s="239"/>
      <c r="I67" s="240"/>
      <c r="J67" s="238"/>
      <c r="K67" s="187"/>
      <c r="L67" s="234"/>
      <c r="M67" s="212"/>
      <c r="N67" s="212"/>
      <c r="O67" s="212"/>
      <c r="P67" s="188"/>
      <c r="Q67" s="188"/>
      <c r="R67" s="188" t="str">
        <f t="shared" si="5"/>
        <v/>
      </c>
      <c r="S67" s="188"/>
      <c r="T67" s="188" t="str">
        <f t="shared" si="6"/>
        <v/>
      </c>
      <c r="U67" s="188"/>
      <c r="V67" s="188"/>
      <c r="W67" s="188"/>
      <c r="X67" s="190"/>
      <c r="Y67" s="188"/>
      <c r="Z67" s="188"/>
      <c r="AA67" s="188" t="str">
        <f t="shared" si="7"/>
        <v/>
      </c>
      <c r="AB67" s="183">
        <f t="shared" si="4"/>
        <v>0</v>
      </c>
      <c r="AC67" s="184">
        <f>IF(AND(L65=2,P67="Probabilidad",AB67&gt;=75),50,IF(AND(P67="Probabilidad",L65=2,AB67&gt;=50),37,IF(AND(P67="Probabilidad",L65=2,AB67&gt;=25),25,IF(AND(P67="Probabilidad",L65=2,AB67&gt;10),12,IF(AND(L65=1,P67="Probabilidad",AB67&gt;=75),100,IF(AND(P67="Probabilidad",L65=1,AB67&gt;=50),75,IF(AND(P67="Probabilidad",L65=1,AB67&gt;=25),50,IF(AND(P67="Probabilidad",L65=1,AB67&gt;10),25,IF(AND(P67="Probabilidad",L65=3,AB67&gt;=75),33.3,IF(AND(P67="Probabilidad",L65=3,AB67,AB67&gt;=50),25,IF(AND(P67="Probabilidad",L65=3,AB67&gt;=25),17,IF(AND(P67="Probabilidad",L65=3,AB67&gt;10),8,0))))))))))))</f>
        <v>0</v>
      </c>
      <c r="AD67" s="184">
        <f>IF(AND(L65=2,P67="Impacto",AB67&gt;=75),50,IF(AND(P67="Impacto",L65=2,AB67&gt;=50),37,IF(AND(P67="Impacto",L65=2,AB67&gt;=25),25,IF(AND(P67="Impacto",L65=2,AB67&gt;10),12,IF(AND(L65=1,P67="Impacto",AB67&gt;=75),100,IF(AND(P67="Impacto",L65=1,AB67&gt;=50),75,IF(AND(P67="Impacto",L65=1,AB67&gt;=25),50,IF(AND(P67="Impacto",L65=1,AB67&gt;10),25,IF(AND(P67="Impacto",L65=3,AB67&gt;=75),33.3,IF(AND(P67="Impacto",L65=3,AB67,AB67&gt;=50),25,IF(AND(P67="Impacto",L65=3,AB67&gt;=25),17,IF(AND(P67="Impacto",L65=3,AB67&gt;10),8,0))))))))))))</f>
        <v>0</v>
      </c>
      <c r="AE67" s="235"/>
      <c r="AF67" s="235"/>
      <c r="AG67" s="236"/>
      <c r="AH67" s="236"/>
      <c r="AI67" s="193"/>
      <c r="AJ67" s="237"/>
      <c r="AK67" s="237"/>
      <c r="AL67" s="238"/>
      <c r="AM67" s="233"/>
    </row>
    <row r="68" spans="1:39" ht="200.1" customHeight="1" x14ac:dyDescent="0.4">
      <c r="A68" s="191"/>
      <c r="B68" s="245">
        <v>17</v>
      </c>
      <c r="C68" s="249" t="s">
        <v>352</v>
      </c>
      <c r="D68" s="249" t="s">
        <v>353</v>
      </c>
      <c r="E68" s="244" t="s">
        <v>67</v>
      </c>
      <c r="F68" s="195" t="s">
        <v>354</v>
      </c>
      <c r="G68" s="249" t="s">
        <v>355</v>
      </c>
      <c r="H68" s="239" t="s">
        <v>15</v>
      </c>
      <c r="I68" s="240" t="s">
        <v>20</v>
      </c>
      <c r="J68" s="238" t="str">
        <f>IF(ISERROR(VLOOKUP(H68&amp;I68,Hoja1!$C$1:$F$25,4,0)),"",(VLOOKUP(H68&amp;I68,Hoja1!$C$1:$F$25,4,0)))</f>
        <v>Extremo</v>
      </c>
      <c r="K68" s="185" t="s">
        <v>85</v>
      </c>
      <c r="L68" s="234">
        <v>2</v>
      </c>
      <c r="M68" s="195" t="s">
        <v>368</v>
      </c>
      <c r="N68" s="195" t="s">
        <v>369</v>
      </c>
      <c r="O68" s="195" t="s">
        <v>370</v>
      </c>
      <c r="P68" s="188" t="s">
        <v>22</v>
      </c>
      <c r="Q68" s="188" t="s">
        <v>42</v>
      </c>
      <c r="R68" s="188" t="str">
        <f t="shared" si="5"/>
        <v>N/A</v>
      </c>
      <c r="S68" s="188" t="s">
        <v>41</v>
      </c>
      <c r="T68" s="189" t="s">
        <v>378</v>
      </c>
      <c r="U68" s="188" t="s">
        <v>41</v>
      </c>
      <c r="V68" s="188" t="s">
        <v>72</v>
      </c>
      <c r="W68" s="188" t="s">
        <v>101</v>
      </c>
      <c r="X68" s="190" t="s">
        <v>102</v>
      </c>
      <c r="Y68" s="189" t="s">
        <v>108</v>
      </c>
      <c r="Z68" s="188" t="s">
        <v>41</v>
      </c>
      <c r="AA68" s="195" t="s">
        <v>382</v>
      </c>
      <c r="AB68" s="183">
        <f t="shared" si="4"/>
        <v>68</v>
      </c>
      <c r="AC68" s="184">
        <f>IF(AND(L68=2,P68="Probabilidad",AB68&gt;=75),50,IF(AND(P68="Probabilidad",L68=2,AB68&gt;=50),37,IF(AND(P68="Probabilidad",L68=2,AB68&gt;=25),25,IF(AND(P68="Probabilidad",L68=2,AB68&gt;10),12,IF(AND(L68=1,P68="Probabilidad",AB68&gt;=75),100,IF(AND(P68="Probabilidad",L68=1,AB68&gt;=50),75,IF(AND(P68="Probabilidad",L68=1,AB68&gt;=25),50,IF(AND(P68="Probabilidad",L68=1,AB68&gt;10),25,IF(AND(P68="Probabilidad",L68=3,AB68&gt;=75),33.3,IF(AND(P68="Probabilidad",L68=3,AB68,AB68&gt;=50),25,IF(AND(P68="Probabilidad",L68=3,AB68&gt;=25),17,IF(AND(P68="Probabilidad",L68=3,AB68&gt;10),8,0))))))))))))</f>
        <v>37</v>
      </c>
      <c r="AD68" s="184">
        <f>IF(AND(L68=2,P68="Impacto",AB68&gt;=75),50,IF(AND(P68="Impacto",L68=2,AB68&gt;=50),37,IF(AND(P68="Impacto",L68=2,AB68&gt;=25),25,IF(AND(P68="Impacto",L68=2,AB68&gt;10),12,IF(AND(L68=1,P68="Impacto",AB68&gt;=75),100,IF(AND(P68="Impacto",L68=1,AB68&gt;=50),75,IF(AND(P68="Impacto",L68=1,AB68&gt;=25),50,IF(AND(P68="Impacto",L68=1,AB68&gt;10),25,IF(AND(P68="Impacto",L68=3,AB68&gt;=75),33.3,IF(AND(P68="Impacto",L68=3,AB68,AB68&gt;=50),25,IF(AND(P68="Impacto",L68=3,AB68&gt;=25),17,IF(AND(P68="Impacto",L68=3,AB68&gt;10),8,0))))))))))))</f>
        <v>0</v>
      </c>
      <c r="AE68" s="235">
        <f>SUM(AC68:AC70)</f>
        <v>74</v>
      </c>
      <c r="AF68" s="235">
        <f>SUM(AD68:AD70)</f>
        <v>0</v>
      </c>
      <c r="AG68" s="236">
        <f>IF(AE68&gt;75,2,IF(AE68&gt;=30,1,"-"))</f>
        <v>1</v>
      </c>
      <c r="AH68" s="236" t="str">
        <f>IF(AF68&gt;75,2,IF(AF68&gt;=30,1,"-"))</f>
        <v>-</v>
      </c>
      <c r="AI68" s="193"/>
      <c r="AJ68" s="237" t="str">
        <f>IF(AND(AG68=2,H68="Casi seguro"),Hoja1!$J$5,IF(AND(AG68=2,H68="Posible"),Hoja1!$J$6,IF(AND(H68="Improbable",AG68=2),Hoja1!J15,IF(AND(AG68=1,H68="Casi seguro"),Hoja1!$J$4,IF(AND(AG68=1,H68="Posible"),Hoja1!$J$5,IF(AND(AG68=1,H68="Improbable"),Hoja1!$J$6,'FT-Mapa de riesgos'!H68))))))</f>
        <v>Improbable</v>
      </c>
      <c r="AK68" s="237" t="str">
        <f>IF(AND(AH68=2,I68="Catastrofico"),Hoja1!$K$5,IF(AND(AH68=2,I68="Mayor"),Hoja1!$K$6,IF(AND(AH68=2,I68="Moderado"),Hoja1!$K$7,IF(AND(AH68=1,I68="Catastrofico"),Hoja1!$K$4,IF(AND(AH68=1,I68="Mayor "),Hoja1!$K$5,IF(AND(AH68=1,I68="Moderado"),Hoja1!$K$6,IF(AND(AH68=2,I68="Menor"),Hoja1!$K$7,'FT-Mapa de riesgos'!I68)))))))</f>
        <v xml:space="preserve">Mayor </v>
      </c>
      <c r="AL68" s="238" t="str">
        <f>IF(ISERROR(VLOOKUP(AJ68&amp;AK68,Hoja1!$C$1:$F$25,4,0)),"",(VLOOKUP(AJ68&amp;AK68,Hoja1!$C$1:$F$25,4,0)))</f>
        <v>Alto</v>
      </c>
      <c r="AM68" s="233"/>
    </row>
    <row r="69" spans="1:39" ht="200.1" customHeight="1" x14ac:dyDescent="0.4">
      <c r="A69" s="191"/>
      <c r="B69" s="245"/>
      <c r="C69" s="249"/>
      <c r="D69" s="249"/>
      <c r="E69" s="244"/>
      <c r="F69" s="195" t="s">
        <v>356</v>
      </c>
      <c r="G69" s="249"/>
      <c r="H69" s="239"/>
      <c r="I69" s="240"/>
      <c r="J69" s="238"/>
      <c r="K69" s="185" t="s">
        <v>85</v>
      </c>
      <c r="L69" s="234"/>
      <c r="M69" s="195" t="s">
        <v>371</v>
      </c>
      <c r="N69" s="195" t="s">
        <v>1096</v>
      </c>
      <c r="O69" s="195" t="s">
        <v>372</v>
      </c>
      <c r="P69" s="188" t="s">
        <v>22</v>
      </c>
      <c r="Q69" s="188" t="s">
        <v>42</v>
      </c>
      <c r="R69" s="188" t="str">
        <f t="shared" si="5"/>
        <v>N/A</v>
      </c>
      <c r="S69" s="188" t="s">
        <v>41</v>
      </c>
      <c r="T69" s="189" t="s">
        <v>378</v>
      </c>
      <c r="U69" s="188" t="s">
        <v>41</v>
      </c>
      <c r="V69" s="188" t="s">
        <v>72</v>
      </c>
      <c r="W69" s="188" t="s">
        <v>101</v>
      </c>
      <c r="X69" s="190" t="s">
        <v>102</v>
      </c>
      <c r="Y69" s="189" t="s">
        <v>108</v>
      </c>
      <c r="Z69" s="188" t="s">
        <v>41</v>
      </c>
      <c r="AA69" s="195" t="s">
        <v>383</v>
      </c>
      <c r="AB69" s="183">
        <f t="shared" si="4"/>
        <v>68</v>
      </c>
      <c r="AC69" s="184">
        <f>IF(AND(L68=2,P69="Probabilidad",AB69&gt;=75),50,IF(AND(P69="Probabilidad",L68=2,AB69&gt;=50),37,IF(AND(P69="Probabilidad",L68=2,AB69&gt;=25),25,IF(AND(P69="Probabilidad",L68=2,AB69&gt;10),12,IF(AND(L68=1,P69="Probabilidad",AB69&gt;=75),100,IF(AND(P69="Probabilidad",L68=1,AB69&gt;=50),75,IF(AND(P69="Probabilidad",L68=1,AB69&gt;=25),50,IF(AND(P69="Probabilidad",L68=1,AB69&gt;10),25,IF(AND(P69="Probabilidad",L68=3,AB69&gt;=75),33.3,IF(AND(P69="Probabilidad",L68=3,AB69,AB69&gt;=50),25,IF(AND(P69="Probabilidad",L68=3,AB69&gt;=25),17,IF(AND(P69="Probabilidad",L68=3,AB69&gt;10),8,0))))))))))))</f>
        <v>37</v>
      </c>
      <c r="AD69" s="184">
        <f>IF(AND(L68=2,P69="Impacto",AB69&gt;=75),50,IF(AND(P69="Impacto",L68=2,AB69&gt;=50),37,IF(AND(P69="Impacto",L68=2,AB69&gt;=25),25,IF(AND(P69="Impacto",L68=2,AB69&gt;10),12,IF(AND(L68=1,P69="Impacto",AB69&gt;=75),100,IF(AND(P69="Impacto",L68=1,AB69&gt;=50),75,IF(AND(P69="Impacto",L68=1,AB69&gt;=25),50,IF(AND(P69="Impacto",L68=1,AB69&gt;10),25,IF(AND(P69="Impacto",L68=3,AB69&gt;=75),33.3,IF(AND(P69="Impacto",L68=3,AB69,AB69&gt;=50),25,IF(AND(P69="Impacto",L68=3,AB69&gt;=25),17,IF(AND(P69="Impacto",L68=3,AB69&gt;10),8,0))))))))))))</f>
        <v>0</v>
      </c>
      <c r="AE69" s="235"/>
      <c r="AF69" s="235"/>
      <c r="AG69" s="236"/>
      <c r="AH69" s="236"/>
      <c r="AI69" s="193"/>
      <c r="AJ69" s="237"/>
      <c r="AK69" s="237"/>
      <c r="AL69" s="238"/>
      <c r="AM69" s="233"/>
    </row>
    <row r="70" spans="1:39" ht="200.1" hidden="1" customHeight="1" x14ac:dyDescent="0.4">
      <c r="A70" s="191"/>
      <c r="B70" s="245"/>
      <c r="C70" s="249"/>
      <c r="D70" s="249"/>
      <c r="E70" s="244"/>
      <c r="F70" s="198"/>
      <c r="G70" s="249"/>
      <c r="H70" s="239"/>
      <c r="I70" s="240"/>
      <c r="J70" s="238"/>
      <c r="K70" s="187"/>
      <c r="L70" s="234"/>
      <c r="M70" s="212"/>
      <c r="N70" s="212"/>
      <c r="O70" s="212"/>
      <c r="P70" s="188"/>
      <c r="Q70" s="188"/>
      <c r="R70" s="188" t="str">
        <f t="shared" si="5"/>
        <v/>
      </c>
      <c r="S70" s="188"/>
      <c r="T70" s="188" t="str">
        <f t="shared" si="6"/>
        <v/>
      </c>
      <c r="U70" s="188"/>
      <c r="V70" s="188"/>
      <c r="W70" s="188"/>
      <c r="X70" s="190"/>
      <c r="Y70" s="188"/>
      <c r="Z70" s="188"/>
      <c r="AA70" s="188" t="str">
        <f t="shared" si="7"/>
        <v/>
      </c>
      <c r="AB70" s="183">
        <f t="shared" si="4"/>
        <v>0</v>
      </c>
      <c r="AC70" s="184">
        <f>IF(AND(L68=2,P70="Probabilidad",AB70&gt;=75),50,IF(AND(P70="Probabilidad",L68=2,AB70&gt;=50),37,IF(AND(P70="Probabilidad",L68=2,AB70&gt;=25),25,IF(AND(P70="Probabilidad",L68=2,AB70&gt;10),12,IF(AND(L68=1,P70="Probabilidad",AB70&gt;=75),100,IF(AND(P70="Probabilidad",L68=1,AB70&gt;=50),75,IF(AND(P70="Probabilidad",L68=1,AB70&gt;=25),50,IF(AND(P70="Probabilidad",L68=1,AB70&gt;10),25,IF(AND(P70="Probabilidad",L68=3,AB70&gt;=75),33.3,IF(AND(P70="Probabilidad",L68=3,AB70,AB70&gt;=50),25,IF(AND(P70="Probabilidad",L68=3,AB70&gt;=25),17,IF(AND(P70="Probabilidad",L68=3,AB70&gt;10),8,0))))))))))))</f>
        <v>0</v>
      </c>
      <c r="AD70" s="184">
        <f>IF(AND(L68=2,P70="Impacto",AB70&gt;=75),50,IF(AND(P70="Impacto",L68=2,AB70&gt;=50),37,IF(AND(P70="Impacto",L68=2,AB70&gt;=25),25,IF(AND(P70="Impacto",L68=2,AB70&gt;10),12,IF(AND(L68=1,P70="Impacto",AB70&gt;=75),100,IF(AND(P70="Impacto",L68=1,AB70&gt;=50),75,IF(AND(P70="Impacto",L68=1,AB70&gt;=25),50,IF(AND(P70="Impacto",L68=1,AB70&gt;10),25,IF(AND(P70="Impacto",L68=3,AB70&gt;=75),33.3,IF(AND(P70="Impacto",L68=3,AB70,AB70&gt;=50),25,IF(AND(P70="Impacto",L68=3,AB70&gt;=25),17,IF(AND(P70="Impacto",L68=3,AB70&gt;10),8,0))))))))))))</f>
        <v>0</v>
      </c>
      <c r="AE70" s="235"/>
      <c r="AF70" s="235"/>
      <c r="AG70" s="236"/>
      <c r="AH70" s="236"/>
      <c r="AI70" s="193"/>
      <c r="AJ70" s="237"/>
      <c r="AK70" s="237"/>
      <c r="AL70" s="238"/>
      <c r="AM70" s="233"/>
    </row>
    <row r="71" spans="1:39" ht="291.75" customHeight="1" x14ac:dyDescent="0.4">
      <c r="A71" s="191"/>
      <c r="B71" s="245">
        <v>18</v>
      </c>
      <c r="C71" s="244" t="s">
        <v>384</v>
      </c>
      <c r="D71" s="251" t="s">
        <v>385</v>
      </c>
      <c r="E71" s="244" t="s">
        <v>79</v>
      </c>
      <c r="F71" s="249" t="s">
        <v>386</v>
      </c>
      <c r="G71" s="244" t="s">
        <v>387</v>
      </c>
      <c r="H71" s="239" t="s">
        <v>14</v>
      </c>
      <c r="I71" s="240" t="s">
        <v>19</v>
      </c>
      <c r="J71" s="238" t="str">
        <f>IF(ISERROR(VLOOKUP(H71&amp;I71,Hoja1!$C$1:$F$25,4,0)),"",(VLOOKUP(H71&amp;I71,Hoja1!$C$1:$F$25,4,0)))</f>
        <v>Moderado</v>
      </c>
      <c r="K71" s="185" t="s">
        <v>84</v>
      </c>
      <c r="L71" s="234">
        <v>2</v>
      </c>
      <c r="M71" s="195" t="s">
        <v>392</v>
      </c>
      <c r="N71" s="195" t="s">
        <v>393</v>
      </c>
      <c r="O71" s="195" t="s">
        <v>394</v>
      </c>
      <c r="P71" s="188" t="s">
        <v>22</v>
      </c>
      <c r="Q71" s="188" t="s">
        <v>42</v>
      </c>
      <c r="R71" s="188" t="str">
        <f t="shared" si="5"/>
        <v>N/A</v>
      </c>
      <c r="S71" s="188" t="s">
        <v>41</v>
      </c>
      <c r="T71" s="189" t="s">
        <v>405</v>
      </c>
      <c r="U71" s="188" t="s">
        <v>41</v>
      </c>
      <c r="V71" s="189" t="s">
        <v>151</v>
      </c>
      <c r="W71" s="189" t="s">
        <v>101</v>
      </c>
      <c r="X71" s="190" t="s">
        <v>102</v>
      </c>
      <c r="Y71" s="189" t="s">
        <v>167</v>
      </c>
      <c r="Z71" s="188" t="s">
        <v>41</v>
      </c>
      <c r="AA71" s="189" t="s">
        <v>407</v>
      </c>
      <c r="AB71" s="183">
        <f t="shared" si="4"/>
        <v>68</v>
      </c>
      <c r="AC71" s="184">
        <f>IF(AND(L71=2,P71="Probabilidad",AB71&gt;=75),50,IF(AND(P71="Probabilidad",L71=2,AB71&gt;=50),37,IF(AND(P71="Probabilidad",L71=2,AB71&gt;=25),25,IF(AND(P71="Probabilidad",L71=2,AB71&gt;10),12,IF(AND(L71=1,P71="Probabilidad",AB71&gt;=75),100,IF(AND(P71="Probabilidad",L71=1,AB71&gt;=50),75,IF(AND(P71="Probabilidad",L71=1,AB71&gt;=25),50,IF(AND(P71="Probabilidad",L71=1,AB71&gt;10),25,IF(AND(P71="Probabilidad",L71=3,AB71&gt;=75),33.3,IF(AND(P71="Probabilidad",L71=3,AB71,AB71&gt;=50),25,IF(AND(P71="Probabilidad",L71=3,AB71&gt;=25),17,IF(AND(P71="Probabilidad",L71=3,AB71&gt;10),8,0))))))))))))</f>
        <v>37</v>
      </c>
      <c r="AD71" s="184">
        <f>IF(AND(L71=2,P71="Impacto",AB71&gt;=75),50,IF(AND(P71="Impacto",L71=2,AB71&gt;=50),37,IF(AND(P71="Impacto",L71=2,AB71&gt;=25),25,IF(AND(P71="Impacto",L71=2,AB71&gt;10),12,IF(AND(L71=1,P71="Impacto",AB71&gt;=75),100,IF(AND(P71="Impacto",L71=1,AB71&gt;=50),75,IF(AND(P71="Impacto",L71=1,AB71&gt;=25),50,IF(AND(P71="Impacto",L71=1,AB71&gt;10),25,IF(AND(P71="Impacto",L71=3,AB71&gt;=75),33.3,IF(AND(P71="Impacto",L71=3,AB71,AB71&gt;=50),25,IF(AND(P71="Impacto",L71=3,AB71&gt;=25),17,IF(AND(P71="Impacto",L71=3,AB71&gt;10),8,0))))))))))))</f>
        <v>0</v>
      </c>
      <c r="AE71" s="235">
        <f>SUM(AC71:AC73)</f>
        <v>74</v>
      </c>
      <c r="AF71" s="235">
        <f>SUM(AD71:AD73)</f>
        <v>0</v>
      </c>
      <c r="AG71" s="236">
        <f>IF(AE71&gt;75,2,IF(AE71&gt;=30,1,"-"))</f>
        <v>1</v>
      </c>
      <c r="AH71" s="236" t="str">
        <f>IF(AF71&gt;75,2,IF(AF71&gt;=30,1,"-"))</f>
        <v>-</v>
      </c>
      <c r="AI71" s="193"/>
      <c r="AJ71" s="237" t="str">
        <f>IF(AND(AG71=2,H71="Casi seguro"),Hoja1!$J$5,IF(AND(AG71=2,H71="Posible"),Hoja1!$J$6,IF(AND(H71="Improbable",AG71=2),Hoja1!J18,IF(AND(AG71=1,H71="Casi seguro"),Hoja1!$J$4,IF(AND(AG71=1,H71="Posible"),Hoja1!$J$5,IF(AND(AG71=1,H71="Improbable"),Hoja1!$J$6,'FT-Mapa de riesgos'!H71))))))</f>
        <v>Rara Vez</v>
      </c>
      <c r="AK71" s="237" t="str">
        <f>IF(AND(AH71=2,I71="Catastrofico"),Hoja1!$K$5,IF(AND(AH71=2,I71="Mayor"),Hoja1!$K$6,IF(AND(AH71=2,I71="Moderado"),Hoja1!$K$7,IF(AND(AH71=1,I71="Catastrofico"),Hoja1!$K$4,IF(AND(AH71=1,I71="Mayor "),Hoja1!$K$5,IF(AND(AH71=1,I71="Moderado"),Hoja1!$K$6,IF(AND(AH71=2,I71="Menor"),Hoja1!$K$7,'FT-Mapa de riesgos'!I71)))))))</f>
        <v>Moderado</v>
      </c>
      <c r="AL71" s="238" t="str">
        <f>IF(ISERROR(VLOOKUP(AJ71&amp;AK71,Hoja1!$C$1:$F$25,4,0)),"",(VLOOKUP(AJ71&amp;AK71,Hoja1!$C$1:$F$25,4,0)))</f>
        <v>Moderado</v>
      </c>
      <c r="AM71" s="233"/>
    </row>
    <row r="72" spans="1:39" ht="323.25" customHeight="1" x14ac:dyDescent="0.4">
      <c r="A72" s="191"/>
      <c r="B72" s="245"/>
      <c r="C72" s="244"/>
      <c r="D72" s="251"/>
      <c r="E72" s="244"/>
      <c r="F72" s="249"/>
      <c r="G72" s="244"/>
      <c r="H72" s="239"/>
      <c r="I72" s="240"/>
      <c r="J72" s="238"/>
      <c r="K72" s="185" t="s">
        <v>84</v>
      </c>
      <c r="L72" s="234"/>
      <c r="M72" s="195" t="s">
        <v>395</v>
      </c>
      <c r="N72" s="195" t="s">
        <v>396</v>
      </c>
      <c r="O72" s="195" t="s">
        <v>394</v>
      </c>
      <c r="P72" s="188" t="s">
        <v>22</v>
      </c>
      <c r="Q72" s="188" t="s">
        <v>42</v>
      </c>
      <c r="R72" s="188" t="str">
        <f t="shared" si="5"/>
        <v>N/A</v>
      </c>
      <c r="S72" s="188" t="s">
        <v>41</v>
      </c>
      <c r="T72" s="189" t="s">
        <v>405</v>
      </c>
      <c r="U72" s="188" t="s">
        <v>41</v>
      </c>
      <c r="V72" s="189" t="s">
        <v>151</v>
      </c>
      <c r="W72" s="189" t="s">
        <v>101</v>
      </c>
      <c r="X72" s="190" t="s">
        <v>102</v>
      </c>
      <c r="Y72" s="189" t="s">
        <v>167</v>
      </c>
      <c r="Z72" s="188" t="s">
        <v>41</v>
      </c>
      <c r="AA72" s="189" t="s">
        <v>408</v>
      </c>
      <c r="AB72" s="183">
        <f t="shared" si="4"/>
        <v>68</v>
      </c>
      <c r="AC72" s="184">
        <f>IF(AND(L71=2,P72="Probabilidad",AB72&gt;=75),50,IF(AND(P72="Probabilidad",L71=2,AB72&gt;=50),37,IF(AND(P72="Probabilidad",L71=2,AB72&gt;=25),25,IF(AND(P72="Probabilidad",L71=2,AB72&gt;10),12,IF(AND(L71=1,P72="Probabilidad",AB72&gt;=75),100,IF(AND(P72="Probabilidad",L71=1,AB72&gt;=50),75,IF(AND(P72="Probabilidad",L71=1,AB72&gt;=25),50,IF(AND(P72="Probabilidad",L71=1,AB72&gt;10),25,IF(AND(P72="Probabilidad",L71=3,AB72&gt;=75),33.3,IF(AND(P72="Probabilidad",L71=3,AB72,AB72&gt;=50),25,IF(AND(P72="Probabilidad",L71=3,AB72&gt;=25),17,IF(AND(P72="Probabilidad",L71=3,AB72&gt;10),8,0))))))))))))</f>
        <v>37</v>
      </c>
      <c r="AD72" s="184">
        <f>IF(AND(L71=2,P72="Impacto",AB72&gt;=75),50,IF(AND(P72="Impacto",L71=2,AB72&gt;=50),37,IF(AND(P72="Impacto",L71=2,AB72&gt;=25),25,IF(AND(P72="Impacto",L71=2,AB72&gt;10),12,IF(AND(L71=1,P72="Impacto",AB72&gt;=75),100,IF(AND(P72="Impacto",L71=1,AB72&gt;=50),75,IF(AND(P72="Impacto",L71=1,AB72&gt;=25),50,IF(AND(P72="Impacto",L71=1,AB72&gt;10),25,IF(AND(P72="Impacto",L71=3,AB72&gt;=75),33.3,IF(AND(P72="Impacto",L71=3,AB72,AB72&gt;=50),25,IF(AND(P72="Impacto",L71=3,AB72&gt;=25),17,IF(AND(P72="Impacto",L71=3,AB72&gt;10),8,0))))))))))))</f>
        <v>0</v>
      </c>
      <c r="AE72" s="235"/>
      <c r="AF72" s="235"/>
      <c r="AG72" s="236"/>
      <c r="AH72" s="236"/>
      <c r="AI72" s="193"/>
      <c r="AJ72" s="237"/>
      <c r="AK72" s="237"/>
      <c r="AL72" s="238"/>
      <c r="AM72" s="233"/>
    </row>
    <row r="73" spans="1:39" ht="200.1" hidden="1" customHeight="1" x14ac:dyDescent="0.4">
      <c r="A73" s="191"/>
      <c r="B73" s="245"/>
      <c r="C73" s="244"/>
      <c r="D73" s="251"/>
      <c r="E73" s="244"/>
      <c r="F73" s="195"/>
      <c r="G73" s="244"/>
      <c r="H73" s="239"/>
      <c r="I73" s="240"/>
      <c r="J73" s="238"/>
      <c r="K73" s="187"/>
      <c r="L73" s="234"/>
      <c r="M73" s="212"/>
      <c r="N73" s="212"/>
      <c r="O73" s="212"/>
      <c r="P73" s="188"/>
      <c r="Q73" s="188"/>
      <c r="R73" s="188" t="str">
        <f t="shared" si="5"/>
        <v/>
      </c>
      <c r="S73" s="188"/>
      <c r="T73" s="188" t="str">
        <f t="shared" si="6"/>
        <v/>
      </c>
      <c r="U73" s="188"/>
      <c r="V73" s="188"/>
      <c r="W73" s="188"/>
      <c r="X73" s="190"/>
      <c r="Y73" s="188"/>
      <c r="Z73" s="188"/>
      <c r="AA73" s="188" t="str">
        <f t="shared" si="7"/>
        <v/>
      </c>
      <c r="AB73" s="183">
        <f t="shared" si="4"/>
        <v>0</v>
      </c>
      <c r="AC73" s="184">
        <f>IF(AND(L71=2,P73="Probabilidad",AB73&gt;=75),50,IF(AND(P73="Probabilidad",L71=2,AB73&gt;=50),37,IF(AND(P73="Probabilidad",L71=2,AB73&gt;=25),25,IF(AND(P73="Probabilidad",L71=2,AB73&gt;10),12,IF(AND(L71=1,P73="Probabilidad",AB73&gt;=75),100,IF(AND(P73="Probabilidad",L71=1,AB73&gt;=50),75,IF(AND(P73="Probabilidad",L71=1,AB73&gt;=25),50,IF(AND(P73="Probabilidad",L71=1,AB73&gt;10),25,IF(AND(P73="Probabilidad",L71=3,AB73&gt;=75),33.3,IF(AND(P73="Probabilidad",L71=3,AB73,AB73&gt;=50),25,IF(AND(P73="Probabilidad",L71=3,AB73&gt;=25),17,IF(AND(P73="Probabilidad",L71=3,AB73&gt;10),8,0))))))))))))</f>
        <v>0</v>
      </c>
      <c r="AD73" s="184">
        <f>IF(AND(L71=2,P73="Impacto",AB73&gt;=75),50,IF(AND(P73="Impacto",L71=2,AB73&gt;=50),37,IF(AND(P73="Impacto",L71=2,AB73&gt;=25),25,IF(AND(P73="Impacto",L71=2,AB73&gt;10),12,IF(AND(L71=1,P73="Impacto",AB73&gt;=75),100,IF(AND(P73="Impacto",L71=1,AB73&gt;=50),75,IF(AND(P73="Impacto",L71=1,AB73&gt;=25),50,IF(AND(P73="Impacto",L71=1,AB73&gt;10),25,IF(AND(P73="Impacto",L71=3,AB73&gt;=75),33.3,IF(AND(P73="Impacto",L71=3,AB73,AB73&gt;=50),25,IF(AND(P73="Impacto",L71=3,AB73&gt;=25),17,IF(AND(P73="Impacto",L71=3,AB73&gt;10),8,0))))))))))))</f>
        <v>0</v>
      </c>
      <c r="AE73" s="235"/>
      <c r="AF73" s="235"/>
      <c r="AG73" s="236"/>
      <c r="AH73" s="236"/>
      <c r="AI73" s="193"/>
      <c r="AJ73" s="237"/>
      <c r="AK73" s="237"/>
      <c r="AL73" s="238"/>
      <c r="AM73" s="233"/>
    </row>
    <row r="74" spans="1:39" ht="246.75" customHeight="1" x14ac:dyDescent="0.4">
      <c r="A74" s="191"/>
      <c r="B74" s="245">
        <v>19</v>
      </c>
      <c r="C74" s="244" t="s">
        <v>388</v>
      </c>
      <c r="D74" s="244" t="s">
        <v>389</v>
      </c>
      <c r="E74" s="244" t="s">
        <v>79</v>
      </c>
      <c r="F74" s="195" t="s">
        <v>390</v>
      </c>
      <c r="G74" s="244" t="s">
        <v>391</v>
      </c>
      <c r="H74" s="239" t="s">
        <v>13</v>
      </c>
      <c r="I74" s="240" t="s">
        <v>20</v>
      </c>
      <c r="J74" s="238" t="str">
        <f>IF(ISERROR(VLOOKUP(H74&amp;I74,Hoja1!$C$1:$F$25,4,0)),"",(VLOOKUP(H74&amp;I74,Hoja1!$C$1:$F$25,4,0)))</f>
        <v>Alto</v>
      </c>
      <c r="K74" s="185" t="s">
        <v>84</v>
      </c>
      <c r="L74" s="234">
        <v>2</v>
      </c>
      <c r="M74" s="195" t="s">
        <v>397</v>
      </c>
      <c r="N74" s="195" t="s">
        <v>398</v>
      </c>
      <c r="O74" s="195" t="s">
        <v>399</v>
      </c>
      <c r="P74" s="188" t="s">
        <v>22</v>
      </c>
      <c r="Q74" s="188" t="s">
        <v>41</v>
      </c>
      <c r="R74" s="189" t="s">
        <v>403</v>
      </c>
      <c r="S74" s="188" t="s">
        <v>41</v>
      </c>
      <c r="T74" s="189" t="s">
        <v>406</v>
      </c>
      <c r="U74" s="188" t="s">
        <v>41</v>
      </c>
      <c r="V74" s="189" t="s">
        <v>151</v>
      </c>
      <c r="W74" s="189" t="s">
        <v>101</v>
      </c>
      <c r="X74" s="190" t="s">
        <v>102</v>
      </c>
      <c r="Y74" s="189" t="s">
        <v>167</v>
      </c>
      <c r="Z74" s="188" t="s">
        <v>41</v>
      </c>
      <c r="AA74" s="189" t="s">
        <v>409</v>
      </c>
      <c r="AB74" s="183">
        <f t="shared" si="4"/>
        <v>100</v>
      </c>
      <c r="AC74" s="184">
        <f>IF(AND(L74=2,P74="Probabilidad",AB74&gt;=75),50,IF(AND(P74="Probabilidad",L74=2,AB74&gt;=50),37,IF(AND(P74="Probabilidad",L74=2,AB74&gt;=25),25,IF(AND(P74="Probabilidad",L74=2,AB74&gt;10),12,IF(AND(L74=1,P74="Probabilidad",AB74&gt;=75),100,IF(AND(P74="Probabilidad",L74=1,AB74&gt;=50),75,IF(AND(P74="Probabilidad",L74=1,AB74&gt;=25),50,IF(AND(P74="Probabilidad",L74=1,AB74&gt;10),25,IF(AND(P74="Probabilidad",L74=3,AB74&gt;=75),33.3,IF(AND(P74="Probabilidad",L74=3,AB74,AB74&gt;=50),25,IF(AND(P74="Probabilidad",L74=3,AB74&gt;=25),17,IF(AND(P74="Probabilidad",L74=3,AB74&gt;10),8,0))))))))))))</f>
        <v>50</v>
      </c>
      <c r="AD74" s="184">
        <f>IF(AND(L74=2,P74="Impacto",AB74&gt;=75),50,IF(AND(P74="Impacto",L74=2,AB74&gt;=50),37,IF(AND(P74="Impacto",L74=2,AB74&gt;=25),25,IF(AND(P74="Impacto",L74=2,AB74&gt;10),12,IF(AND(L74=1,P74="Impacto",AB74&gt;=75),100,IF(AND(P74="Impacto",L74=1,AB74&gt;=50),75,IF(AND(P74="Impacto",L74=1,AB74&gt;=25),50,IF(AND(P74="Impacto",L74=1,AB74&gt;10),25,IF(AND(P74="Impacto",L74=3,AB74&gt;=75),33.3,IF(AND(P74="Impacto",L74=3,AB74,AB74&gt;=50),25,IF(AND(P74="Impacto",L74=3,AB74&gt;=25),17,IF(AND(P74="Impacto",L74=3,AB74&gt;10),8,0))))))))))))</f>
        <v>0</v>
      </c>
      <c r="AE74" s="235">
        <f>SUM(AC74:AC76)</f>
        <v>100</v>
      </c>
      <c r="AF74" s="235">
        <f>SUM(AD74:AD76)</f>
        <v>0</v>
      </c>
      <c r="AG74" s="236">
        <f>IF(AE74&gt;75,2,IF(AE74&gt;=30,1,"-"))</f>
        <v>2</v>
      </c>
      <c r="AH74" s="236" t="str">
        <f>IF(AF74&gt;75,2,IF(AF74&gt;=30,1,"-"))</f>
        <v>-</v>
      </c>
      <c r="AI74" s="193"/>
      <c r="AJ74" s="237" t="str">
        <f>IF(AND(AG74=2,H74="Casi seguro"),Hoja1!$J$5,IF(AND(AG74=2,H74="Posible"),Hoja1!$J$6,IF(AND(H74="Improbable",AG74=2),Hoja1!J21,IF(AND(AG74=1,H74="Casi seguro"),Hoja1!$J$4,IF(AND(AG74=1,H74="Posible"),Hoja1!$J$5,IF(AND(AG74=1,H74="Improbable"),Hoja1!$J$6,'FT-Mapa de riesgos'!H74))))))</f>
        <v>Rara vez</v>
      </c>
      <c r="AK74" s="237" t="str">
        <f>IF(AND(AH74=2,I74="Catastrofico"),Hoja1!$K$5,IF(AND(AH74=2,I74="Mayor"),Hoja1!$K$6,IF(AND(AH74=2,I74="Moderado"),Hoja1!$K$7,IF(AND(AH74=1,I74="Catastrofico"),Hoja1!$K$4,IF(AND(AH74=1,I74="Mayor "),Hoja1!$K$5,IF(AND(AH74=1,I74="Moderado"),Hoja1!$K$6,IF(AND(AH74=2,I74="Menor"),Hoja1!$K$7,'FT-Mapa de riesgos'!I74)))))))</f>
        <v xml:space="preserve">Mayor </v>
      </c>
      <c r="AL74" s="238" t="str">
        <f>IF(ISERROR(VLOOKUP(AJ74&amp;AK74,Hoja1!$C$1:$F$25,4,0)),"",(VLOOKUP(AJ74&amp;AK74,Hoja1!$C$1:$F$25,4,0)))</f>
        <v>Alto</v>
      </c>
      <c r="AM74" s="233"/>
    </row>
    <row r="75" spans="1:39" ht="288" customHeight="1" x14ac:dyDescent="0.4">
      <c r="A75" s="191"/>
      <c r="B75" s="245"/>
      <c r="C75" s="244"/>
      <c r="D75" s="244"/>
      <c r="E75" s="244"/>
      <c r="F75" s="195"/>
      <c r="G75" s="244"/>
      <c r="H75" s="239"/>
      <c r="I75" s="240"/>
      <c r="J75" s="238"/>
      <c r="K75" s="185" t="s">
        <v>84</v>
      </c>
      <c r="L75" s="234"/>
      <c r="M75" s="195" t="s">
        <v>400</v>
      </c>
      <c r="N75" s="195" t="s">
        <v>401</v>
      </c>
      <c r="O75" s="195" t="s">
        <v>402</v>
      </c>
      <c r="P75" s="188" t="s">
        <v>22</v>
      </c>
      <c r="Q75" s="188" t="s">
        <v>41</v>
      </c>
      <c r="R75" s="189" t="s">
        <v>404</v>
      </c>
      <c r="S75" s="188" t="s">
        <v>41</v>
      </c>
      <c r="T75" s="189" t="s">
        <v>406</v>
      </c>
      <c r="U75" s="188" t="s">
        <v>41</v>
      </c>
      <c r="V75" s="189" t="s">
        <v>151</v>
      </c>
      <c r="W75" s="189" t="s">
        <v>101</v>
      </c>
      <c r="X75" s="190" t="s">
        <v>102</v>
      </c>
      <c r="Y75" s="189" t="s">
        <v>167</v>
      </c>
      <c r="Z75" s="188"/>
      <c r="AA75" s="189" t="s">
        <v>410</v>
      </c>
      <c r="AB75" s="183">
        <f t="shared" si="4"/>
        <v>82</v>
      </c>
      <c r="AC75" s="184">
        <f>IF(AND(L74=2,P75="Probabilidad",AB75&gt;=75),50,IF(AND(P75="Probabilidad",L74=2,AB75&gt;=50),37,IF(AND(P75="Probabilidad",L74=2,AB75&gt;=25),25,IF(AND(P75="Probabilidad",L74=2,AB75&gt;10),12,IF(AND(L74=1,P75="Probabilidad",AB75&gt;=75),100,IF(AND(P75="Probabilidad",L74=1,AB75&gt;=50),75,IF(AND(P75="Probabilidad",L74=1,AB75&gt;=25),50,IF(AND(P75="Probabilidad",L74=1,AB75&gt;10),25,IF(AND(P75="Probabilidad",L74=3,AB75&gt;=75),33.3,IF(AND(P75="Probabilidad",L74=3,AB75,AB75&gt;=50),25,IF(AND(P75="Probabilidad",L74=3,AB75&gt;=25),17,IF(AND(P75="Probabilidad",L74=3,AB75&gt;10),8,0))))))))))))</f>
        <v>50</v>
      </c>
      <c r="AD75" s="184">
        <f>IF(AND(L74=2,P75="Impacto",AB75&gt;=75),50,IF(AND(P75="Impacto",L74=2,AB75&gt;=50),37,IF(AND(P75="Impacto",L74=2,AB75&gt;=25),25,IF(AND(P75="Impacto",L74=2,AB75&gt;10),12,IF(AND(L74=1,P75="Impacto",AB75&gt;=75),100,IF(AND(P75="Impacto",L74=1,AB75&gt;=50),75,IF(AND(P75="Impacto",L74=1,AB75&gt;=25),50,IF(AND(P75="Impacto",L74=1,AB75&gt;10),25,IF(AND(P75="Impacto",L74=3,AB75&gt;=75),33.3,IF(AND(P75="Impacto",L74=3,AB75,AB75&gt;=50),25,IF(AND(P75="Impacto",L74=3,AB75&gt;=25),17,IF(AND(P75="Impacto",L74=3,AB75&gt;10),8,0))))))))))))</f>
        <v>0</v>
      </c>
      <c r="AE75" s="235"/>
      <c r="AF75" s="235"/>
      <c r="AG75" s="236"/>
      <c r="AH75" s="236"/>
      <c r="AI75" s="193"/>
      <c r="AJ75" s="237"/>
      <c r="AK75" s="237"/>
      <c r="AL75" s="238"/>
      <c r="AM75" s="233"/>
    </row>
    <row r="76" spans="1:39" ht="73.5" hidden="1" customHeight="1" x14ac:dyDescent="0.4">
      <c r="A76" s="191"/>
      <c r="B76" s="245"/>
      <c r="C76" s="244"/>
      <c r="D76" s="244"/>
      <c r="E76" s="244"/>
      <c r="F76" s="195"/>
      <c r="G76" s="244"/>
      <c r="H76" s="239"/>
      <c r="I76" s="240"/>
      <c r="J76" s="238"/>
      <c r="K76" s="187"/>
      <c r="L76" s="234"/>
      <c r="M76" s="212"/>
      <c r="N76" s="212"/>
      <c r="O76" s="212"/>
      <c r="P76" s="188"/>
      <c r="Q76" s="188"/>
      <c r="R76" s="188" t="str">
        <f t="shared" si="5"/>
        <v/>
      </c>
      <c r="S76" s="188"/>
      <c r="T76" s="188" t="str">
        <f t="shared" si="6"/>
        <v/>
      </c>
      <c r="U76" s="188"/>
      <c r="V76" s="188"/>
      <c r="W76" s="188"/>
      <c r="X76" s="190"/>
      <c r="Y76" s="188"/>
      <c r="Z76" s="188"/>
      <c r="AA76" s="188" t="str">
        <f t="shared" si="7"/>
        <v/>
      </c>
      <c r="AB76" s="183">
        <f t="shared" si="4"/>
        <v>0</v>
      </c>
      <c r="AC76" s="184">
        <f>IF(AND(L74=2,P76="Probabilidad",AB76&gt;=75),50,IF(AND(P76="Probabilidad",L74=2,AB76&gt;=50),37,IF(AND(P76="Probabilidad",L74=2,AB76&gt;=25),25,IF(AND(P76="Probabilidad",L74=2,AB76&gt;10),12,IF(AND(L74=1,P76="Probabilidad",AB76&gt;=75),100,IF(AND(P76="Probabilidad",L74=1,AB76&gt;=50),75,IF(AND(P76="Probabilidad",L74=1,AB76&gt;=25),50,IF(AND(P76="Probabilidad",L74=1,AB76&gt;10),25,IF(AND(P76="Probabilidad",L74=3,AB76&gt;=75),33.3,IF(AND(P76="Probabilidad",L74=3,AB76,AB76&gt;=50),25,IF(AND(P76="Probabilidad",L74=3,AB76&gt;=25),17,IF(AND(P76="Probabilidad",L74=3,AB76&gt;10),8,0))))))))))))</f>
        <v>0</v>
      </c>
      <c r="AD76" s="184">
        <f>IF(AND(L74=2,P76="Impacto",AB76&gt;=75),50,IF(AND(P76="Impacto",L74=2,AB76&gt;=50),37,IF(AND(P76="Impacto",L74=2,AB76&gt;=25),25,IF(AND(P76="Impacto",L74=2,AB76&gt;10),12,IF(AND(L74=1,P76="Impacto",AB76&gt;=75),100,IF(AND(P76="Impacto",L74=1,AB76&gt;=50),75,IF(AND(P76="Impacto",L74=1,AB76&gt;=25),50,IF(AND(P76="Impacto",L74=1,AB76&gt;10),25,IF(AND(P76="Impacto",L74=3,AB76&gt;=75),33.3,IF(AND(P76="Impacto",L74=3,AB76,AB76&gt;=50),25,IF(AND(P76="Impacto",L74=3,AB76&gt;=25),17,IF(AND(P76="Impacto",L74=3,AB76&gt;10),8,0))))))))))))</f>
        <v>0</v>
      </c>
      <c r="AE76" s="235"/>
      <c r="AF76" s="235"/>
      <c r="AG76" s="236"/>
      <c r="AH76" s="236"/>
      <c r="AI76" s="193"/>
      <c r="AJ76" s="237"/>
      <c r="AK76" s="237"/>
      <c r="AL76" s="238"/>
      <c r="AM76" s="233"/>
    </row>
    <row r="77" spans="1:39" ht="300" customHeight="1" x14ac:dyDescent="0.4">
      <c r="A77" s="191"/>
      <c r="B77" s="245">
        <v>20</v>
      </c>
      <c r="C77" s="244" t="s">
        <v>411</v>
      </c>
      <c r="D77" s="244" t="s">
        <v>412</v>
      </c>
      <c r="E77" s="244" t="s">
        <v>79</v>
      </c>
      <c r="F77" s="195" t="s">
        <v>413</v>
      </c>
      <c r="G77" s="244" t="s">
        <v>414</v>
      </c>
      <c r="H77" s="239" t="s">
        <v>14</v>
      </c>
      <c r="I77" s="240" t="s">
        <v>18</v>
      </c>
      <c r="J77" s="238" t="str">
        <f>IF(ISERROR(VLOOKUP(H77&amp;I77,Hoja1!$C$1:$F$25,4,0)),"",(VLOOKUP(H77&amp;I77,Hoja1!$C$1:$F$25,4,0)))</f>
        <v>Bajo</v>
      </c>
      <c r="K77" s="185" t="s">
        <v>85</v>
      </c>
      <c r="L77" s="234">
        <v>1</v>
      </c>
      <c r="M77" s="195" t="s">
        <v>423</v>
      </c>
      <c r="N77" s="195" t="s">
        <v>424</v>
      </c>
      <c r="O77" s="195" t="s">
        <v>425</v>
      </c>
      <c r="P77" s="188" t="s">
        <v>22</v>
      </c>
      <c r="Q77" s="188" t="s">
        <v>42</v>
      </c>
      <c r="R77" s="188" t="str">
        <f t="shared" si="5"/>
        <v>N/A</v>
      </c>
      <c r="S77" s="188" t="s">
        <v>41</v>
      </c>
      <c r="T77" s="189" t="s">
        <v>432</v>
      </c>
      <c r="U77" s="188" t="s">
        <v>41</v>
      </c>
      <c r="V77" s="189" t="s">
        <v>91</v>
      </c>
      <c r="W77" s="188" t="s">
        <v>101</v>
      </c>
      <c r="X77" s="190" t="s">
        <v>102</v>
      </c>
      <c r="Y77" s="189" t="s">
        <v>108</v>
      </c>
      <c r="Z77" s="188" t="s">
        <v>41</v>
      </c>
      <c r="AA77" s="189" t="s">
        <v>434</v>
      </c>
      <c r="AB77" s="183">
        <f t="shared" si="4"/>
        <v>68</v>
      </c>
      <c r="AC77" s="184">
        <f>IF(AND(L77=2,P77="Probabilidad",AB77&gt;=75),50,IF(AND(P77="Probabilidad",L77=2,AB77&gt;=50),37,IF(AND(P77="Probabilidad",L77=2,AB77&gt;=25),25,IF(AND(P77="Probabilidad",L77=2,AB77&gt;10),12,IF(AND(L77=1,P77="Probabilidad",AB77&gt;=75),100,IF(AND(P77="Probabilidad",L77=1,AB77&gt;=50),75,IF(AND(P77="Probabilidad",L77=1,AB77&gt;=25),50,IF(AND(P77="Probabilidad",L77=1,AB77&gt;10),25,IF(AND(P77="Probabilidad",L77=3,AB77&gt;=75),33.3,IF(AND(P77="Probabilidad",L77=3,AB77,AB77&gt;=50),25,IF(AND(P77="Probabilidad",L77=3,AB77&gt;=25),17,IF(AND(P77="Probabilidad",L77=3,AB77&gt;10),8,0))))))))))))</f>
        <v>75</v>
      </c>
      <c r="AD77" s="184">
        <f>IF(AND(L77=2,P77="Impacto",AB77&gt;=75),50,IF(AND(P77="Impacto",L77=2,AB77&gt;=50),37,IF(AND(P77="Impacto",L77=2,AB77&gt;=25),25,IF(AND(P77="Impacto",L77=2,AB77&gt;10),12,IF(AND(L77=1,P77="Impacto",AB77&gt;=75),100,IF(AND(P77="Impacto",L77=1,AB77&gt;=50),75,IF(AND(P77="Impacto",L77=1,AB77&gt;=25),50,IF(AND(P77="Impacto",L77=1,AB77&gt;10),25,IF(AND(P77="Impacto",L77=3,AB77&gt;=75),33.3,IF(AND(P77="Impacto",L77=3,AB77,AB77&gt;=50),25,IF(AND(P77="Impacto",L77=3,AB77&gt;=25),17,IF(AND(P77="Impacto",L77=3,AB77&gt;10),8,0))))))))))))</f>
        <v>0</v>
      </c>
      <c r="AE77" s="235">
        <f>SUM(AC77:AC79)</f>
        <v>75</v>
      </c>
      <c r="AF77" s="235">
        <f>SUM(AD77:AD79)</f>
        <v>0</v>
      </c>
      <c r="AG77" s="236">
        <f>IF(AE77&gt;75,2,IF(AE77&gt;=30,1,"-"))</f>
        <v>1</v>
      </c>
      <c r="AH77" s="236" t="str">
        <f>IF(AF77&gt;75,2,IF(AF77&gt;=30,1,"-"))</f>
        <v>-</v>
      </c>
      <c r="AI77" s="193"/>
      <c r="AJ77" s="237" t="str">
        <f>IF(AND(AG77=2,H77="Casi seguro"),Hoja1!$J$5,IF(AND(AG77=2,H77="Posible"),Hoja1!$J$6,IF(AND(H77="Improbable",AG77=2),Hoja1!J24,IF(AND(AG77=1,H77="Casi seguro"),Hoja1!$J$4,IF(AND(AG77=1,H77="Posible"),Hoja1!$J$5,IF(AND(AG77=1,H77="Improbable"),Hoja1!$J$6,'FT-Mapa de riesgos'!H77))))))</f>
        <v>Rara Vez</v>
      </c>
      <c r="AK77" s="237" t="str">
        <f>IF(AND(AH77=2,I77="Catastrofico"),Hoja1!$K$5,IF(AND(AH77=2,I77="Mayor"),Hoja1!$K$6,IF(AND(AH77=2,I77="Moderado"),Hoja1!$K$7,IF(AND(AH77=1,I77="Catastrofico"),Hoja1!$K$4,IF(AND(AH77=1,I77="Mayor "),Hoja1!$K$5,IF(AND(AH77=1,I77="Moderado"),Hoja1!$K$6,IF(AND(AH77=2,I77="Menor"),Hoja1!$K$7,'FT-Mapa de riesgos'!I77)))))))</f>
        <v>Menor</v>
      </c>
      <c r="AL77" s="238" t="str">
        <f>IF(ISERROR(VLOOKUP(AJ77&amp;AK77,Hoja1!$C$1:$F$25,4,0)),"",(VLOOKUP(AJ77&amp;AK77,Hoja1!$C$1:$F$25,4,0)))</f>
        <v>Bajo</v>
      </c>
      <c r="AM77" s="233"/>
    </row>
    <row r="78" spans="1:39" ht="73.5" hidden="1" customHeight="1" x14ac:dyDescent="0.4">
      <c r="A78" s="191"/>
      <c r="B78" s="245"/>
      <c r="C78" s="244"/>
      <c r="D78" s="244"/>
      <c r="E78" s="244"/>
      <c r="F78" s="195"/>
      <c r="G78" s="244"/>
      <c r="H78" s="239"/>
      <c r="I78" s="240"/>
      <c r="J78" s="238"/>
      <c r="K78" s="185"/>
      <c r="L78" s="234"/>
      <c r="M78" s="195"/>
      <c r="N78" s="195"/>
      <c r="O78" s="195"/>
      <c r="P78" s="188"/>
      <c r="Q78" s="188"/>
      <c r="R78" s="188" t="str">
        <f t="shared" si="5"/>
        <v/>
      </c>
      <c r="S78" s="188"/>
      <c r="T78" s="188"/>
      <c r="U78" s="188"/>
      <c r="V78" s="188"/>
      <c r="W78" s="188"/>
      <c r="X78" s="190"/>
      <c r="Y78" s="188"/>
      <c r="Z78" s="188"/>
      <c r="AA78" s="189"/>
      <c r="AB78" s="183">
        <f t="shared" si="4"/>
        <v>0</v>
      </c>
      <c r="AC78" s="184">
        <f>IF(AND(L77=2,P78="Probabilidad",AB78&gt;=75),50,IF(AND(P78="Probabilidad",L77=2,AB78&gt;=50),37,IF(AND(P78="Probabilidad",L77=2,AB78&gt;=25),25,IF(AND(P78="Probabilidad",L77=2,AB78&gt;10),12,IF(AND(L77=1,P78="Probabilidad",AB78&gt;=75),100,IF(AND(P78="Probabilidad",L77=1,AB78&gt;=50),75,IF(AND(P78="Probabilidad",L77=1,AB78&gt;=25),50,IF(AND(P78="Probabilidad",L77=1,AB78&gt;10),25,IF(AND(P78="Probabilidad",L77=3,AB78&gt;=75),33.3,IF(AND(P78="Probabilidad",L77=3,AB78,AB78&gt;=50),25,IF(AND(P78="Probabilidad",L77=3,AB78&gt;=25),17,IF(AND(P78="Probabilidad",L77=3,AB78&gt;10),8,0))))))))))))</f>
        <v>0</v>
      </c>
      <c r="AD78" s="184">
        <f>IF(AND(L77=2,P78="Impacto",AB78&gt;=75),50,IF(AND(P78="Impacto",L77=2,AB78&gt;=50),37,IF(AND(P78="Impacto",L77=2,AB78&gt;=25),25,IF(AND(P78="Impacto",L77=2,AB78&gt;10),12,IF(AND(L77=1,P78="Impacto",AB78&gt;=75),100,IF(AND(P78="Impacto",L77=1,AB78&gt;=50),75,IF(AND(P78="Impacto",L77=1,AB78&gt;=25),50,IF(AND(P78="Impacto",L77=1,AB78&gt;10),25,IF(AND(P78="Impacto",L77=3,AB78&gt;=75),33.3,IF(AND(P78="Impacto",L77=3,AB78,AB78&gt;=50),25,IF(AND(P78="Impacto",L77=3,AB78&gt;=25),17,IF(AND(P78="Impacto",L77=3,AB78&gt;10),8,0))))))))))))</f>
        <v>0</v>
      </c>
      <c r="AE78" s="235"/>
      <c r="AF78" s="235"/>
      <c r="AG78" s="236"/>
      <c r="AH78" s="236"/>
      <c r="AI78" s="193"/>
      <c r="AJ78" s="237"/>
      <c r="AK78" s="237"/>
      <c r="AL78" s="238"/>
      <c r="AM78" s="231"/>
    </row>
    <row r="79" spans="1:39" ht="73.5" hidden="1" customHeight="1" x14ac:dyDescent="0.4">
      <c r="A79" s="191"/>
      <c r="B79" s="245"/>
      <c r="C79" s="241"/>
      <c r="D79" s="241"/>
      <c r="E79" s="244"/>
      <c r="F79" s="195"/>
      <c r="G79" s="244"/>
      <c r="H79" s="239"/>
      <c r="I79" s="240"/>
      <c r="J79" s="238"/>
      <c r="K79" s="187"/>
      <c r="L79" s="234"/>
      <c r="M79" s="195"/>
      <c r="N79" s="195"/>
      <c r="O79" s="195"/>
      <c r="P79" s="188"/>
      <c r="Q79" s="188"/>
      <c r="R79" s="188" t="str">
        <f t="shared" si="5"/>
        <v/>
      </c>
      <c r="S79" s="188"/>
      <c r="T79" s="188"/>
      <c r="U79" s="188"/>
      <c r="V79" s="188"/>
      <c r="W79" s="188"/>
      <c r="X79" s="190"/>
      <c r="Y79" s="188"/>
      <c r="Z79" s="188"/>
      <c r="AA79" s="189"/>
      <c r="AB79" s="183">
        <f t="shared" si="4"/>
        <v>0</v>
      </c>
      <c r="AC79" s="184">
        <f>IF(AND(L77=2,P79="Probabilidad",AB79&gt;=75),50,IF(AND(P79="Probabilidad",L77=2,AB79&gt;=50),37,IF(AND(P79="Probabilidad",L77=2,AB79&gt;=25),25,IF(AND(P79="Probabilidad",L77=2,AB79&gt;10),12,IF(AND(L77=1,P79="Probabilidad",AB79&gt;=75),100,IF(AND(P79="Probabilidad",L77=1,AB79&gt;=50),75,IF(AND(P79="Probabilidad",L77=1,AB79&gt;=25),50,IF(AND(P79="Probabilidad",L77=1,AB79&gt;10),25,IF(AND(P79="Probabilidad",L77=3,AB79&gt;=75),33.3,IF(AND(P79="Probabilidad",L77=3,AB79,AB79&gt;=50),25,IF(AND(P79="Probabilidad",L77=3,AB79&gt;=25),17,IF(AND(P79="Probabilidad",L77=3,AB79&gt;10),8,0))))))))))))</f>
        <v>0</v>
      </c>
      <c r="AD79" s="184">
        <f>IF(AND(L77=2,P79="Impacto",AB79&gt;=75),50,IF(AND(P79="Impacto",L77=2,AB79&gt;=50),37,IF(AND(P79="Impacto",L77=2,AB79&gt;=25),25,IF(AND(P79="Impacto",L77=2,AB79&gt;10),12,IF(AND(L77=1,P79="Impacto",AB79&gt;=75),100,IF(AND(P79="Impacto",L77=1,AB79&gt;=50),75,IF(AND(P79="Impacto",L77=1,AB79&gt;=25),50,IF(AND(P79="Impacto",L77=1,AB79&gt;10),25,IF(AND(P79="Impacto",L77=3,AB79&gt;=75),33.3,IF(AND(P79="Impacto",L77=3,AB79,AB79&gt;=50),25,IF(AND(P79="Impacto",L77=3,AB79&gt;=25),17,IF(AND(P79="Impacto",L77=3,AB79&gt;10),8,0))))))))))))</f>
        <v>0</v>
      </c>
      <c r="AE79" s="235"/>
      <c r="AF79" s="235"/>
      <c r="AG79" s="236"/>
      <c r="AH79" s="236"/>
      <c r="AI79" s="193"/>
      <c r="AJ79" s="237"/>
      <c r="AK79" s="237"/>
      <c r="AL79" s="238"/>
      <c r="AM79" s="231"/>
    </row>
    <row r="80" spans="1:39" ht="300" customHeight="1" x14ac:dyDescent="0.4">
      <c r="A80" s="191"/>
      <c r="B80" s="245">
        <v>21</v>
      </c>
      <c r="C80" s="244" t="s">
        <v>415</v>
      </c>
      <c r="D80" s="244" t="s">
        <v>416</v>
      </c>
      <c r="E80" s="244" t="s">
        <v>79</v>
      </c>
      <c r="F80" s="204" t="s">
        <v>417</v>
      </c>
      <c r="G80" s="244" t="s">
        <v>418</v>
      </c>
      <c r="H80" s="239" t="s">
        <v>15</v>
      </c>
      <c r="I80" s="240" t="s">
        <v>18</v>
      </c>
      <c r="J80" s="238" t="str">
        <f>IF(ISERROR(VLOOKUP(H80&amp;I80,Hoja1!$C$1:$F$25,4,0)),"",(VLOOKUP(H80&amp;I80,Hoja1!$C$1:$F$25,4,0)))</f>
        <v>Moderado</v>
      </c>
      <c r="K80" s="185" t="s">
        <v>85</v>
      </c>
      <c r="L80" s="234">
        <v>1</v>
      </c>
      <c r="M80" s="195" t="s">
        <v>426</v>
      </c>
      <c r="N80" s="195" t="s">
        <v>427</v>
      </c>
      <c r="O80" s="195" t="s">
        <v>428</v>
      </c>
      <c r="P80" s="188" t="s">
        <v>22</v>
      </c>
      <c r="Q80" s="188" t="s">
        <v>42</v>
      </c>
      <c r="R80" s="188" t="str">
        <f t="shared" si="1"/>
        <v>N/A</v>
      </c>
      <c r="S80" s="188" t="s">
        <v>41</v>
      </c>
      <c r="T80" s="189" t="s">
        <v>432</v>
      </c>
      <c r="U80" s="188" t="s">
        <v>41</v>
      </c>
      <c r="V80" s="189" t="s">
        <v>152</v>
      </c>
      <c r="W80" s="189" t="s">
        <v>167</v>
      </c>
      <c r="X80" s="190" t="s">
        <v>167</v>
      </c>
      <c r="Y80" s="189" t="s">
        <v>108</v>
      </c>
      <c r="Z80" s="188" t="s">
        <v>41</v>
      </c>
      <c r="AA80" s="189" t="s">
        <v>435</v>
      </c>
      <c r="AB80" s="183">
        <f t="shared" si="0"/>
        <v>68</v>
      </c>
      <c r="AC80" s="184">
        <f>IF(AND(L80=2,P80="Probabilidad",AB80&gt;=75),50,IF(AND(P80="Probabilidad",L80=2,AB80&gt;=50),37,IF(AND(P80="Probabilidad",L80=2,AB80&gt;=25),25,IF(AND(P80="Probabilidad",L80=2,AB80&gt;10),12,IF(AND(L80=1,P80="Probabilidad",AB80&gt;=75),100,IF(AND(P80="Probabilidad",L80=1,AB80&gt;=50),75,IF(AND(P80="Probabilidad",L80=1,AB80&gt;=25),50,IF(AND(P80="Probabilidad",L80=1,AB80&gt;10),25,IF(AND(P80="Probabilidad",L80=3,AB80&gt;=75),33.3,IF(AND(P80="Probabilidad",L80=3,AB80,AB80&gt;=50),25,IF(AND(P80="Probabilidad",L80=3,AB80&gt;=25),17,IF(AND(P80="Probabilidad",L80=3,AB80&gt;10),8,0))))))))))))</f>
        <v>75</v>
      </c>
      <c r="AD80" s="184">
        <f>IF(AND(L80=2,P80="Impacto",AB80&gt;=75),50,IF(AND(P80="Impacto",L80=2,AB80&gt;=50),37,IF(AND(P80="Impacto",L80=2,AB80&gt;=25),25,IF(AND(P80="Impacto",L80=2,AB80&gt;10),12,IF(AND(L80=1,P80="Impacto",AB80&gt;=75),100,IF(AND(P80="Impacto",L80=1,AB80&gt;=50),75,IF(AND(P80="Impacto",L80=1,AB80&gt;=25),50,IF(AND(P80="Impacto",L80=1,AB80&gt;10),25,IF(AND(P80="Impacto",L80=3,AB80&gt;=75),33.3,IF(AND(P80="Impacto",L80=3,AB80,AB80&gt;=50),25,IF(AND(P80="Impacto",L80=3,AB80&gt;=25),17,IF(AND(P80="Impacto",L80=3,AB80&gt;10),8,0))))))))))))</f>
        <v>0</v>
      </c>
      <c r="AE80" s="235">
        <f>SUM(AC80:AC82)</f>
        <v>75</v>
      </c>
      <c r="AF80" s="235">
        <f>SUM(AD80:AD82)</f>
        <v>0</v>
      </c>
      <c r="AG80" s="236">
        <f>IF(AE80&gt;75,2,IF(AE80&gt;=30,1,"-"))</f>
        <v>1</v>
      </c>
      <c r="AH80" s="236" t="str">
        <f>IF(AF80&gt;75,2,IF(AF80&gt;=30,1,"-"))</f>
        <v>-</v>
      </c>
      <c r="AI80" s="193"/>
      <c r="AJ80" s="237" t="str">
        <f>IF(AND(AG80=2,H80="Casi seguro"),Hoja1!$J$5,IF(AND(AG80=2,H80="Posible"),Hoja1!$J$6,IF(AND(H80="Improbable",AG80=2),Hoja1!J27,IF(AND(AG80=1,H80="Casi seguro"),Hoja1!$J$4,IF(AND(AG80=1,H80="Posible"),Hoja1!$J$5,IF(AND(AG80=1,H80="Improbable"),Hoja1!$J$6,'FT-Mapa de riesgos'!H80))))))</f>
        <v>Improbable</v>
      </c>
      <c r="AK80" s="237" t="str">
        <f>IF(AND(AH80=2,I80="Catastrofico"),Hoja1!$K$5,IF(AND(AH80=2,I80="Mayor"),Hoja1!$K$6,IF(AND(AH80=2,I80="Moderado"),Hoja1!$K$7,IF(AND(AH80=1,I80="Catastrofico"),Hoja1!$K$4,IF(AND(AH80=1,I80="Mayor "),Hoja1!$K$5,IF(AND(AH80=1,I80="Moderado"),Hoja1!$K$6,IF(AND(AH80=2,I80="Menor"),Hoja1!$K$7,'FT-Mapa de riesgos'!I80)))))))</f>
        <v>Menor</v>
      </c>
      <c r="AL80" s="238" t="str">
        <f>IF(ISERROR(VLOOKUP(AJ80&amp;AK80,Hoja1!$C$1:$F$25,4,0)),"",(VLOOKUP(AJ80&amp;AK80,Hoja1!$C$1:$F$25,4,0)))</f>
        <v>Bajo</v>
      </c>
      <c r="AM80" s="233" t="s">
        <v>176</v>
      </c>
    </row>
    <row r="81" spans="1:39" ht="73.5" hidden="1" customHeight="1" x14ac:dyDescent="0.4">
      <c r="A81" s="191"/>
      <c r="B81" s="245"/>
      <c r="C81" s="244"/>
      <c r="D81" s="244"/>
      <c r="E81" s="244"/>
      <c r="F81" s="196"/>
      <c r="G81" s="244"/>
      <c r="H81" s="239"/>
      <c r="I81" s="240"/>
      <c r="J81" s="238"/>
      <c r="K81" s="185"/>
      <c r="L81" s="234"/>
      <c r="M81" s="212"/>
      <c r="N81" s="212"/>
      <c r="O81" s="212"/>
      <c r="P81" s="188"/>
      <c r="Q81" s="188"/>
      <c r="R81" s="188" t="str">
        <f t="shared" si="1"/>
        <v/>
      </c>
      <c r="S81" s="188"/>
      <c r="T81" s="188" t="str">
        <f t="shared" si="2"/>
        <v/>
      </c>
      <c r="U81" s="188"/>
      <c r="V81" s="188"/>
      <c r="W81" s="188"/>
      <c r="X81" s="190"/>
      <c r="Y81" s="188"/>
      <c r="Z81" s="188"/>
      <c r="AA81" s="189"/>
      <c r="AB81" s="183">
        <f t="shared" si="0"/>
        <v>0</v>
      </c>
      <c r="AC81" s="184">
        <f>IF(AND(L80=2,P81="Probabilidad",AB81&gt;=75),50,IF(AND(P81="Probabilidad",L80=2,AB81&gt;=50),37,IF(AND(P81="Probabilidad",L80=2,AB81&gt;=25),25,IF(AND(P81="Probabilidad",L80=2,AB81&gt;10),12,IF(AND(L80=1,P81="Probabilidad",AB81&gt;=75),100,IF(AND(P81="Probabilidad",L80=1,AB81&gt;=50),75,IF(AND(P81="Probabilidad",L80=1,AB81&gt;=25),50,IF(AND(P81="Probabilidad",L80=1,AB81&gt;10),25,IF(AND(P81="Probabilidad",L80=3,AB81&gt;=75),33.3,IF(AND(P81="Probabilidad",L80=3,AB81,AB81&gt;=50),25,IF(AND(P81="Probabilidad",L80=3,AB81&gt;=25),17,IF(AND(P81="Probabilidad",L80=3,AB81&gt;10),8,0))))))))))))</f>
        <v>0</v>
      </c>
      <c r="AD81" s="184">
        <f>IF(AND(L80=2,P81="Impacto",AB81&gt;=75),50,IF(AND(P81="Impacto",L80=2,AB81&gt;=50),37,IF(AND(P81="Impacto",L80=2,AB81&gt;=25),25,IF(AND(P81="Impacto",L80=2,AB81&gt;10),12,IF(AND(L80=1,P81="Impacto",AB81&gt;=75),100,IF(AND(P81="Impacto",L80=1,AB81&gt;=50),75,IF(AND(P81="Impacto",L80=1,AB81&gt;=25),50,IF(AND(P81="Impacto",L80=1,AB81&gt;10),25,IF(AND(P81="Impacto",L80=3,AB81&gt;=75),33.3,IF(AND(P81="Impacto",L80=3,AB81,AB81&gt;=50),25,IF(AND(P81="Impacto",L80=3,AB81&gt;=25),17,IF(AND(P81="Impacto",L80=3,AB81&gt;10),8,0))))))))))))</f>
        <v>0</v>
      </c>
      <c r="AE81" s="235"/>
      <c r="AF81" s="235"/>
      <c r="AG81" s="236"/>
      <c r="AH81" s="236"/>
      <c r="AI81" s="193"/>
      <c r="AJ81" s="237"/>
      <c r="AK81" s="237"/>
      <c r="AL81" s="238"/>
      <c r="AM81" s="233"/>
    </row>
    <row r="82" spans="1:39" ht="73.5" hidden="1" customHeight="1" x14ac:dyDescent="0.4">
      <c r="A82" s="191"/>
      <c r="B82" s="245"/>
      <c r="C82" s="241"/>
      <c r="D82" s="241"/>
      <c r="E82" s="244"/>
      <c r="F82" s="197"/>
      <c r="G82" s="241"/>
      <c r="H82" s="239"/>
      <c r="I82" s="240"/>
      <c r="J82" s="238"/>
      <c r="K82" s="187"/>
      <c r="L82" s="234"/>
      <c r="M82" s="212"/>
      <c r="N82" s="212"/>
      <c r="O82" s="212"/>
      <c r="P82" s="188"/>
      <c r="Q82" s="188"/>
      <c r="R82" s="188" t="str">
        <f t="shared" si="1"/>
        <v/>
      </c>
      <c r="S82" s="188"/>
      <c r="T82" s="188" t="str">
        <f t="shared" si="2"/>
        <v/>
      </c>
      <c r="U82" s="188"/>
      <c r="V82" s="188"/>
      <c r="W82" s="188"/>
      <c r="X82" s="190"/>
      <c r="Y82" s="188"/>
      <c r="Z82" s="188"/>
      <c r="AA82" s="189"/>
      <c r="AB82" s="183">
        <f t="shared" si="0"/>
        <v>0</v>
      </c>
      <c r="AC82" s="184">
        <f>IF(AND(L80=2,P82="Probabilidad",AB82&gt;=75),50,IF(AND(P82="Probabilidad",L80=2,AB82&gt;=50),37,IF(AND(P82="Probabilidad",L80=2,AB82&gt;=25),25,IF(AND(P82="Probabilidad",L80=2,AB82&gt;10),12,IF(AND(L80=1,P82="Probabilidad",AB82&gt;=75),100,IF(AND(P82="Probabilidad",L80=1,AB82&gt;=50),75,IF(AND(P82="Probabilidad",L80=1,AB82&gt;=25),50,IF(AND(P82="Probabilidad",L80=1,AB82&gt;10),25,IF(AND(P82="Probabilidad",L80=3,AB82&gt;=75),33.3,IF(AND(P82="Probabilidad",L80=3,AB82,AB82&gt;=50),25,IF(AND(P82="Probabilidad",L80=3,AB82&gt;=25),17,IF(AND(P82="Probabilidad",L80=3,AB82&gt;10),8,0))))))))))))</f>
        <v>0</v>
      </c>
      <c r="AD82" s="184">
        <f>IF(AND(L80=2,P82="Impacto",AB82&gt;=75),50,IF(AND(P82="Impacto",L80=2,AB82&gt;=50),37,IF(AND(P82="Impacto",L80=2,AB82&gt;=25),25,IF(AND(P82="Impacto",L80=2,AB82&gt;10),12,IF(AND(L80=1,P82="Impacto",AB82&gt;=75),100,IF(AND(P82="Impacto",L80=1,AB82&gt;=50),75,IF(AND(P82="Impacto",L80=1,AB82&gt;=25),50,IF(AND(P82="Impacto",L80=1,AB82&gt;10),25,IF(AND(P82="Impacto",L80=3,AB82&gt;=75),33.3,IF(AND(P82="Impacto",L80=3,AB82,AB82&gt;=50),25,IF(AND(P82="Impacto",L80=3,AB82&gt;=25),17,IF(AND(P82="Impacto",L80=3,AB82&gt;10),8,0))))))))))))</f>
        <v>0</v>
      </c>
      <c r="AE82" s="235"/>
      <c r="AF82" s="235"/>
      <c r="AG82" s="236"/>
      <c r="AH82" s="236"/>
      <c r="AI82" s="193"/>
      <c r="AJ82" s="237"/>
      <c r="AK82" s="237"/>
      <c r="AL82" s="238"/>
      <c r="AM82" s="233"/>
    </row>
    <row r="83" spans="1:39" ht="300" customHeight="1" x14ac:dyDescent="0.4">
      <c r="A83" s="191"/>
      <c r="B83" s="245">
        <v>22</v>
      </c>
      <c r="C83" s="244" t="s">
        <v>419</v>
      </c>
      <c r="D83" s="244" t="s">
        <v>420</v>
      </c>
      <c r="E83" s="244" t="s">
        <v>35</v>
      </c>
      <c r="F83" s="204" t="s">
        <v>421</v>
      </c>
      <c r="G83" s="244" t="s">
        <v>422</v>
      </c>
      <c r="H83" s="239" t="s">
        <v>13</v>
      </c>
      <c r="I83" s="240" t="s">
        <v>19</v>
      </c>
      <c r="J83" s="238" t="str">
        <f>IF(ISERROR(VLOOKUP(H83&amp;I83,Hoja1!$C$1:$F$25,4,0)),"",(VLOOKUP(H83&amp;I83,Hoja1!$C$1:$F$25,4,0)))</f>
        <v>Moderado</v>
      </c>
      <c r="K83" s="185" t="s">
        <v>85</v>
      </c>
      <c r="L83" s="234">
        <v>1</v>
      </c>
      <c r="M83" s="195" t="s">
        <v>429</v>
      </c>
      <c r="N83" s="195" t="s">
        <v>430</v>
      </c>
      <c r="O83" s="195" t="s">
        <v>431</v>
      </c>
      <c r="P83" s="188" t="s">
        <v>22</v>
      </c>
      <c r="Q83" s="188" t="s">
        <v>42</v>
      </c>
      <c r="R83" s="188" t="str">
        <f t="shared" ref="R83:R238" si="8">+IF(Q83="No","N/A","")</f>
        <v>N/A</v>
      </c>
      <c r="S83" s="188" t="s">
        <v>41</v>
      </c>
      <c r="T83" s="189" t="s">
        <v>433</v>
      </c>
      <c r="U83" s="188" t="s">
        <v>41</v>
      </c>
      <c r="V83" s="189" t="s">
        <v>151</v>
      </c>
      <c r="W83" s="189" t="s">
        <v>167</v>
      </c>
      <c r="X83" s="190" t="s">
        <v>102</v>
      </c>
      <c r="Y83" s="189" t="s">
        <v>108</v>
      </c>
      <c r="Z83" s="188" t="s">
        <v>41</v>
      </c>
      <c r="AA83" s="189" t="s">
        <v>436</v>
      </c>
      <c r="AB83" s="183">
        <f t="shared" ref="AB83:AB85" si="9">SUM(IF(Q83="Si",Q$15,0)+(IF(S83="Si",S$15,0))+IF(U83="Si",U$15,0)+IF(Z83="Si",Z$15,0))</f>
        <v>68</v>
      </c>
      <c r="AC83" s="184">
        <f>IF(AND(L83=2,P83="Probabilidad",AB83&gt;=75),50,IF(AND(P83="Probabilidad",L83=2,AB83&gt;=50),37,IF(AND(P83="Probabilidad",L83=2,AB83&gt;=25),25,IF(AND(P83="Probabilidad",L83=2,AB83&gt;10),12,IF(AND(L83=1,P83="Probabilidad",AB83&gt;=75),100,IF(AND(P83="Probabilidad",L83=1,AB83&gt;=50),75,IF(AND(P83="Probabilidad",L83=1,AB83&gt;=25),50,IF(AND(P83="Probabilidad",L83=1,AB83&gt;10),25,IF(AND(P83="Probabilidad",L83=3,AB83&gt;=75),33.3,IF(AND(P83="Probabilidad",L83=3,AB83,AB83&gt;=50),25,IF(AND(P83="Probabilidad",L83=3,AB83&gt;=25),17,IF(AND(P83="Probabilidad",L83=3,AB83&gt;10),8,0))))))))))))</f>
        <v>75</v>
      </c>
      <c r="AD83" s="184">
        <f>IF(AND(L83=2,P83="Impacto",AB83&gt;=75),50,IF(AND(P83="Impacto",L83=2,AB83&gt;=50),37,IF(AND(P83="Impacto",L83=2,AB83&gt;=25),25,IF(AND(P83="Impacto",L83=2,AB83&gt;10),12,IF(AND(L83=1,P83="Impacto",AB83&gt;=75),100,IF(AND(P83="Impacto",L83=1,AB83&gt;=50),75,IF(AND(P83="Impacto",L83=1,AB83&gt;=25),50,IF(AND(P83="Impacto",L83=1,AB83&gt;10),25,IF(AND(P83="Impacto",L83=3,AB83&gt;=75),33.3,IF(AND(P83="Impacto",L83=3,AB83,AB83&gt;=50),25,IF(AND(P83="Impacto",L83=3,AB83&gt;=25),17,IF(AND(P83="Impacto",L83=3,AB83&gt;10),8,0))))))))))))</f>
        <v>0</v>
      </c>
      <c r="AE83" s="235">
        <f>SUM(AC83:AC85)</f>
        <v>75</v>
      </c>
      <c r="AF83" s="235">
        <f>SUM(AD83:AD85)</f>
        <v>0</v>
      </c>
      <c r="AG83" s="236">
        <f>IF(AE83&gt;75,2,IF(AE83&gt;=30,1,"-"))</f>
        <v>1</v>
      </c>
      <c r="AH83" s="236" t="str">
        <f>IF(AF83&gt;75,2,IF(AF83&gt;=30,1,"-"))</f>
        <v>-</v>
      </c>
      <c r="AI83" s="193"/>
      <c r="AJ83" s="237" t="str">
        <f>IF(AND(AG83=2,H83="Casi seguro"),Hoja1!$J$5,IF(AND(AG83=2,H83="Posible"),Hoja1!$J$6,IF(AND(H83="Improbable",AG83=2),Hoja1!J30,IF(AND(AG83=1,H83="Casi seguro"),Hoja1!$J$4,IF(AND(AG83=1,H83="Posible"),Hoja1!$J$5,IF(AND(AG83=1,H83="Improbable"),Hoja1!$J$6,'FT-Mapa de riesgos'!H83))))))</f>
        <v>Rara vez</v>
      </c>
      <c r="AK83" s="237" t="str">
        <f>IF(AND(AH83=2,I83="Catastrofico"),Hoja1!$K$5,IF(AND(AH83=2,I83="Mayor"),Hoja1!$K$6,IF(AND(AH83=2,I83="Moderado"),Hoja1!$K$7,IF(AND(AH83=1,I83="Catastrofico"),Hoja1!$K$4,IF(AND(AH83=1,I83="Mayor "),Hoja1!$K$5,IF(AND(AH83=1,I83="Moderado"),Hoja1!$K$6,IF(AND(AH83=2,I83="Menor"),Hoja1!$K$7,'FT-Mapa de riesgos'!I83)))))))</f>
        <v>Moderado</v>
      </c>
      <c r="AL83" s="238" t="str">
        <f>IF(ISERROR(VLOOKUP(AJ83&amp;AK83,Hoja1!$C$1:$F$25,4,0)),"",(VLOOKUP(AJ83&amp;AK83,Hoja1!$C$1:$F$25,4,0)))</f>
        <v>Moderado</v>
      </c>
      <c r="AM83" s="233"/>
    </row>
    <row r="84" spans="1:39" ht="73.5" hidden="1" customHeight="1" x14ac:dyDescent="0.4">
      <c r="A84" s="191"/>
      <c r="B84" s="245"/>
      <c r="C84" s="244"/>
      <c r="D84" s="244"/>
      <c r="E84" s="244"/>
      <c r="F84" s="196"/>
      <c r="G84" s="244"/>
      <c r="H84" s="239"/>
      <c r="I84" s="240"/>
      <c r="J84" s="238"/>
      <c r="K84" s="185"/>
      <c r="L84" s="234"/>
      <c r="M84" s="212"/>
      <c r="N84" s="212"/>
      <c r="O84" s="212"/>
      <c r="P84" s="188"/>
      <c r="Q84" s="188"/>
      <c r="R84" s="188" t="str">
        <f t="shared" si="8"/>
        <v/>
      </c>
      <c r="S84" s="188"/>
      <c r="T84" s="188" t="str">
        <f t="shared" ref="T84:T238" si="10">+IF(S84="No","N/A","")</f>
        <v/>
      </c>
      <c r="U84" s="188"/>
      <c r="V84" s="188"/>
      <c r="W84" s="188"/>
      <c r="X84" s="190"/>
      <c r="Y84" s="188"/>
      <c r="Z84" s="188"/>
      <c r="AA84" s="188" t="str">
        <f t="shared" ref="AA84:AA238" si="11">+IF(Z84="No","N/A","")</f>
        <v/>
      </c>
      <c r="AB84" s="183">
        <f t="shared" si="9"/>
        <v>0</v>
      </c>
      <c r="AC84" s="184">
        <f>IF(AND(L83=2,P84="Probabilidad",AB84&gt;=75),50,IF(AND(P84="Probabilidad",L83=2,AB84&gt;=50),37,IF(AND(P84="Probabilidad",L83=2,AB84&gt;=25),25,IF(AND(P84="Probabilidad",L83=2,AB84&gt;10),12,IF(AND(L83=1,P84="Probabilidad",AB84&gt;=75),100,IF(AND(P84="Probabilidad",L83=1,AB84&gt;=50),75,IF(AND(P84="Probabilidad",L83=1,AB84&gt;=25),50,IF(AND(P84="Probabilidad",L83=1,AB84&gt;10),25,IF(AND(P84="Probabilidad",L83=3,AB84&gt;=75),33.3,IF(AND(P84="Probabilidad",L83=3,AB84,AB84&gt;=50),25,IF(AND(P84="Probabilidad",L83=3,AB84&gt;=25),17,IF(AND(P84="Probabilidad",L83=3,AB84&gt;10),8,0))))))))))))</f>
        <v>0</v>
      </c>
      <c r="AD84" s="184">
        <f>IF(AND(L83=2,P84="Impacto",AB84&gt;=75),50,IF(AND(P84="Impacto",L83=2,AB84&gt;=50),37,IF(AND(P84="Impacto",L83=2,AB84&gt;=25),25,IF(AND(P84="Impacto",L83=2,AB84&gt;10),12,IF(AND(L83=1,P84="Impacto",AB84&gt;=75),100,IF(AND(P84="Impacto",L83=1,AB84&gt;=50),75,IF(AND(P84="Impacto",L83=1,AB84&gt;=25),50,IF(AND(P84="Impacto",L83=1,AB84&gt;10),25,IF(AND(P84="Impacto",L83=3,AB84&gt;=75),33.3,IF(AND(P84="Impacto",L83=3,AB84,AB84&gt;=50),25,IF(AND(P84="Impacto",L83=3,AB84&gt;=25),17,IF(AND(P84="Impacto",L83=3,AB84&gt;10),8,0))))))))))))</f>
        <v>0</v>
      </c>
      <c r="AE84" s="235"/>
      <c r="AF84" s="235"/>
      <c r="AG84" s="236"/>
      <c r="AH84" s="236"/>
      <c r="AI84" s="193"/>
      <c r="AJ84" s="237"/>
      <c r="AK84" s="237"/>
      <c r="AL84" s="238"/>
      <c r="AM84" s="233"/>
    </row>
    <row r="85" spans="1:39" ht="73.5" hidden="1" customHeight="1" x14ac:dyDescent="0.4">
      <c r="A85" s="191"/>
      <c r="B85" s="245"/>
      <c r="C85" s="241"/>
      <c r="D85" s="241"/>
      <c r="E85" s="244"/>
      <c r="F85" s="197"/>
      <c r="G85" s="241"/>
      <c r="H85" s="239"/>
      <c r="I85" s="240"/>
      <c r="J85" s="238"/>
      <c r="K85" s="187"/>
      <c r="L85" s="234"/>
      <c r="M85" s="212"/>
      <c r="N85" s="212"/>
      <c r="O85" s="212"/>
      <c r="P85" s="188"/>
      <c r="Q85" s="188"/>
      <c r="R85" s="188" t="str">
        <f t="shared" si="8"/>
        <v/>
      </c>
      <c r="S85" s="188"/>
      <c r="T85" s="188" t="str">
        <f t="shared" si="10"/>
        <v/>
      </c>
      <c r="U85" s="188"/>
      <c r="V85" s="188"/>
      <c r="W85" s="188"/>
      <c r="X85" s="190"/>
      <c r="Y85" s="188"/>
      <c r="Z85" s="188"/>
      <c r="AA85" s="188" t="str">
        <f t="shared" si="11"/>
        <v/>
      </c>
      <c r="AB85" s="183">
        <f t="shared" si="9"/>
        <v>0</v>
      </c>
      <c r="AC85" s="184">
        <f>IF(AND(L83=2,P85="Probabilidad",AB85&gt;=75),50,IF(AND(P85="Probabilidad",L83=2,AB85&gt;=50),37,IF(AND(P85="Probabilidad",L83=2,AB85&gt;=25),25,IF(AND(P85="Probabilidad",L83=2,AB85&gt;10),12,IF(AND(L83=1,P85="Probabilidad",AB85&gt;=75),100,IF(AND(P85="Probabilidad",L83=1,AB85&gt;=50),75,IF(AND(P85="Probabilidad",L83=1,AB85&gt;=25),50,IF(AND(P85="Probabilidad",L83=1,AB85&gt;10),25,IF(AND(P85="Probabilidad",L83=3,AB85&gt;=75),33.3,IF(AND(P85="Probabilidad",L83=3,AB85,AB85&gt;=50),25,IF(AND(P85="Probabilidad",L83=3,AB85&gt;=25),17,IF(AND(P85="Probabilidad",L83=3,AB85&gt;10),8,0))))))))))))</f>
        <v>0</v>
      </c>
      <c r="AD85" s="184">
        <f>IF(AND(L83=2,P85="Impacto",AB85&gt;=75),50,IF(AND(P85="Impacto",L83=2,AB85&gt;=50),37,IF(AND(P85="Impacto",L83=2,AB85&gt;=25),25,IF(AND(P85="Impacto",L83=2,AB85&gt;10),12,IF(AND(L83=1,P85="Impacto",AB85&gt;=75),100,IF(AND(P85="Impacto",L83=1,AB85&gt;=50),75,IF(AND(P85="Impacto",L83=1,AB85&gt;=25),50,IF(AND(P85="Impacto",L83=1,AB85&gt;10),25,IF(AND(P85="Impacto",L83=3,AB85&gt;=75),33.3,IF(AND(P85="Impacto",L83=3,AB85,AB85&gt;=50),25,IF(AND(P85="Impacto",L83=3,AB85&gt;=25),17,IF(AND(P85="Impacto",L83=3,AB85&gt;10),8,0))))))))))))</f>
        <v>0</v>
      </c>
      <c r="AE85" s="235"/>
      <c r="AF85" s="235"/>
      <c r="AG85" s="236"/>
      <c r="AH85" s="236"/>
      <c r="AI85" s="193"/>
      <c r="AJ85" s="237"/>
      <c r="AK85" s="237"/>
      <c r="AL85" s="238"/>
      <c r="AM85" s="233"/>
    </row>
    <row r="86" spans="1:39" ht="237.75" customHeight="1" x14ac:dyDescent="0.4">
      <c r="A86" s="191"/>
      <c r="B86" s="245">
        <v>23</v>
      </c>
      <c r="C86" s="255" t="s">
        <v>437</v>
      </c>
      <c r="D86" s="258" t="s">
        <v>438</v>
      </c>
      <c r="E86" s="244" t="s">
        <v>79</v>
      </c>
      <c r="F86" s="208" t="s">
        <v>439</v>
      </c>
      <c r="G86" s="255" t="s">
        <v>440</v>
      </c>
      <c r="H86" s="239" t="s">
        <v>31</v>
      </c>
      <c r="I86" s="240" t="s">
        <v>19</v>
      </c>
      <c r="J86" s="238" t="str">
        <f>IF(ISERROR(VLOOKUP(H86&amp;I86,Hoja1!$C$1:$F$25,4,0)),"",(VLOOKUP(H86&amp;I86,Hoja1!$C$1:$F$25,4,0)))</f>
        <v>Alto</v>
      </c>
      <c r="K86" s="185" t="s">
        <v>85</v>
      </c>
      <c r="L86" s="234">
        <v>1</v>
      </c>
      <c r="M86" s="195" t="s">
        <v>445</v>
      </c>
      <c r="N86" s="195" t="s">
        <v>445</v>
      </c>
      <c r="O86" s="195" t="s">
        <v>446</v>
      </c>
      <c r="P86" s="188" t="s">
        <v>22</v>
      </c>
      <c r="Q86" s="188" t="s">
        <v>42</v>
      </c>
      <c r="R86" s="188" t="str">
        <f t="shared" si="8"/>
        <v>N/A</v>
      </c>
      <c r="S86" s="188" t="s">
        <v>41</v>
      </c>
      <c r="T86" s="189" t="s">
        <v>450</v>
      </c>
      <c r="U86" s="188" t="s">
        <v>41</v>
      </c>
      <c r="V86" s="189" t="s">
        <v>152</v>
      </c>
      <c r="W86" s="189" t="s">
        <v>167</v>
      </c>
      <c r="X86" s="190" t="s">
        <v>167</v>
      </c>
      <c r="Y86" s="189" t="s">
        <v>108</v>
      </c>
      <c r="Z86" s="188" t="s">
        <v>41</v>
      </c>
      <c r="AA86" s="189" t="s">
        <v>436</v>
      </c>
      <c r="AB86" s="183">
        <f t="shared" ref="AB86:AB91" si="12">SUM(IF(Q86="Si",Q$15,0)+(IF(S86="Si",S$15,0))+IF(U86="Si",U$15,0)+IF(Z86="Si",Z$15,0))</f>
        <v>68</v>
      </c>
      <c r="AC86" s="184">
        <f t="shared" ref="AC86" si="13">IF(AND(L86=2,P86="Probabilidad",AB86&gt;=75),50,IF(AND(P86="Probabilidad",L86=2,AB86&gt;=50),37,IF(AND(P86="Probabilidad",L86=2,AB86&gt;=25),25,IF(AND(P86="Probabilidad",L86=2,AB86&gt;10),12,IF(AND(L86=1,P86="Probabilidad",AB86&gt;=75),100,IF(AND(P86="Probabilidad",L86=1,AB86&gt;=50),75,IF(AND(P86="Probabilidad",L86=1,AB86&gt;=25),50,IF(AND(P86="Probabilidad",L86=1,AB86&gt;10),25,IF(AND(P86="Probabilidad",L86=3,AB86&gt;=75),33.3,IF(AND(P86="Probabilidad",L86=3,AB86,AB86&gt;=50),25,IF(AND(P86="Probabilidad",L86=3,AB86&gt;=25),17,IF(AND(P86="Probabilidad",L86=3,AB86&gt;10),8,0))))))))))))</f>
        <v>75</v>
      </c>
      <c r="AD86" s="184">
        <f t="shared" ref="AD86" si="14">IF(AND(L86=2,P86="Impacto",AB86&gt;=75),50,IF(AND(P86="Impacto",L86=2,AB86&gt;=50),37,IF(AND(P86="Impacto",L86=2,AB86&gt;=25),25,IF(AND(P86="Impacto",L86=2,AB86&gt;10),12,IF(AND(L86=1,P86="Impacto",AB86&gt;=75),100,IF(AND(P86="Impacto",L86=1,AB86&gt;=50),75,IF(AND(P86="Impacto",L86=1,AB86&gt;=25),50,IF(AND(P86="Impacto",L86=1,AB86&gt;10),25,IF(AND(P86="Impacto",L86=3,AB86&gt;=75),33.3,IF(AND(P86="Impacto",L86=3,AB86,AB86&gt;=50),25,IF(AND(P86="Impacto",L86=3,AB86&gt;=25),17,IF(AND(P86="Impacto",L86=3,AB86&gt;10),8,0))))))))))))</f>
        <v>0</v>
      </c>
      <c r="AE86" s="235">
        <f t="shared" ref="AE86:AF86" si="15">SUM(AC86:AC88)</f>
        <v>75</v>
      </c>
      <c r="AF86" s="235">
        <f t="shared" si="15"/>
        <v>0</v>
      </c>
      <c r="AG86" s="236">
        <f t="shared" ref="AG86" si="16">IF(AE86&gt;75,2,IF(AE86&gt;=30,1,"-"))</f>
        <v>1</v>
      </c>
      <c r="AH86" s="236" t="str">
        <f t="shared" ref="AH86" si="17">IF(AF86&gt;75,2,IF(AF86&gt;=30,1,"-"))</f>
        <v>-</v>
      </c>
      <c r="AI86" s="193"/>
      <c r="AJ86" s="237" t="str">
        <f>IF(AND(AG86=2,H86="Casi seguro"),Hoja1!$J$5,IF(AND(AG86=2,H86="Posible"),Hoja1!$J$6,IF(AND(H86="Improbable",AG86=2),Hoja1!J33,IF(AND(AG86=1,H86="Casi seguro"),Hoja1!$J$4,IF(AND(AG86=1,H86="Posible"),Hoja1!$J$5,IF(AND(AG86=1,H86="Improbable"),Hoja1!$J$6,'FT-Mapa de riesgos'!H86))))))</f>
        <v>Probable</v>
      </c>
      <c r="AK86" s="237" t="str">
        <f>IF(AND(AH86=2,I86="Catastrofico"),Hoja1!$K$5,IF(AND(AH86=2,I86="Mayor"),Hoja1!$K$6,IF(AND(AH86=2,I86="Moderado"),Hoja1!$K$7,IF(AND(AH86=1,I86="Catastrofico"),Hoja1!$K$4,IF(AND(AH86=1,I86="Mayor "),Hoja1!$K$5,IF(AND(AH86=1,I86="Moderado"),Hoja1!$K$6,IF(AND(AH86=2,I86="Menor"),Hoja1!$K$7,'FT-Mapa de riesgos'!I86)))))))</f>
        <v>Moderado</v>
      </c>
      <c r="AL86" s="238" t="str">
        <f>IF(ISERROR(VLOOKUP(AJ86&amp;AK86,Hoja1!$C$1:$F$25,4,0)),"",(VLOOKUP(AJ86&amp;AK86,Hoja1!$C$1:$F$25,4,0)))</f>
        <v>Alto</v>
      </c>
      <c r="AM86" s="233"/>
    </row>
    <row r="87" spans="1:39" ht="73.5" hidden="1" customHeight="1" x14ac:dyDescent="0.4">
      <c r="A87" s="191"/>
      <c r="B87" s="245"/>
      <c r="C87" s="256"/>
      <c r="D87" s="259"/>
      <c r="E87" s="244"/>
      <c r="F87" s="208"/>
      <c r="G87" s="256"/>
      <c r="H87" s="239"/>
      <c r="I87" s="240"/>
      <c r="J87" s="238"/>
      <c r="K87" s="185"/>
      <c r="L87" s="234"/>
      <c r="M87" s="195"/>
      <c r="N87" s="195"/>
      <c r="O87" s="195"/>
      <c r="P87" s="188"/>
      <c r="Q87" s="188"/>
      <c r="R87" s="188" t="str">
        <f t="shared" si="8"/>
        <v/>
      </c>
      <c r="S87" s="188"/>
      <c r="T87" s="189"/>
      <c r="U87" s="188"/>
      <c r="V87" s="188"/>
      <c r="W87" s="188"/>
      <c r="X87" s="190"/>
      <c r="Y87" s="188"/>
      <c r="Z87" s="188"/>
      <c r="AA87" s="188"/>
      <c r="AB87" s="183">
        <f t="shared" si="12"/>
        <v>0</v>
      </c>
      <c r="AC87" s="184">
        <f t="shared" ref="AC87" si="18">IF(AND(L86=2,P87="Probabilidad",AB87&gt;=75),50,IF(AND(P87="Probabilidad",L86=2,AB87&gt;=50),37,IF(AND(P87="Probabilidad",L86=2,AB87&gt;=25),25,IF(AND(P87="Probabilidad",L86=2,AB87&gt;10),12,IF(AND(L86=1,P87="Probabilidad",AB87&gt;=75),100,IF(AND(P87="Probabilidad",L86=1,AB87&gt;=50),75,IF(AND(P87="Probabilidad",L86=1,AB87&gt;=25),50,IF(AND(P87="Probabilidad",L86=1,AB87&gt;10),25,IF(AND(P87="Probabilidad",L86=3,AB87&gt;=75),33.3,IF(AND(P87="Probabilidad",L86=3,AB87,AB87&gt;=50),25,IF(AND(P87="Probabilidad",L86=3,AB87&gt;=25),17,IF(AND(P87="Probabilidad",L86=3,AB87&gt;10),8,0))))))))))))</f>
        <v>0</v>
      </c>
      <c r="AD87" s="184">
        <f t="shared" ref="AD87" si="19">IF(AND(L86=2,P87="Impacto",AB87&gt;=75),50,IF(AND(P87="Impacto",L86=2,AB87&gt;=50),37,IF(AND(P87="Impacto",L86=2,AB87&gt;=25),25,IF(AND(P87="Impacto",L86=2,AB87&gt;10),12,IF(AND(L86=1,P87="Impacto",AB87&gt;=75),100,IF(AND(P87="Impacto",L86=1,AB87&gt;=50),75,IF(AND(P87="Impacto",L86=1,AB87&gt;=25),50,IF(AND(P87="Impacto",L86=1,AB87&gt;10),25,IF(AND(P87="Impacto",L86=3,AB87&gt;=75),33.3,IF(AND(P87="Impacto",L86=3,AB87,AB87&gt;=50),25,IF(AND(P87="Impacto",L86=3,AB87&gt;=25),17,IF(AND(P87="Impacto",L86=3,AB87&gt;10),8,0))))))))))))</f>
        <v>0</v>
      </c>
      <c r="AE87" s="235"/>
      <c r="AF87" s="235"/>
      <c r="AG87" s="236"/>
      <c r="AH87" s="236"/>
      <c r="AI87" s="193"/>
      <c r="AJ87" s="237"/>
      <c r="AK87" s="237"/>
      <c r="AL87" s="238"/>
      <c r="AM87" s="233"/>
    </row>
    <row r="88" spans="1:39" ht="73.5" hidden="1" customHeight="1" x14ac:dyDescent="0.4">
      <c r="A88" s="191"/>
      <c r="B88" s="245"/>
      <c r="C88" s="257"/>
      <c r="D88" s="260"/>
      <c r="E88" s="244"/>
      <c r="F88" s="208"/>
      <c r="G88" s="257"/>
      <c r="H88" s="239"/>
      <c r="I88" s="240"/>
      <c r="J88" s="238"/>
      <c r="K88" s="187"/>
      <c r="L88" s="234"/>
      <c r="M88" s="195"/>
      <c r="N88" s="195"/>
      <c r="O88" s="195"/>
      <c r="P88" s="188"/>
      <c r="Q88" s="188"/>
      <c r="R88" s="188" t="str">
        <f t="shared" si="8"/>
        <v/>
      </c>
      <c r="S88" s="188"/>
      <c r="T88" s="189"/>
      <c r="U88" s="188"/>
      <c r="V88" s="188"/>
      <c r="W88" s="188"/>
      <c r="X88" s="190"/>
      <c r="Y88" s="188"/>
      <c r="Z88" s="188"/>
      <c r="AA88" s="188"/>
      <c r="AB88" s="183">
        <f t="shared" si="12"/>
        <v>0</v>
      </c>
      <c r="AC88" s="184">
        <f t="shared" ref="AC88" si="20">IF(AND(L86=2,P88="Probabilidad",AB88&gt;=75),50,IF(AND(P88="Probabilidad",L86=2,AB88&gt;=50),37,IF(AND(P88="Probabilidad",L86=2,AB88&gt;=25),25,IF(AND(P88="Probabilidad",L86=2,AB88&gt;10),12,IF(AND(L86=1,P88="Probabilidad",AB88&gt;=75),100,IF(AND(P88="Probabilidad",L86=1,AB88&gt;=50),75,IF(AND(P88="Probabilidad",L86=1,AB88&gt;=25),50,IF(AND(P88="Probabilidad",L86=1,AB88&gt;10),25,IF(AND(P88="Probabilidad",L86=3,AB88&gt;=75),33.3,IF(AND(P88="Probabilidad",L86=3,AB88,AB88&gt;=50),25,IF(AND(P88="Probabilidad",L86=3,AB88&gt;=25),17,IF(AND(P88="Probabilidad",L86=3,AB88&gt;10),8,0))))))))))))</f>
        <v>0</v>
      </c>
      <c r="AD88" s="184">
        <f t="shared" ref="AD88" si="21">IF(AND(L86=2,P88="Impacto",AB88&gt;=75),50,IF(AND(P88="Impacto",L86=2,AB88&gt;=50),37,IF(AND(P88="Impacto",L86=2,AB88&gt;=25),25,IF(AND(P88="Impacto",L86=2,AB88&gt;10),12,IF(AND(L86=1,P88="Impacto",AB88&gt;=75),100,IF(AND(P88="Impacto",L86=1,AB88&gt;=50),75,IF(AND(P88="Impacto",L86=1,AB88&gt;=25),50,IF(AND(P88="Impacto",L86=1,AB88&gt;10),25,IF(AND(P88="Impacto",L86=3,AB88&gt;=75),33.3,IF(AND(P88="Impacto",L86=3,AB88,AB88&gt;=50),25,IF(AND(P88="Impacto",L86=3,AB88&gt;=25),17,IF(AND(P88="Impacto",L86=3,AB88&gt;10),8,0))))))))))))</f>
        <v>0</v>
      </c>
      <c r="AE88" s="235"/>
      <c r="AF88" s="235"/>
      <c r="AG88" s="236"/>
      <c r="AH88" s="236"/>
      <c r="AI88" s="193"/>
      <c r="AJ88" s="237"/>
      <c r="AK88" s="237"/>
      <c r="AL88" s="238"/>
      <c r="AM88" s="233"/>
    </row>
    <row r="89" spans="1:39" ht="219" customHeight="1" x14ac:dyDescent="0.4">
      <c r="A89" s="191"/>
      <c r="B89" s="245">
        <v>24</v>
      </c>
      <c r="C89" s="255" t="s">
        <v>441</v>
      </c>
      <c r="D89" s="258" t="s">
        <v>442</v>
      </c>
      <c r="E89" s="244" t="s">
        <v>79</v>
      </c>
      <c r="F89" s="209" t="s">
        <v>443</v>
      </c>
      <c r="G89" s="261" t="s">
        <v>444</v>
      </c>
      <c r="H89" s="239" t="s">
        <v>15</v>
      </c>
      <c r="I89" s="240" t="s">
        <v>19</v>
      </c>
      <c r="J89" s="238" t="str">
        <f>IF(ISERROR(VLOOKUP(H89&amp;I89,Hoja1!$C$1:$F$25,4,0)),"",(VLOOKUP(H89&amp;I89,Hoja1!$C$1:$F$25,4,0)))</f>
        <v>Alto</v>
      </c>
      <c r="K89" s="185" t="s">
        <v>85</v>
      </c>
      <c r="L89" s="234">
        <v>1</v>
      </c>
      <c r="M89" s="195" t="s">
        <v>447</v>
      </c>
      <c r="N89" s="195" t="s">
        <v>448</v>
      </c>
      <c r="O89" s="195" t="s">
        <v>449</v>
      </c>
      <c r="P89" s="188" t="s">
        <v>22</v>
      </c>
      <c r="Q89" s="188" t="s">
        <v>42</v>
      </c>
      <c r="R89" s="188" t="str">
        <f t="shared" si="8"/>
        <v>N/A</v>
      </c>
      <c r="S89" s="188" t="s">
        <v>41</v>
      </c>
      <c r="T89" s="189" t="s">
        <v>451</v>
      </c>
      <c r="U89" s="188" t="s">
        <v>41</v>
      </c>
      <c r="V89" s="189" t="s">
        <v>152</v>
      </c>
      <c r="W89" s="189" t="s">
        <v>167</v>
      </c>
      <c r="X89" s="190" t="s">
        <v>167</v>
      </c>
      <c r="Y89" s="189" t="s">
        <v>108</v>
      </c>
      <c r="Z89" s="188" t="s">
        <v>41</v>
      </c>
      <c r="AA89" s="189" t="s">
        <v>452</v>
      </c>
      <c r="AB89" s="183">
        <f t="shared" si="12"/>
        <v>68</v>
      </c>
      <c r="AC89" s="184">
        <f t="shared" ref="AC89" si="22">IF(AND(L89=2,P89="Probabilidad",AB89&gt;=75),50,IF(AND(P89="Probabilidad",L89=2,AB89&gt;=50),37,IF(AND(P89="Probabilidad",L89=2,AB89&gt;=25),25,IF(AND(P89="Probabilidad",L89=2,AB89&gt;10),12,IF(AND(L89=1,P89="Probabilidad",AB89&gt;=75),100,IF(AND(P89="Probabilidad",L89=1,AB89&gt;=50),75,IF(AND(P89="Probabilidad",L89=1,AB89&gt;=25),50,IF(AND(P89="Probabilidad",L89=1,AB89&gt;10),25,IF(AND(P89="Probabilidad",L89=3,AB89&gt;=75),33.3,IF(AND(P89="Probabilidad",L89=3,AB89,AB89&gt;=50),25,IF(AND(P89="Probabilidad",L89=3,AB89&gt;=25),17,IF(AND(P89="Probabilidad",L89=3,AB89&gt;10),8,0))))))))))))</f>
        <v>75</v>
      </c>
      <c r="AD89" s="184">
        <f t="shared" ref="AD89" si="23">IF(AND(L89=2,P89="Impacto",AB89&gt;=75),50,IF(AND(P89="Impacto",L89=2,AB89&gt;=50),37,IF(AND(P89="Impacto",L89=2,AB89&gt;=25),25,IF(AND(P89="Impacto",L89=2,AB89&gt;10),12,IF(AND(L89=1,P89="Impacto",AB89&gt;=75),100,IF(AND(P89="Impacto",L89=1,AB89&gt;=50),75,IF(AND(P89="Impacto",L89=1,AB89&gt;=25),50,IF(AND(P89="Impacto",L89=1,AB89&gt;10),25,IF(AND(P89="Impacto",L89=3,AB89&gt;=75),33.3,IF(AND(P89="Impacto",L89=3,AB89,AB89&gt;=50),25,IF(AND(P89="Impacto",L89=3,AB89&gt;=25),17,IF(AND(P89="Impacto",L89=3,AB89&gt;10),8,0))))))))))))</f>
        <v>0</v>
      </c>
      <c r="AE89" s="235">
        <f t="shared" ref="AE89:AF89" si="24">SUM(AC89:AC91)</f>
        <v>75</v>
      </c>
      <c r="AF89" s="235">
        <f t="shared" si="24"/>
        <v>0</v>
      </c>
      <c r="AG89" s="236">
        <f t="shared" ref="AG89" si="25">IF(AE89&gt;75,2,IF(AE89&gt;=30,1,"-"))</f>
        <v>1</v>
      </c>
      <c r="AH89" s="236" t="str">
        <f t="shared" ref="AH89" si="26">IF(AF89&gt;75,2,IF(AF89&gt;=30,1,"-"))</f>
        <v>-</v>
      </c>
      <c r="AI89" s="193"/>
      <c r="AJ89" s="237" t="str">
        <f>IF(AND(AG89=2,H89="Casi seguro"),Hoja1!$J$5,IF(AND(AG89=2,H89="Posible"),Hoja1!$J$6,IF(AND(H89="Improbable",AG89=2),Hoja1!J36,IF(AND(AG89=1,H89="Casi seguro"),Hoja1!$J$4,IF(AND(AG89=1,H89="Posible"),Hoja1!$J$5,IF(AND(AG89=1,H89="Improbable"),Hoja1!$J$6,'FT-Mapa de riesgos'!H89))))))</f>
        <v>Improbable</v>
      </c>
      <c r="AK89" s="237" t="str">
        <f>IF(AND(AH89=2,I89="Catastrofico"),Hoja1!$K$5,IF(AND(AH89=2,I89="Mayor"),Hoja1!$K$6,IF(AND(AH89=2,I89="Moderado"),Hoja1!$K$7,IF(AND(AH89=1,I89="Catastrofico"),Hoja1!$K$4,IF(AND(AH89=1,I89="Mayor "),Hoja1!$K$5,IF(AND(AH89=1,I89="Moderado"),Hoja1!$K$6,IF(AND(AH89=2,I89="Menor"),Hoja1!$K$7,'FT-Mapa de riesgos'!I89)))))))</f>
        <v>Moderado</v>
      </c>
      <c r="AL89" s="238" t="str">
        <f>IF(ISERROR(VLOOKUP(AJ89&amp;AK89,Hoja1!$C$1:$F$25,4,0)),"",(VLOOKUP(AJ89&amp;AK89,Hoja1!$C$1:$F$25,4,0)))</f>
        <v>Moderado</v>
      </c>
      <c r="AM89" s="233"/>
    </row>
    <row r="90" spans="1:39" ht="73.5" hidden="1" customHeight="1" x14ac:dyDescent="0.4">
      <c r="A90" s="191"/>
      <c r="B90" s="245"/>
      <c r="C90" s="256"/>
      <c r="D90" s="259"/>
      <c r="E90" s="244"/>
      <c r="F90" s="210"/>
      <c r="G90" s="262"/>
      <c r="H90" s="239"/>
      <c r="I90" s="240"/>
      <c r="J90" s="238"/>
      <c r="K90" s="185"/>
      <c r="L90" s="234"/>
      <c r="M90" s="195"/>
      <c r="N90" s="195"/>
      <c r="O90" s="195"/>
      <c r="P90" s="188"/>
      <c r="Q90" s="188"/>
      <c r="R90" s="188" t="str">
        <f t="shared" si="8"/>
        <v/>
      </c>
      <c r="S90" s="188"/>
      <c r="T90" s="189"/>
      <c r="U90" s="188"/>
      <c r="V90" s="188"/>
      <c r="W90" s="188"/>
      <c r="X90" s="190"/>
      <c r="Y90" s="188"/>
      <c r="Z90" s="188"/>
      <c r="AA90" s="188"/>
      <c r="AB90" s="183">
        <f t="shared" si="12"/>
        <v>0</v>
      </c>
      <c r="AC90" s="184">
        <f t="shared" ref="AC90" si="27">IF(AND(L89=2,P90="Probabilidad",AB90&gt;=75),50,IF(AND(P90="Probabilidad",L89=2,AB90&gt;=50),37,IF(AND(P90="Probabilidad",L89=2,AB90&gt;=25),25,IF(AND(P90="Probabilidad",L89=2,AB90&gt;10),12,IF(AND(L89=1,P90="Probabilidad",AB90&gt;=75),100,IF(AND(P90="Probabilidad",L89=1,AB90&gt;=50),75,IF(AND(P90="Probabilidad",L89=1,AB90&gt;=25),50,IF(AND(P90="Probabilidad",L89=1,AB90&gt;10),25,IF(AND(P90="Probabilidad",L89=3,AB90&gt;=75),33.3,IF(AND(P90="Probabilidad",L89=3,AB90,AB90&gt;=50),25,IF(AND(P90="Probabilidad",L89=3,AB90&gt;=25),17,IF(AND(P90="Probabilidad",L89=3,AB90&gt;10),8,0))))))))))))</f>
        <v>0</v>
      </c>
      <c r="AD90" s="184">
        <f t="shared" ref="AD90" si="28">IF(AND(L89=2,P90="Impacto",AB90&gt;=75),50,IF(AND(P90="Impacto",L89=2,AB90&gt;=50),37,IF(AND(P90="Impacto",L89=2,AB90&gt;=25),25,IF(AND(P90="Impacto",L89=2,AB90&gt;10),12,IF(AND(L89=1,P90="Impacto",AB90&gt;=75),100,IF(AND(P90="Impacto",L89=1,AB90&gt;=50),75,IF(AND(P90="Impacto",L89=1,AB90&gt;=25),50,IF(AND(P90="Impacto",L89=1,AB90&gt;10),25,IF(AND(P90="Impacto",L89=3,AB90&gt;=75),33.3,IF(AND(P90="Impacto",L89=3,AB90,AB90&gt;=50),25,IF(AND(P90="Impacto",L89=3,AB90&gt;=25),17,IF(AND(P90="Impacto",L89=3,AB90&gt;10),8,0))))))))))))</f>
        <v>0</v>
      </c>
      <c r="AE90" s="235"/>
      <c r="AF90" s="235"/>
      <c r="AG90" s="236"/>
      <c r="AH90" s="236"/>
      <c r="AI90" s="193"/>
      <c r="AJ90" s="237"/>
      <c r="AK90" s="237"/>
      <c r="AL90" s="238"/>
      <c r="AM90" s="233"/>
    </row>
    <row r="91" spans="1:39" ht="73.5" hidden="1" customHeight="1" x14ac:dyDescent="0.4">
      <c r="A91" s="191"/>
      <c r="B91" s="245"/>
      <c r="C91" s="257"/>
      <c r="D91" s="260"/>
      <c r="E91" s="244"/>
      <c r="F91" s="211"/>
      <c r="G91" s="263"/>
      <c r="H91" s="239"/>
      <c r="I91" s="240"/>
      <c r="J91" s="238"/>
      <c r="K91" s="187"/>
      <c r="L91" s="234"/>
      <c r="M91" s="195"/>
      <c r="N91" s="195"/>
      <c r="O91" s="195"/>
      <c r="P91" s="188"/>
      <c r="Q91" s="188"/>
      <c r="R91" s="188" t="str">
        <f t="shared" si="8"/>
        <v/>
      </c>
      <c r="S91" s="188"/>
      <c r="T91" s="188"/>
      <c r="U91" s="188"/>
      <c r="V91" s="188"/>
      <c r="W91" s="188"/>
      <c r="X91" s="190"/>
      <c r="Y91" s="188"/>
      <c r="Z91" s="188"/>
      <c r="AA91" s="188"/>
      <c r="AB91" s="183">
        <f t="shared" si="12"/>
        <v>0</v>
      </c>
      <c r="AC91" s="184">
        <f t="shared" ref="AC91" si="29">IF(AND(L89=2,P91="Probabilidad",AB91&gt;=75),50,IF(AND(P91="Probabilidad",L89=2,AB91&gt;=50),37,IF(AND(P91="Probabilidad",L89=2,AB91&gt;=25),25,IF(AND(P91="Probabilidad",L89=2,AB91&gt;10),12,IF(AND(L89=1,P91="Probabilidad",AB91&gt;=75),100,IF(AND(P91="Probabilidad",L89=1,AB91&gt;=50),75,IF(AND(P91="Probabilidad",L89=1,AB91&gt;=25),50,IF(AND(P91="Probabilidad",L89=1,AB91&gt;10),25,IF(AND(P91="Probabilidad",L89=3,AB91&gt;=75),33.3,IF(AND(P91="Probabilidad",L89=3,AB91,AB91&gt;=50),25,IF(AND(P91="Probabilidad",L89=3,AB91&gt;=25),17,IF(AND(P91="Probabilidad",L89=3,AB91&gt;10),8,0))))))))))))</f>
        <v>0</v>
      </c>
      <c r="AD91" s="184">
        <f t="shared" ref="AD91" si="30">IF(AND(L89=2,P91="Impacto",AB91&gt;=75),50,IF(AND(P91="Impacto",L89=2,AB91&gt;=50),37,IF(AND(P91="Impacto",L89=2,AB91&gt;=25),25,IF(AND(P91="Impacto",L89=2,AB91&gt;10),12,IF(AND(L89=1,P91="Impacto",AB91&gt;=75),100,IF(AND(P91="Impacto",L89=1,AB91&gt;=50),75,IF(AND(P91="Impacto",L89=1,AB91&gt;=25),50,IF(AND(P91="Impacto",L89=1,AB91&gt;10),25,IF(AND(P91="Impacto",L89=3,AB91&gt;=75),33.3,IF(AND(P91="Impacto",L89=3,AB91,AB91&gt;=50),25,IF(AND(P91="Impacto",L89=3,AB91&gt;=25),17,IF(AND(P91="Impacto",L89=3,AB91&gt;10),8,0))))))))))))</f>
        <v>0</v>
      </c>
      <c r="AE91" s="235"/>
      <c r="AF91" s="235"/>
      <c r="AG91" s="236"/>
      <c r="AH91" s="236"/>
      <c r="AI91" s="193"/>
      <c r="AJ91" s="237"/>
      <c r="AK91" s="237"/>
      <c r="AL91" s="238"/>
      <c r="AM91" s="233"/>
    </row>
    <row r="92" spans="1:39" ht="219.95" customHeight="1" x14ac:dyDescent="0.4">
      <c r="A92" s="191"/>
      <c r="B92" s="245">
        <v>25</v>
      </c>
      <c r="C92" s="244" t="s">
        <v>453</v>
      </c>
      <c r="D92" s="244" t="s">
        <v>454</v>
      </c>
      <c r="E92" s="244" t="s">
        <v>33</v>
      </c>
      <c r="F92" s="195" t="s">
        <v>455</v>
      </c>
      <c r="G92" s="244" t="s">
        <v>456</v>
      </c>
      <c r="H92" s="239" t="s">
        <v>16</v>
      </c>
      <c r="I92" s="240" t="s">
        <v>19</v>
      </c>
      <c r="J92" s="238" t="str">
        <f>IF(ISERROR(VLOOKUP(H92&amp;I92,Hoja1!$C$1:$F$25,4,0)),"",(VLOOKUP(H92&amp;I92,Hoja1!$C$1:$F$25,4,0)))</f>
        <v>Extremo</v>
      </c>
      <c r="K92" s="185" t="s">
        <v>85</v>
      </c>
      <c r="L92" s="234">
        <v>2</v>
      </c>
      <c r="M92" s="195" t="s">
        <v>463</v>
      </c>
      <c r="N92" s="195" t="s">
        <v>464</v>
      </c>
      <c r="O92" s="195" t="s">
        <v>465</v>
      </c>
      <c r="P92" s="188" t="s">
        <v>22</v>
      </c>
      <c r="Q92" s="188" t="s">
        <v>42</v>
      </c>
      <c r="R92" s="188" t="str">
        <f t="shared" si="8"/>
        <v>N/A</v>
      </c>
      <c r="S92" s="188" t="s">
        <v>41</v>
      </c>
      <c r="T92" s="189" t="s">
        <v>476</v>
      </c>
      <c r="U92" s="188" t="s">
        <v>41</v>
      </c>
      <c r="V92" s="188" t="s">
        <v>72</v>
      </c>
      <c r="W92" s="188" t="s">
        <v>101</v>
      </c>
      <c r="X92" s="190" t="s">
        <v>102</v>
      </c>
      <c r="Y92" s="189" t="s">
        <v>108</v>
      </c>
      <c r="Z92" s="188" t="s">
        <v>41</v>
      </c>
      <c r="AA92" s="189" t="s">
        <v>477</v>
      </c>
      <c r="AB92" s="183">
        <f t="shared" ref="AB92:AB97" si="31">SUM(IF(Q92="Si",Q$15,0)+(IF(S92="Si",S$15,0))+IF(U92="Si",U$15,0)+IF(Z92="Si",Z$15,0))</f>
        <v>68</v>
      </c>
      <c r="AC92" s="184">
        <f t="shared" ref="AC92" si="32">IF(AND(L92=2,P92="Probabilidad",AB92&gt;=75),50,IF(AND(P92="Probabilidad",L92=2,AB92&gt;=50),37,IF(AND(P92="Probabilidad",L92=2,AB92&gt;=25),25,IF(AND(P92="Probabilidad",L92=2,AB92&gt;10),12,IF(AND(L92=1,P92="Probabilidad",AB92&gt;=75),100,IF(AND(P92="Probabilidad",L92=1,AB92&gt;=50),75,IF(AND(P92="Probabilidad",L92=1,AB92&gt;=25),50,IF(AND(P92="Probabilidad",L92=1,AB92&gt;10),25,IF(AND(P92="Probabilidad",L92=3,AB92&gt;=75),33.3,IF(AND(P92="Probabilidad",L92=3,AB92,AB92&gt;=50),25,IF(AND(P92="Probabilidad",L92=3,AB92&gt;=25),17,IF(AND(P92="Probabilidad",L92=3,AB92&gt;10),8,0))))))))))))</f>
        <v>37</v>
      </c>
      <c r="AD92" s="184">
        <f t="shared" ref="AD92" si="33">IF(AND(L92=2,P92="Impacto",AB92&gt;=75),50,IF(AND(P92="Impacto",L92=2,AB92&gt;=50),37,IF(AND(P92="Impacto",L92=2,AB92&gt;=25),25,IF(AND(P92="Impacto",L92=2,AB92&gt;10),12,IF(AND(L92=1,P92="Impacto",AB92&gt;=75),100,IF(AND(P92="Impacto",L92=1,AB92&gt;=50),75,IF(AND(P92="Impacto",L92=1,AB92&gt;=25),50,IF(AND(P92="Impacto",L92=1,AB92&gt;10),25,IF(AND(P92="Impacto",L92=3,AB92&gt;=75),33.3,IF(AND(P92="Impacto",L92=3,AB92,AB92&gt;=50),25,IF(AND(P92="Impacto",L92=3,AB92&gt;=25),17,IF(AND(P92="Impacto",L92=3,AB92&gt;10),8,0))))))))))))</f>
        <v>0</v>
      </c>
      <c r="AE92" s="235">
        <f t="shared" ref="AE92" si="34">SUM(AC92:AC94)</f>
        <v>87</v>
      </c>
      <c r="AF92" s="235">
        <f t="shared" ref="AF92" si="35">SUM(AD92:AD94)</f>
        <v>0</v>
      </c>
      <c r="AG92" s="236">
        <f t="shared" ref="AG92" si="36">IF(AE92&gt;75,2,IF(AE92&gt;=30,1,"-"))</f>
        <v>2</v>
      </c>
      <c r="AH92" s="236" t="str">
        <f t="shared" ref="AH92" si="37">IF(AF92&gt;75,2,IF(AF92&gt;=30,1,"-"))</f>
        <v>-</v>
      </c>
      <c r="AI92" s="193"/>
      <c r="AJ92" s="237" t="str">
        <f>IF(AND(AG92=2,H92="Casi seguro"),Hoja1!$J$5,IF(AND(AG92=2,H92="Posible"),Hoja1!$J$6,IF(AND(H92="Improbable",AG92=2),Hoja1!J39,IF(AND(AG92=1,H92="Casi seguro"),Hoja1!$J$4,IF(AND(AG92=1,H92="Posible"),Hoja1!$J$5,IF(AND(AG92=1,H92="Improbable"),Hoja1!$J$6,'FT-Mapa de riesgos'!H92))))))</f>
        <v>Improbable</v>
      </c>
      <c r="AK92" s="237" t="str">
        <f>IF(AND(AH92=2,I92="Catastrofico"),Hoja1!$K$5,IF(AND(AH92=2,I92="Mayor"),Hoja1!$K$6,IF(AND(AH92=2,I92="Moderado"),Hoja1!$K$7,IF(AND(AH92=1,I92="Catastrofico"),Hoja1!$K$4,IF(AND(AH92=1,I92="Mayor "),Hoja1!$K$5,IF(AND(AH92=1,I92="Moderado"),Hoja1!$K$6,IF(AND(AH92=2,I92="Menor"),Hoja1!$K$7,'FT-Mapa de riesgos'!I92)))))))</f>
        <v>Moderado</v>
      </c>
      <c r="AL92" s="238" t="str">
        <f>IF(ISERROR(VLOOKUP(AJ92&amp;AK92,Hoja1!$C$1:$F$25,4,0)),"",(VLOOKUP(AJ92&amp;AK92,Hoja1!$C$1:$F$25,4,0)))</f>
        <v>Moderado</v>
      </c>
      <c r="AM92" s="233"/>
    </row>
    <row r="93" spans="1:39" ht="219.95" customHeight="1" x14ac:dyDescent="0.4">
      <c r="A93" s="191"/>
      <c r="B93" s="245"/>
      <c r="C93" s="244"/>
      <c r="D93" s="244"/>
      <c r="E93" s="244"/>
      <c r="F93" s="195" t="s">
        <v>457</v>
      </c>
      <c r="G93" s="244"/>
      <c r="H93" s="239"/>
      <c r="I93" s="240"/>
      <c r="J93" s="238"/>
      <c r="K93" s="185" t="s">
        <v>85</v>
      </c>
      <c r="L93" s="234"/>
      <c r="M93" s="195" t="s">
        <v>466</v>
      </c>
      <c r="N93" s="195" t="s">
        <v>467</v>
      </c>
      <c r="O93" s="195" t="s">
        <v>468</v>
      </c>
      <c r="P93" s="188" t="s">
        <v>22</v>
      </c>
      <c r="Q93" s="188" t="s">
        <v>41</v>
      </c>
      <c r="R93" s="189" t="s">
        <v>475</v>
      </c>
      <c r="S93" s="188" t="s">
        <v>41</v>
      </c>
      <c r="T93" s="189" t="s">
        <v>476</v>
      </c>
      <c r="U93" s="188" t="s">
        <v>41</v>
      </c>
      <c r="V93" s="188" t="s">
        <v>72</v>
      </c>
      <c r="W93" s="188" t="s">
        <v>101</v>
      </c>
      <c r="X93" s="190" t="s">
        <v>102</v>
      </c>
      <c r="Y93" s="189" t="s">
        <v>108</v>
      </c>
      <c r="Z93" s="188" t="s">
        <v>41</v>
      </c>
      <c r="AA93" s="189" t="s">
        <v>478</v>
      </c>
      <c r="AB93" s="183">
        <f t="shared" si="31"/>
        <v>100</v>
      </c>
      <c r="AC93" s="184">
        <f t="shared" ref="AC93" si="38">IF(AND(L92=2,P93="Probabilidad",AB93&gt;=75),50,IF(AND(P93="Probabilidad",L92=2,AB93&gt;=50),37,IF(AND(P93="Probabilidad",L92=2,AB93&gt;=25),25,IF(AND(P93="Probabilidad",L92=2,AB93&gt;10),12,IF(AND(L92=1,P93="Probabilidad",AB93&gt;=75),100,IF(AND(P93="Probabilidad",L92=1,AB93&gt;=50),75,IF(AND(P93="Probabilidad",L92=1,AB93&gt;=25),50,IF(AND(P93="Probabilidad",L92=1,AB93&gt;10),25,IF(AND(P93="Probabilidad",L92=3,AB93&gt;=75),33.3,IF(AND(P93="Probabilidad",L92=3,AB93,AB93&gt;=50),25,IF(AND(P93="Probabilidad",L92=3,AB93&gt;=25),17,IF(AND(P93="Probabilidad",L92=3,AB93&gt;10),8,0))))))))))))</f>
        <v>50</v>
      </c>
      <c r="AD93" s="184">
        <f t="shared" ref="AD93" si="39">IF(AND(L92=2,P93="Impacto",AB93&gt;=75),50,IF(AND(P93="Impacto",L92=2,AB93&gt;=50),37,IF(AND(P93="Impacto",L92=2,AB93&gt;=25),25,IF(AND(P93="Impacto",L92=2,AB93&gt;10),12,IF(AND(L92=1,P93="Impacto",AB93&gt;=75),100,IF(AND(P93="Impacto",L92=1,AB93&gt;=50),75,IF(AND(P93="Impacto",L92=1,AB93&gt;=25),50,IF(AND(P93="Impacto",L92=1,AB93&gt;10),25,IF(AND(P93="Impacto",L92=3,AB93&gt;=75),33.3,IF(AND(P93="Impacto",L92=3,AB93,AB93&gt;=50),25,IF(AND(P93="Impacto",L92=3,AB93&gt;=25),17,IF(AND(P93="Impacto",L92=3,AB93&gt;10),8,0))))))))))))</f>
        <v>0</v>
      </c>
      <c r="AE93" s="235"/>
      <c r="AF93" s="235"/>
      <c r="AG93" s="236"/>
      <c r="AH93" s="236"/>
      <c r="AI93" s="193"/>
      <c r="AJ93" s="237"/>
      <c r="AK93" s="237"/>
      <c r="AL93" s="238"/>
      <c r="AM93" s="233"/>
    </row>
    <row r="94" spans="1:39" ht="73.5" hidden="1" customHeight="1" x14ac:dyDescent="0.4">
      <c r="A94" s="191"/>
      <c r="B94" s="245"/>
      <c r="C94" s="244"/>
      <c r="D94" s="244"/>
      <c r="E94" s="244"/>
      <c r="F94" s="195"/>
      <c r="G94" s="244"/>
      <c r="H94" s="239"/>
      <c r="I94" s="240"/>
      <c r="J94" s="238"/>
      <c r="K94" s="187"/>
      <c r="L94" s="234"/>
      <c r="M94" s="212"/>
      <c r="N94" s="212"/>
      <c r="O94" s="212"/>
      <c r="P94" s="188"/>
      <c r="Q94" s="188"/>
      <c r="R94" s="188" t="str">
        <f t="shared" si="8"/>
        <v/>
      </c>
      <c r="S94" s="188"/>
      <c r="T94" s="188"/>
      <c r="U94" s="188"/>
      <c r="V94" s="188"/>
      <c r="W94" s="188"/>
      <c r="X94" s="190"/>
      <c r="Y94" s="188"/>
      <c r="Z94" s="188"/>
      <c r="AA94" s="188"/>
      <c r="AB94" s="183">
        <f t="shared" si="31"/>
        <v>0</v>
      </c>
      <c r="AC94" s="184">
        <f t="shared" ref="AC94" si="40">IF(AND(L92=2,P94="Probabilidad",AB94&gt;=75),50,IF(AND(P94="Probabilidad",L92=2,AB94&gt;=50),37,IF(AND(P94="Probabilidad",L92=2,AB94&gt;=25),25,IF(AND(P94="Probabilidad",L92=2,AB94&gt;10),12,IF(AND(L92=1,P94="Probabilidad",AB94&gt;=75),100,IF(AND(P94="Probabilidad",L92=1,AB94&gt;=50),75,IF(AND(P94="Probabilidad",L92=1,AB94&gt;=25),50,IF(AND(P94="Probabilidad",L92=1,AB94&gt;10),25,IF(AND(P94="Probabilidad",L92=3,AB94&gt;=75),33.3,IF(AND(P94="Probabilidad",L92=3,AB94,AB94&gt;=50),25,IF(AND(P94="Probabilidad",L92=3,AB94&gt;=25),17,IF(AND(P94="Probabilidad",L92=3,AB94&gt;10),8,0))))))))))))</f>
        <v>0</v>
      </c>
      <c r="AD94" s="184">
        <f t="shared" ref="AD94" si="41">IF(AND(L92=2,P94="Impacto",AB94&gt;=75),50,IF(AND(P94="Impacto",L92=2,AB94&gt;=50),37,IF(AND(P94="Impacto",L92=2,AB94&gt;=25),25,IF(AND(P94="Impacto",L92=2,AB94&gt;10),12,IF(AND(L92=1,P94="Impacto",AB94&gt;=75),100,IF(AND(P94="Impacto",L92=1,AB94&gt;=50),75,IF(AND(P94="Impacto",L92=1,AB94&gt;=25),50,IF(AND(P94="Impacto",L92=1,AB94&gt;10),25,IF(AND(P94="Impacto",L92=3,AB94&gt;=75),33.3,IF(AND(P94="Impacto",L92=3,AB94,AB94&gt;=50),25,IF(AND(P94="Impacto",L92=3,AB94&gt;=25),17,IF(AND(P94="Impacto",L92=3,AB94&gt;10),8,0))))))))))))</f>
        <v>0</v>
      </c>
      <c r="AE94" s="235"/>
      <c r="AF94" s="235"/>
      <c r="AG94" s="236"/>
      <c r="AH94" s="236"/>
      <c r="AI94" s="193"/>
      <c r="AJ94" s="237"/>
      <c r="AK94" s="237"/>
      <c r="AL94" s="238"/>
      <c r="AM94" s="231"/>
    </row>
    <row r="95" spans="1:39" ht="219.95" customHeight="1" x14ac:dyDescent="0.4">
      <c r="A95" s="191"/>
      <c r="B95" s="245">
        <v>26</v>
      </c>
      <c r="C95" s="244" t="s">
        <v>458</v>
      </c>
      <c r="D95" s="244" t="s">
        <v>459</v>
      </c>
      <c r="E95" s="244" t="s">
        <v>34</v>
      </c>
      <c r="F95" s="195" t="s">
        <v>460</v>
      </c>
      <c r="G95" s="244" t="s">
        <v>461</v>
      </c>
      <c r="H95" s="239" t="s">
        <v>14</v>
      </c>
      <c r="I95" s="240" t="s">
        <v>19</v>
      </c>
      <c r="J95" s="238" t="str">
        <f>IF(ISERROR(VLOOKUP(H95&amp;I95,Hoja1!$C$1:$F$25,4,0)),"",(VLOOKUP(H95&amp;I95,Hoja1!$C$1:$F$25,4,0)))</f>
        <v>Moderado</v>
      </c>
      <c r="K95" s="185" t="s">
        <v>85</v>
      </c>
      <c r="L95" s="234">
        <v>2</v>
      </c>
      <c r="M95" s="195" t="s">
        <v>469</v>
      </c>
      <c r="N95" s="195" t="s">
        <v>470</v>
      </c>
      <c r="O95" s="195" t="s">
        <v>471</v>
      </c>
      <c r="P95" s="188" t="s">
        <v>22</v>
      </c>
      <c r="Q95" s="188" t="s">
        <v>42</v>
      </c>
      <c r="R95" s="188" t="str">
        <f t="shared" si="8"/>
        <v>N/A</v>
      </c>
      <c r="S95" s="188" t="s">
        <v>41</v>
      </c>
      <c r="T95" s="189" t="s">
        <v>476</v>
      </c>
      <c r="U95" s="188" t="s">
        <v>41</v>
      </c>
      <c r="V95" s="188" t="s">
        <v>72</v>
      </c>
      <c r="W95" s="188" t="s">
        <v>101</v>
      </c>
      <c r="X95" s="190" t="s">
        <v>102</v>
      </c>
      <c r="Y95" s="189" t="s">
        <v>108</v>
      </c>
      <c r="Z95" s="188" t="s">
        <v>41</v>
      </c>
      <c r="AA95" s="189" t="s">
        <v>479</v>
      </c>
      <c r="AB95" s="183">
        <f t="shared" si="31"/>
        <v>68</v>
      </c>
      <c r="AC95" s="184">
        <f t="shared" ref="AC95" si="42">IF(AND(L95=2,P95="Probabilidad",AB95&gt;=75),50,IF(AND(P95="Probabilidad",L95=2,AB95&gt;=50),37,IF(AND(P95="Probabilidad",L95=2,AB95&gt;=25),25,IF(AND(P95="Probabilidad",L95=2,AB95&gt;10),12,IF(AND(L95=1,P95="Probabilidad",AB95&gt;=75),100,IF(AND(P95="Probabilidad",L95=1,AB95&gt;=50),75,IF(AND(P95="Probabilidad",L95=1,AB95&gt;=25),50,IF(AND(P95="Probabilidad",L95=1,AB95&gt;10),25,IF(AND(P95="Probabilidad",L95=3,AB95&gt;=75),33.3,IF(AND(P95="Probabilidad",L95=3,AB95,AB95&gt;=50),25,IF(AND(P95="Probabilidad",L95=3,AB95&gt;=25),17,IF(AND(P95="Probabilidad",L95=3,AB95&gt;10),8,0))))))))))))</f>
        <v>37</v>
      </c>
      <c r="AD95" s="184">
        <f t="shared" ref="AD95" si="43">IF(AND(L95=2,P95="Impacto",AB95&gt;=75),50,IF(AND(P95="Impacto",L95=2,AB95&gt;=50),37,IF(AND(P95="Impacto",L95=2,AB95&gt;=25),25,IF(AND(P95="Impacto",L95=2,AB95&gt;10),12,IF(AND(L95=1,P95="Impacto",AB95&gt;=75),100,IF(AND(P95="Impacto",L95=1,AB95&gt;=50),75,IF(AND(P95="Impacto",L95=1,AB95&gt;=25),50,IF(AND(P95="Impacto",L95=1,AB95&gt;10),25,IF(AND(P95="Impacto",L95=3,AB95&gt;=75),33.3,IF(AND(P95="Impacto",L95=3,AB95,AB95&gt;=50),25,IF(AND(P95="Impacto",L95=3,AB95&gt;=25),17,IF(AND(P95="Impacto",L95=3,AB95&gt;10),8,0))))))))))))</f>
        <v>0</v>
      </c>
      <c r="AE95" s="235">
        <f t="shared" ref="AE95" si="44">SUM(AC95:AC97)</f>
        <v>74</v>
      </c>
      <c r="AF95" s="235">
        <f t="shared" ref="AF95" si="45">SUM(AD95:AD97)</f>
        <v>0</v>
      </c>
      <c r="AG95" s="236">
        <f t="shared" ref="AG95" si="46">IF(AE95&gt;75,2,IF(AE95&gt;=30,1,"-"))</f>
        <v>1</v>
      </c>
      <c r="AH95" s="236" t="str">
        <f t="shared" ref="AH95" si="47">IF(AF95&gt;75,2,IF(AF95&gt;=30,1,"-"))</f>
        <v>-</v>
      </c>
      <c r="AI95" s="193"/>
      <c r="AJ95" s="237" t="str">
        <f>IF(AND(AG95=2,H95="Casi seguro"),Hoja1!$J$5,IF(AND(AG95=2,H95="Posible"),Hoja1!$J$6,IF(AND(H95="Improbable",AG95=2),Hoja1!J42,IF(AND(AG95=1,H95="Casi seguro"),Hoja1!$J$4,IF(AND(AG95=1,H95="Posible"),Hoja1!$J$5,IF(AND(AG95=1,H95="Improbable"),Hoja1!$J$6,'FT-Mapa de riesgos'!H95))))))</f>
        <v>Rara Vez</v>
      </c>
      <c r="AK95" s="237" t="str">
        <f>IF(AND(AH95=2,I95="Catastrofico"),Hoja1!$K$5,IF(AND(AH95=2,I95="Mayor"),Hoja1!$K$6,IF(AND(AH95=2,I95="Moderado"),Hoja1!$K$7,IF(AND(AH95=1,I95="Catastrofico"),Hoja1!$K$4,IF(AND(AH95=1,I95="Mayor "),Hoja1!$K$5,IF(AND(AH95=1,I95="Moderado"),Hoja1!$K$6,IF(AND(AH95=2,I95="Menor"),Hoja1!$K$7,'FT-Mapa de riesgos'!I95)))))))</f>
        <v>Moderado</v>
      </c>
      <c r="AL95" s="238" t="str">
        <f>IF(ISERROR(VLOOKUP(AJ95&amp;AK95,Hoja1!$C$1:$F$25,4,0)),"",(VLOOKUP(AJ95&amp;AK95,Hoja1!$C$1:$F$25,4,0)))</f>
        <v>Moderado</v>
      </c>
      <c r="AM95" s="233" t="s">
        <v>176</v>
      </c>
    </row>
    <row r="96" spans="1:39" ht="219.95" customHeight="1" x14ac:dyDescent="0.4">
      <c r="A96" s="191"/>
      <c r="B96" s="245"/>
      <c r="C96" s="244"/>
      <c r="D96" s="244"/>
      <c r="E96" s="244"/>
      <c r="F96" s="195" t="s">
        <v>462</v>
      </c>
      <c r="G96" s="244"/>
      <c r="H96" s="239"/>
      <c r="I96" s="240"/>
      <c r="J96" s="238"/>
      <c r="K96" s="185" t="s">
        <v>85</v>
      </c>
      <c r="L96" s="234"/>
      <c r="M96" s="195" t="s">
        <v>472</v>
      </c>
      <c r="N96" s="195" t="s">
        <v>473</v>
      </c>
      <c r="O96" s="195" t="s">
        <v>474</v>
      </c>
      <c r="P96" s="188" t="s">
        <v>22</v>
      </c>
      <c r="Q96" s="188" t="s">
        <v>42</v>
      </c>
      <c r="R96" s="188" t="str">
        <f t="shared" si="8"/>
        <v>N/A</v>
      </c>
      <c r="S96" s="188" t="s">
        <v>41</v>
      </c>
      <c r="T96" s="189" t="s">
        <v>476</v>
      </c>
      <c r="U96" s="188" t="s">
        <v>41</v>
      </c>
      <c r="V96" s="188" t="s">
        <v>72</v>
      </c>
      <c r="W96" s="188" t="s">
        <v>101</v>
      </c>
      <c r="X96" s="190" t="s">
        <v>102</v>
      </c>
      <c r="Y96" s="189" t="s">
        <v>108</v>
      </c>
      <c r="Z96" s="188" t="s">
        <v>41</v>
      </c>
      <c r="AA96" s="189" t="s">
        <v>480</v>
      </c>
      <c r="AB96" s="183">
        <f t="shared" si="31"/>
        <v>68</v>
      </c>
      <c r="AC96" s="184">
        <f t="shared" ref="AC96" si="48">IF(AND(L95=2,P96="Probabilidad",AB96&gt;=75),50,IF(AND(P96="Probabilidad",L95=2,AB96&gt;=50),37,IF(AND(P96="Probabilidad",L95=2,AB96&gt;=25),25,IF(AND(P96="Probabilidad",L95=2,AB96&gt;10),12,IF(AND(L95=1,P96="Probabilidad",AB96&gt;=75),100,IF(AND(P96="Probabilidad",L95=1,AB96&gt;=50),75,IF(AND(P96="Probabilidad",L95=1,AB96&gt;=25),50,IF(AND(P96="Probabilidad",L95=1,AB96&gt;10),25,IF(AND(P96="Probabilidad",L95=3,AB96&gt;=75),33.3,IF(AND(P96="Probabilidad",L95=3,AB96,AB96&gt;=50),25,IF(AND(P96="Probabilidad",L95=3,AB96&gt;=25),17,IF(AND(P96="Probabilidad",L95=3,AB96&gt;10),8,0))))))))))))</f>
        <v>37</v>
      </c>
      <c r="AD96" s="184">
        <f t="shared" ref="AD96" si="49">IF(AND(L95=2,P96="Impacto",AB96&gt;=75),50,IF(AND(P96="Impacto",L95=2,AB96&gt;=50),37,IF(AND(P96="Impacto",L95=2,AB96&gt;=25),25,IF(AND(P96="Impacto",L95=2,AB96&gt;10),12,IF(AND(L95=1,P96="Impacto",AB96&gt;=75),100,IF(AND(P96="Impacto",L95=1,AB96&gt;=50),75,IF(AND(P96="Impacto",L95=1,AB96&gt;=25),50,IF(AND(P96="Impacto",L95=1,AB96&gt;10),25,IF(AND(P96="Impacto",L95=3,AB96&gt;=75),33.3,IF(AND(P96="Impacto",L95=3,AB96,AB96&gt;=50),25,IF(AND(P96="Impacto",L95=3,AB96&gt;=25),17,IF(AND(P96="Impacto",L95=3,AB96&gt;10),8,0))))))))))))</f>
        <v>0</v>
      </c>
      <c r="AE96" s="235"/>
      <c r="AF96" s="235"/>
      <c r="AG96" s="236"/>
      <c r="AH96" s="236"/>
      <c r="AI96" s="193"/>
      <c r="AJ96" s="237"/>
      <c r="AK96" s="237"/>
      <c r="AL96" s="238"/>
      <c r="AM96" s="233"/>
    </row>
    <row r="97" spans="1:39" ht="73.5" hidden="1" customHeight="1" x14ac:dyDescent="0.4">
      <c r="A97" s="191"/>
      <c r="B97" s="245"/>
      <c r="C97" s="244"/>
      <c r="D97" s="244"/>
      <c r="E97" s="244"/>
      <c r="F97" s="195"/>
      <c r="G97" s="244"/>
      <c r="H97" s="239"/>
      <c r="I97" s="240"/>
      <c r="J97" s="238"/>
      <c r="K97" s="187"/>
      <c r="L97" s="234"/>
      <c r="M97" s="212"/>
      <c r="N97" s="212"/>
      <c r="O97" s="212"/>
      <c r="P97" s="188"/>
      <c r="Q97" s="188"/>
      <c r="R97" s="188" t="str">
        <f t="shared" si="8"/>
        <v/>
      </c>
      <c r="S97" s="188"/>
      <c r="T97" s="188"/>
      <c r="U97" s="188"/>
      <c r="V97" s="188"/>
      <c r="W97" s="188"/>
      <c r="X97" s="190"/>
      <c r="Y97" s="188"/>
      <c r="Z97" s="188"/>
      <c r="AA97" s="188"/>
      <c r="AB97" s="183">
        <f t="shared" si="31"/>
        <v>0</v>
      </c>
      <c r="AC97" s="184">
        <f t="shared" ref="AC97" si="50">IF(AND(L95=2,P97="Probabilidad",AB97&gt;=75),50,IF(AND(P97="Probabilidad",L95=2,AB97&gt;=50),37,IF(AND(P97="Probabilidad",L95=2,AB97&gt;=25),25,IF(AND(P97="Probabilidad",L95=2,AB97&gt;10),12,IF(AND(L95=1,P97="Probabilidad",AB97&gt;=75),100,IF(AND(P97="Probabilidad",L95=1,AB97&gt;=50),75,IF(AND(P97="Probabilidad",L95=1,AB97&gt;=25),50,IF(AND(P97="Probabilidad",L95=1,AB97&gt;10),25,IF(AND(P97="Probabilidad",L95=3,AB97&gt;=75),33.3,IF(AND(P97="Probabilidad",L95=3,AB97,AB97&gt;=50),25,IF(AND(P97="Probabilidad",L95=3,AB97&gt;=25),17,IF(AND(P97="Probabilidad",L95=3,AB97&gt;10),8,0))))))))))))</f>
        <v>0</v>
      </c>
      <c r="AD97" s="184">
        <f t="shared" ref="AD97" si="51">IF(AND(L95=2,P97="Impacto",AB97&gt;=75),50,IF(AND(P97="Impacto",L95=2,AB97&gt;=50),37,IF(AND(P97="Impacto",L95=2,AB97&gt;=25),25,IF(AND(P97="Impacto",L95=2,AB97&gt;10),12,IF(AND(L95=1,P97="Impacto",AB97&gt;=75),100,IF(AND(P97="Impacto",L95=1,AB97&gt;=50),75,IF(AND(P97="Impacto",L95=1,AB97&gt;=25),50,IF(AND(P97="Impacto",L95=1,AB97&gt;10),25,IF(AND(P97="Impacto",L95=3,AB97&gt;=75),33.3,IF(AND(P97="Impacto",L95=3,AB97,AB97&gt;=50),25,IF(AND(P97="Impacto",L95=3,AB97&gt;=25),17,IF(AND(P97="Impacto",L95=3,AB97&gt;10),8,0))))))))))))</f>
        <v>0</v>
      </c>
      <c r="AE97" s="235"/>
      <c r="AF97" s="235"/>
      <c r="AG97" s="236"/>
      <c r="AH97" s="236"/>
      <c r="AI97" s="193"/>
      <c r="AJ97" s="237"/>
      <c r="AK97" s="237"/>
      <c r="AL97" s="238"/>
      <c r="AM97" s="233"/>
    </row>
    <row r="98" spans="1:39" ht="200.1" customHeight="1" x14ac:dyDescent="0.4">
      <c r="A98" s="191"/>
      <c r="B98" s="245">
        <v>27</v>
      </c>
      <c r="C98" s="244" t="s">
        <v>481</v>
      </c>
      <c r="D98" s="252" t="s">
        <v>482</v>
      </c>
      <c r="E98" s="244" t="s">
        <v>35</v>
      </c>
      <c r="F98" s="195" t="s">
        <v>483</v>
      </c>
      <c r="G98" s="244" t="s">
        <v>484</v>
      </c>
      <c r="H98" s="239" t="s">
        <v>15</v>
      </c>
      <c r="I98" s="240" t="s">
        <v>19</v>
      </c>
      <c r="J98" s="238" t="str">
        <f>IF(ISERROR(VLOOKUP(H98&amp;I98,Hoja1!$C$1:$F$25,4,0)),"",(VLOOKUP(H98&amp;I98,Hoja1!$C$1:$F$25,4,0)))</f>
        <v>Alto</v>
      </c>
      <c r="K98" s="185" t="s">
        <v>85</v>
      </c>
      <c r="L98" s="234">
        <v>3</v>
      </c>
      <c r="M98" s="195" t="s">
        <v>492</v>
      </c>
      <c r="N98" s="195" t="s">
        <v>493</v>
      </c>
      <c r="O98" s="195" t="s">
        <v>494</v>
      </c>
      <c r="P98" s="188" t="s">
        <v>22</v>
      </c>
      <c r="Q98" s="188" t="s">
        <v>42</v>
      </c>
      <c r="R98" s="188" t="str">
        <f t="shared" si="8"/>
        <v>N/A</v>
      </c>
      <c r="S98" s="188" t="s">
        <v>41</v>
      </c>
      <c r="T98" s="189" t="s">
        <v>506</v>
      </c>
      <c r="U98" s="188" t="s">
        <v>41</v>
      </c>
      <c r="V98" s="188" t="s">
        <v>72</v>
      </c>
      <c r="W98" s="188" t="s">
        <v>101</v>
      </c>
      <c r="X98" s="190" t="s">
        <v>102</v>
      </c>
      <c r="Y98" s="189" t="s">
        <v>108</v>
      </c>
      <c r="Z98" s="188" t="s">
        <v>41</v>
      </c>
      <c r="AA98" s="189" t="s">
        <v>511</v>
      </c>
      <c r="AB98" s="183">
        <f t="shared" ref="AB98:AB103" si="52">SUM(IF(Q98="Si",Q$15,0)+(IF(S98="Si",S$15,0))+IF(U98="Si",U$15,0)+IF(Z98="Si",Z$15,0))</f>
        <v>68</v>
      </c>
      <c r="AC98" s="184">
        <f t="shared" ref="AC98" si="53">IF(AND(L98=2,P98="Probabilidad",AB98&gt;=75),50,IF(AND(P98="Probabilidad",L98=2,AB98&gt;=50),37,IF(AND(P98="Probabilidad",L98=2,AB98&gt;=25),25,IF(AND(P98="Probabilidad",L98=2,AB98&gt;10),12,IF(AND(L98=1,P98="Probabilidad",AB98&gt;=75),100,IF(AND(P98="Probabilidad",L98=1,AB98&gt;=50),75,IF(AND(P98="Probabilidad",L98=1,AB98&gt;=25),50,IF(AND(P98="Probabilidad",L98=1,AB98&gt;10),25,IF(AND(P98="Probabilidad",L98=3,AB98&gt;=75),33.3,IF(AND(P98="Probabilidad",L98=3,AB98,AB98&gt;=50),25,IF(AND(P98="Probabilidad",L98=3,AB98&gt;=25),17,IF(AND(P98="Probabilidad",L98=3,AB98&gt;10),8,0))))))))))))</f>
        <v>25</v>
      </c>
      <c r="AD98" s="184">
        <f t="shared" ref="AD98" si="54">IF(AND(L98=2,P98="Impacto",AB98&gt;=75),50,IF(AND(P98="Impacto",L98=2,AB98&gt;=50),37,IF(AND(P98="Impacto",L98=2,AB98&gt;=25),25,IF(AND(P98="Impacto",L98=2,AB98&gt;10),12,IF(AND(L98=1,P98="Impacto",AB98&gt;=75),100,IF(AND(P98="Impacto",L98=1,AB98&gt;=50),75,IF(AND(P98="Impacto",L98=1,AB98&gt;=25),50,IF(AND(P98="Impacto",L98=1,AB98&gt;10),25,IF(AND(P98="Impacto",L98=3,AB98&gt;=75),33.3,IF(AND(P98="Impacto",L98=3,AB98,AB98&gt;=50),25,IF(AND(P98="Impacto",L98=3,AB98&gt;=25),17,IF(AND(P98="Impacto",L98=3,AB98&gt;10),8,0))))))))))))</f>
        <v>0</v>
      </c>
      <c r="AE98" s="235">
        <f t="shared" ref="AE98" si="55">SUM(AC98:AC100)</f>
        <v>75</v>
      </c>
      <c r="AF98" s="235">
        <f t="shared" ref="AF98" si="56">SUM(AD98:AD100)</f>
        <v>0</v>
      </c>
      <c r="AG98" s="236">
        <f t="shared" ref="AG98" si="57">IF(AE98&gt;75,2,IF(AE98&gt;=30,1,"-"))</f>
        <v>1</v>
      </c>
      <c r="AH98" s="236" t="str">
        <f t="shared" ref="AH98" si="58">IF(AF98&gt;75,2,IF(AF98&gt;=30,1,"-"))</f>
        <v>-</v>
      </c>
      <c r="AI98" s="193"/>
      <c r="AJ98" s="237" t="str">
        <f>IF(AND(AG98=2,H98="Casi seguro"),Hoja1!$J$5,IF(AND(AG98=2,H98="Posible"),Hoja1!$J$6,IF(AND(H98="Improbable",AG98=2),Hoja1!J45,IF(AND(AG98=1,H98="Casi seguro"),Hoja1!$J$4,IF(AND(AG98=1,H98="Posible"),Hoja1!$J$5,IF(AND(AG98=1,H98="Improbable"),Hoja1!$J$6,'FT-Mapa de riesgos'!H98))))))</f>
        <v>Improbable</v>
      </c>
      <c r="AK98" s="237" t="str">
        <f>IF(AND(AH98=2,I98="Catastrofico"),Hoja1!$K$5,IF(AND(AH98=2,I98="Mayor"),Hoja1!$K$6,IF(AND(AH98=2,I98="Moderado"),Hoja1!$K$7,IF(AND(AH98=1,I98="Catastrofico"),Hoja1!$K$4,IF(AND(AH98=1,I98="Mayor "),Hoja1!$K$5,IF(AND(AH98=1,I98="Moderado"),Hoja1!$K$6,IF(AND(AH98=2,I98="Menor"),Hoja1!$K$7,'FT-Mapa de riesgos'!I98)))))))</f>
        <v>Moderado</v>
      </c>
      <c r="AL98" s="238" t="str">
        <f>IF(ISERROR(VLOOKUP(AJ98&amp;AK98,Hoja1!$C$1:$F$25,4,0)),"",(VLOOKUP(AJ98&amp;AK98,Hoja1!$C$1:$F$25,4,0)))</f>
        <v>Moderado</v>
      </c>
      <c r="AM98" s="233"/>
    </row>
    <row r="99" spans="1:39" ht="200.1" customHeight="1" x14ac:dyDescent="0.4">
      <c r="A99" s="191"/>
      <c r="B99" s="245"/>
      <c r="C99" s="244"/>
      <c r="D99" s="253"/>
      <c r="E99" s="244"/>
      <c r="F99" s="195" t="s">
        <v>485</v>
      </c>
      <c r="G99" s="244"/>
      <c r="H99" s="239"/>
      <c r="I99" s="240"/>
      <c r="J99" s="238"/>
      <c r="K99" s="185" t="s">
        <v>85</v>
      </c>
      <c r="L99" s="234"/>
      <c r="M99" s="195" t="s">
        <v>495</v>
      </c>
      <c r="N99" s="195" t="s">
        <v>496</v>
      </c>
      <c r="O99" s="195" t="s">
        <v>497</v>
      </c>
      <c r="P99" s="188" t="s">
        <v>22</v>
      </c>
      <c r="Q99" s="188" t="s">
        <v>42</v>
      </c>
      <c r="R99" s="188" t="str">
        <f t="shared" si="8"/>
        <v>N/A</v>
      </c>
      <c r="S99" s="188" t="s">
        <v>41</v>
      </c>
      <c r="T99" s="189" t="s">
        <v>507</v>
      </c>
      <c r="U99" s="188" t="s">
        <v>41</v>
      </c>
      <c r="V99" s="188" t="s">
        <v>72</v>
      </c>
      <c r="W99" s="188" t="s">
        <v>101</v>
      </c>
      <c r="X99" s="190" t="s">
        <v>102</v>
      </c>
      <c r="Y99" s="189" t="s">
        <v>108</v>
      </c>
      <c r="Z99" s="188" t="s">
        <v>41</v>
      </c>
      <c r="AA99" s="189" t="s">
        <v>512</v>
      </c>
      <c r="AB99" s="183">
        <f t="shared" si="52"/>
        <v>68</v>
      </c>
      <c r="AC99" s="184">
        <f t="shared" ref="AC99" si="59">IF(AND(L98=2,P99="Probabilidad",AB99&gt;=75),50,IF(AND(P99="Probabilidad",L98=2,AB99&gt;=50),37,IF(AND(P99="Probabilidad",L98=2,AB99&gt;=25),25,IF(AND(P99="Probabilidad",L98=2,AB99&gt;10),12,IF(AND(L98=1,P99="Probabilidad",AB99&gt;=75),100,IF(AND(P99="Probabilidad",L98=1,AB99&gt;=50),75,IF(AND(P99="Probabilidad",L98=1,AB99&gt;=25),50,IF(AND(P99="Probabilidad",L98=1,AB99&gt;10),25,IF(AND(P99="Probabilidad",L98=3,AB99&gt;=75),33.3,IF(AND(P99="Probabilidad",L98=3,AB99,AB99&gt;=50),25,IF(AND(P99="Probabilidad",L98=3,AB99&gt;=25),17,IF(AND(P99="Probabilidad",L98=3,AB99&gt;10),8,0))))))))))))</f>
        <v>25</v>
      </c>
      <c r="AD99" s="184">
        <f t="shared" ref="AD99" si="60">IF(AND(L98=2,P99="Impacto",AB99&gt;=75),50,IF(AND(P99="Impacto",L98=2,AB99&gt;=50),37,IF(AND(P99="Impacto",L98=2,AB99&gt;=25),25,IF(AND(P99="Impacto",L98=2,AB99&gt;10),12,IF(AND(L98=1,P99="Impacto",AB99&gt;=75),100,IF(AND(P99="Impacto",L98=1,AB99&gt;=50),75,IF(AND(P99="Impacto",L98=1,AB99&gt;=25),50,IF(AND(P99="Impacto",L98=1,AB99&gt;10),25,IF(AND(P99="Impacto",L98=3,AB99&gt;=75),33.3,IF(AND(P99="Impacto",L98=3,AB99,AB99&gt;=50),25,IF(AND(P99="Impacto",L98=3,AB99&gt;=25),17,IF(AND(P99="Impacto",L98=3,AB99&gt;10),8,0))))))))))))</f>
        <v>0</v>
      </c>
      <c r="AE99" s="235"/>
      <c r="AF99" s="235"/>
      <c r="AG99" s="236"/>
      <c r="AH99" s="236"/>
      <c r="AI99" s="193"/>
      <c r="AJ99" s="237"/>
      <c r="AK99" s="237"/>
      <c r="AL99" s="238"/>
      <c r="AM99" s="233"/>
    </row>
    <row r="100" spans="1:39" ht="200.1" customHeight="1" x14ac:dyDescent="0.4">
      <c r="A100" s="191"/>
      <c r="B100" s="245"/>
      <c r="C100" s="244"/>
      <c r="D100" s="254"/>
      <c r="E100" s="244"/>
      <c r="F100" s="195" t="s">
        <v>486</v>
      </c>
      <c r="G100" s="244"/>
      <c r="H100" s="239"/>
      <c r="I100" s="240"/>
      <c r="J100" s="238"/>
      <c r="K100" s="185" t="s">
        <v>85</v>
      </c>
      <c r="L100" s="234"/>
      <c r="M100" s="195" t="s">
        <v>498</v>
      </c>
      <c r="N100" s="195" t="s">
        <v>499</v>
      </c>
      <c r="O100" s="195" t="s">
        <v>500</v>
      </c>
      <c r="P100" s="188" t="s">
        <v>22</v>
      </c>
      <c r="Q100" s="188" t="s">
        <v>42</v>
      </c>
      <c r="R100" s="188" t="str">
        <f t="shared" si="8"/>
        <v>N/A</v>
      </c>
      <c r="S100" s="188" t="s">
        <v>41</v>
      </c>
      <c r="T100" s="189" t="s">
        <v>508</v>
      </c>
      <c r="U100" s="188" t="s">
        <v>41</v>
      </c>
      <c r="V100" s="188" t="s">
        <v>90</v>
      </c>
      <c r="W100" s="188" t="s">
        <v>101</v>
      </c>
      <c r="X100" s="190" t="s">
        <v>102</v>
      </c>
      <c r="Y100" s="189" t="s">
        <v>108</v>
      </c>
      <c r="Z100" s="188" t="s">
        <v>41</v>
      </c>
      <c r="AA100" s="189" t="s">
        <v>513</v>
      </c>
      <c r="AB100" s="183">
        <f t="shared" si="52"/>
        <v>68</v>
      </c>
      <c r="AC100" s="184">
        <f t="shared" ref="AC100" si="61">IF(AND(L98=2,P100="Probabilidad",AB100&gt;=75),50,IF(AND(P100="Probabilidad",L98=2,AB100&gt;=50),37,IF(AND(P100="Probabilidad",L98=2,AB100&gt;=25),25,IF(AND(P100="Probabilidad",L98=2,AB100&gt;10),12,IF(AND(L98=1,P100="Probabilidad",AB100&gt;=75),100,IF(AND(P100="Probabilidad",L98=1,AB100&gt;=50),75,IF(AND(P100="Probabilidad",L98=1,AB100&gt;=25),50,IF(AND(P100="Probabilidad",L98=1,AB100&gt;10),25,IF(AND(P100="Probabilidad",L98=3,AB100&gt;=75),33.3,IF(AND(P100="Probabilidad",L98=3,AB100,AB100&gt;=50),25,IF(AND(P100="Probabilidad",L98=3,AB100&gt;=25),17,IF(AND(P100="Probabilidad",L98=3,AB100&gt;10),8,0))))))))))))</f>
        <v>25</v>
      </c>
      <c r="AD100" s="184">
        <f t="shared" ref="AD100" si="62">IF(AND(L98=2,P100="Impacto",AB100&gt;=75),50,IF(AND(P100="Impacto",L98=2,AB100&gt;=50),37,IF(AND(P100="Impacto",L98=2,AB100&gt;=25),25,IF(AND(P100="Impacto",L98=2,AB100&gt;10),12,IF(AND(L98=1,P100="Impacto",AB100&gt;=75),100,IF(AND(P100="Impacto",L98=1,AB100&gt;=50),75,IF(AND(P100="Impacto",L98=1,AB100&gt;=25),50,IF(AND(P100="Impacto",L98=1,AB100&gt;10),25,IF(AND(P100="Impacto",L98=3,AB100&gt;=75),33.3,IF(AND(P100="Impacto",L98=3,AB100,AB100&gt;=50),25,IF(AND(P100="Impacto",L98=3,AB100&gt;=25),17,IF(AND(P100="Impacto",L98=3,AB100&gt;10),8,0))))))))))))</f>
        <v>0</v>
      </c>
      <c r="AE100" s="235"/>
      <c r="AF100" s="235"/>
      <c r="AG100" s="236"/>
      <c r="AH100" s="236"/>
      <c r="AI100" s="193"/>
      <c r="AJ100" s="237"/>
      <c r="AK100" s="237"/>
      <c r="AL100" s="238"/>
      <c r="AM100" s="233"/>
    </row>
    <row r="101" spans="1:39" ht="219.95" customHeight="1" x14ac:dyDescent="0.4">
      <c r="A101" s="191"/>
      <c r="B101" s="245">
        <v>28</v>
      </c>
      <c r="C101" s="252" t="s">
        <v>487</v>
      </c>
      <c r="D101" s="252" t="s">
        <v>488</v>
      </c>
      <c r="E101" s="244" t="s">
        <v>79</v>
      </c>
      <c r="F101" s="195" t="s">
        <v>489</v>
      </c>
      <c r="G101" s="244" t="s">
        <v>490</v>
      </c>
      <c r="H101" s="239" t="s">
        <v>14</v>
      </c>
      <c r="I101" s="240" t="s">
        <v>20</v>
      </c>
      <c r="J101" s="238" t="str">
        <f>IF(ISERROR(VLOOKUP(H101&amp;I101,Hoja1!$C$1:$F$25,4,0)),"",(VLOOKUP(H101&amp;I101,Hoja1!$C$1:$F$25,4,0)))</f>
        <v>Alto</v>
      </c>
      <c r="K101" s="185" t="s">
        <v>85</v>
      </c>
      <c r="L101" s="234">
        <v>2</v>
      </c>
      <c r="M101" s="195" t="s">
        <v>501</v>
      </c>
      <c r="N101" s="195" t="s">
        <v>502</v>
      </c>
      <c r="O101" s="195" t="s">
        <v>503</v>
      </c>
      <c r="P101" s="188" t="s">
        <v>22</v>
      </c>
      <c r="Q101" s="188" t="s">
        <v>42</v>
      </c>
      <c r="R101" s="188" t="str">
        <f t="shared" si="8"/>
        <v>N/A</v>
      </c>
      <c r="S101" s="188" t="s">
        <v>41</v>
      </c>
      <c r="T101" s="189" t="s">
        <v>509</v>
      </c>
      <c r="U101" s="188" t="s">
        <v>41</v>
      </c>
      <c r="V101" s="188" t="s">
        <v>72</v>
      </c>
      <c r="W101" s="188" t="s">
        <v>101</v>
      </c>
      <c r="X101" s="190" t="s">
        <v>102</v>
      </c>
      <c r="Y101" s="189" t="s">
        <v>108</v>
      </c>
      <c r="Z101" s="188" t="s">
        <v>41</v>
      </c>
      <c r="AA101" s="189" t="s">
        <v>514</v>
      </c>
      <c r="AB101" s="183">
        <f t="shared" si="52"/>
        <v>68</v>
      </c>
      <c r="AC101" s="184">
        <f t="shared" ref="AC101" si="63">IF(AND(L101=2,P101="Probabilidad",AB101&gt;=75),50,IF(AND(P101="Probabilidad",L101=2,AB101&gt;=50),37,IF(AND(P101="Probabilidad",L101=2,AB101&gt;=25),25,IF(AND(P101="Probabilidad",L101=2,AB101&gt;10),12,IF(AND(L101=1,P101="Probabilidad",AB101&gt;=75),100,IF(AND(P101="Probabilidad",L101=1,AB101&gt;=50),75,IF(AND(P101="Probabilidad",L101=1,AB101&gt;=25),50,IF(AND(P101="Probabilidad",L101=1,AB101&gt;10),25,IF(AND(P101="Probabilidad",L101=3,AB101&gt;=75),33.3,IF(AND(P101="Probabilidad",L101=3,AB101,AB101&gt;=50),25,IF(AND(P101="Probabilidad",L101=3,AB101&gt;=25),17,IF(AND(P101="Probabilidad",L101=3,AB101&gt;10),8,0))))))))))))</f>
        <v>37</v>
      </c>
      <c r="AD101" s="184">
        <f t="shared" ref="AD101" si="64">IF(AND(L101=2,P101="Impacto",AB101&gt;=75),50,IF(AND(P101="Impacto",L101=2,AB101&gt;=50),37,IF(AND(P101="Impacto",L101=2,AB101&gt;=25),25,IF(AND(P101="Impacto",L101=2,AB101&gt;10),12,IF(AND(L101=1,P101="Impacto",AB101&gt;=75),100,IF(AND(P101="Impacto",L101=1,AB101&gt;=50),75,IF(AND(P101="Impacto",L101=1,AB101&gt;=25),50,IF(AND(P101="Impacto",L101=1,AB101&gt;10),25,IF(AND(P101="Impacto",L101=3,AB101&gt;=75),33.3,IF(AND(P101="Impacto",L101=3,AB101,AB101&gt;=50),25,IF(AND(P101="Impacto",L101=3,AB101&gt;=25),17,IF(AND(P101="Impacto",L101=3,AB101&gt;10),8,0))))))))))))</f>
        <v>0</v>
      </c>
      <c r="AE101" s="235">
        <f t="shared" ref="AE101" si="65">SUM(AC101:AC103)</f>
        <v>74</v>
      </c>
      <c r="AF101" s="235">
        <f t="shared" ref="AF101" si="66">SUM(AD101:AD103)</f>
        <v>0</v>
      </c>
      <c r="AG101" s="236">
        <f t="shared" ref="AG101" si="67">IF(AE101&gt;75,2,IF(AE101&gt;=30,1,"-"))</f>
        <v>1</v>
      </c>
      <c r="AH101" s="236" t="str">
        <f t="shared" ref="AH101" si="68">IF(AF101&gt;75,2,IF(AF101&gt;=30,1,"-"))</f>
        <v>-</v>
      </c>
      <c r="AI101" s="193"/>
      <c r="AJ101" s="237" t="str">
        <f>IF(AND(AG101=2,H101="Casi seguro"),Hoja1!$J$5,IF(AND(AG101=2,H101="Posible"),Hoja1!$J$6,IF(AND(H101="Improbable",AG101=2),Hoja1!J48,IF(AND(AG101=1,H101="Casi seguro"),Hoja1!$J$4,IF(AND(AG101=1,H101="Posible"),Hoja1!$J$5,IF(AND(AG101=1,H101="Improbable"),Hoja1!$J$6,'FT-Mapa de riesgos'!H101))))))</f>
        <v>Rara Vez</v>
      </c>
      <c r="AK101" s="237" t="str">
        <f>IF(AND(AH101=2,I101="Catastrofico"),Hoja1!$K$5,IF(AND(AH101=2,I101="Mayor"),Hoja1!$K$6,IF(AND(AH101=2,I101="Moderado"),Hoja1!$K$7,IF(AND(AH101=1,I101="Catastrofico"),Hoja1!$K$4,IF(AND(AH101=1,I101="Mayor "),Hoja1!$K$5,IF(AND(AH101=1,I101="Moderado"),Hoja1!$K$6,IF(AND(AH101=2,I101="Menor"),Hoja1!$K$7,'FT-Mapa de riesgos'!I101)))))))</f>
        <v xml:space="preserve">Mayor </v>
      </c>
      <c r="AL101" s="238" t="str">
        <f>IF(ISERROR(VLOOKUP(AJ101&amp;AK101,Hoja1!$C$1:$F$25,4,0)),"",(VLOOKUP(AJ101&amp;AK101,Hoja1!$C$1:$F$25,4,0)))</f>
        <v>Alto</v>
      </c>
      <c r="AM101" s="233"/>
    </row>
    <row r="102" spans="1:39" ht="219.95" customHeight="1" x14ac:dyDescent="0.4">
      <c r="A102" s="191"/>
      <c r="B102" s="245"/>
      <c r="C102" s="253"/>
      <c r="D102" s="253"/>
      <c r="E102" s="244"/>
      <c r="F102" s="195" t="s">
        <v>491</v>
      </c>
      <c r="G102" s="244"/>
      <c r="H102" s="239"/>
      <c r="I102" s="240"/>
      <c r="J102" s="238"/>
      <c r="K102" s="185" t="s">
        <v>85</v>
      </c>
      <c r="L102" s="234"/>
      <c r="M102" s="195" t="s">
        <v>504</v>
      </c>
      <c r="N102" s="195" t="s">
        <v>505</v>
      </c>
      <c r="O102" s="195" t="s">
        <v>503</v>
      </c>
      <c r="P102" s="188" t="s">
        <v>22</v>
      </c>
      <c r="Q102" s="188" t="s">
        <v>42</v>
      </c>
      <c r="R102" s="188" t="str">
        <f t="shared" si="8"/>
        <v>N/A</v>
      </c>
      <c r="S102" s="188" t="s">
        <v>41</v>
      </c>
      <c r="T102" s="189" t="s">
        <v>510</v>
      </c>
      <c r="U102" s="188" t="s">
        <v>41</v>
      </c>
      <c r="V102" s="188" t="s">
        <v>72</v>
      </c>
      <c r="W102" s="188" t="s">
        <v>101</v>
      </c>
      <c r="X102" s="190" t="s">
        <v>102</v>
      </c>
      <c r="Y102" s="189" t="s">
        <v>108</v>
      </c>
      <c r="Z102" s="188" t="s">
        <v>41</v>
      </c>
      <c r="AA102" s="189" t="s">
        <v>515</v>
      </c>
      <c r="AB102" s="183">
        <f t="shared" si="52"/>
        <v>68</v>
      </c>
      <c r="AC102" s="184">
        <f t="shared" ref="AC102" si="69">IF(AND(L101=2,P102="Probabilidad",AB102&gt;=75),50,IF(AND(P102="Probabilidad",L101=2,AB102&gt;=50),37,IF(AND(P102="Probabilidad",L101=2,AB102&gt;=25),25,IF(AND(P102="Probabilidad",L101=2,AB102&gt;10),12,IF(AND(L101=1,P102="Probabilidad",AB102&gt;=75),100,IF(AND(P102="Probabilidad",L101=1,AB102&gt;=50),75,IF(AND(P102="Probabilidad",L101=1,AB102&gt;=25),50,IF(AND(P102="Probabilidad",L101=1,AB102&gt;10),25,IF(AND(P102="Probabilidad",L101=3,AB102&gt;=75),33.3,IF(AND(P102="Probabilidad",L101=3,AB102,AB102&gt;=50),25,IF(AND(P102="Probabilidad",L101=3,AB102&gt;=25),17,IF(AND(P102="Probabilidad",L101=3,AB102&gt;10),8,0))))))))))))</f>
        <v>37</v>
      </c>
      <c r="AD102" s="184">
        <f t="shared" ref="AD102" si="70">IF(AND(L101=2,P102="Impacto",AB102&gt;=75),50,IF(AND(P102="Impacto",L101=2,AB102&gt;=50),37,IF(AND(P102="Impacto",L101=2,AB102&gt;=25),25,IF(AND(P102="Impacto",L101=2,AB102&gt;10),12,IF(AND(L101=1,P102="Impacto",AB102&gt;=75),100,IF(AND(P102="Impacto",L101=1,AB102&gt;=50),75,IF(AND(P102="Impacto",L101=1,AB102&gt;=25),50,IF(AND(P102="Impacto",L101=1,AB102&gt;10),25,IF(AND(P102="Impacto",L101=3,AB102&gt;=75),33.3,IF(AND(P102="Impacto",L101=3,AB102,AB102&gt;=50),25,IF(AND(P102="Impacto",L101=3,AB102&gt;=25),17,IF(AND(P102="Impacto",L101=3,AB102&gt;10),8,0))))))))))))</f>
        <v>0</v>
      </c>
      <c r="AE102" s="235"/>
      <c r="AF102" s="235"/>
      <c r="AG102" s="236"/>
      <c r="AH102" s="236"/>
      <c r="AI102" s="193"/>
      <c r="AJ102" s="237"/>
      <c r="AK102" s="237"/>
      <c r="AL102" s="238"/>
      <c r="AM102" s="233"/>
    </row>
    <row r="103" spans="1:39" ht="73.5" hidden="1" customHeight="1" x14ac:dyDescent="0.4">
      <c r="A103" s="191"/>
      <c r="B103" s="245"/>
      <c r="C103" s="254"/>
      <c r="D103" s="254"/>
      <c r="E103" s="244"/>
      <c r="F103" s="195"/>
      <c r="G103" s="244"/>
      <c r="H103" s="239"/>
      <c r="I103" s="240"/>
      <c r="J103" s="238"/>
      <c r="K103" s="187"/>
      <c r="L103" s="234"/>
      <c r="M103" s="212"/>
      <c r="N103" s="212"/>
      <c r="O103" s="212"/>
      <c r="P103" s="188"/>
      <c r="Q103" s="188"/>
      <c r="R103" s="188" t="str">
        <f t="shared" si="8"/>
        <v/>
      </c>
      <c r="S103" s="188"/>
      <c r="T103" s="188"/>
      <c r="U103" s="188"/>
      <c r="V103" s="188"/>
      <c r="W103" s="188"/>
      <c r="X103" s="190"/>
      <c r="Y103" s="188"/>
      <c r="Z103" s="188"/>
      <c r="AA103" s="188"/>
      <c r="AB103" s="183">
        <f t="shared" si="52"/>
        <v>0</v>
      </c>
      <c r="AC103" s="184">
        <f t="shared" ref="AC103" si="71">IF(AND(L101=2,P103="Probabilidad",AB103&gt;=75),50,IF(AND(P103="Probabilidad",L101=2,AB103&gt;=50),37,IF(AND(P103="Probabilidad",L101=2,AB103&gt;=25),25,IF(AND(P103="Probabilidad",L101=2,AB103&gt;10),12,IF(AND(L101=1,P103="Probabilidad",AB103&gt;=75),100,IF(AND(P103="Probabilidad",L101=1,AB103&gt;=50),75,IF(AND(P103="Probabilidad",L101=1,AB103&gt;=25),50,IF(AND(P103="Probabilidad",L101=1,AB103&gt;10),25,IF(AND(P103="Probabilidad",L101=3,AB103&gt;=75),33.3,IF(AND(P103="Probabilidad",L101=3,AB103,AB103&gt;=50),25,IF(AND(P103="Probabilidad",L101=3,AB103&gt;=25),17,IF(AND(P103="Probabilidad",L101=3,AB103&gt;10),8,0))))))))))))</f>
        <v>0</v>
      </c>
      <c r="AD103" s="184">
        <f t="shared" ref="AD103" si="72">IF(AND(L101=2,P103="Impacto",AB103&gt;=75),50,IF(AND(P103="Impacto",L101=2,AB103&gt;=50),37,IF(AND(P103="Impacto",L101=2,AB103&gt;=25),25,IF(AND(P103="Impacto",L101=2,AB103&gt;10),12,IF(AND(L101=1,P103="Impacto",AB103&gt;=75),100,IF(AND(P103="Impacto",L101=1,AB103&gt;=50),75,IF(AND(P103="Impacto",L101=1,AB103&gt;=25),50,IF(AND(P103="Impacto",L101=1,AB103&gt;10),25,IF(AND(P103="Impacto",L101=3,AB103&gt;=75),33.3,IF(AND(P103="Impacto",L101=3,AB103,AB103&gt;=50),25,IF(AND(P103="Impacto",L101=3,AB103&gt;=25),17,IF(AND(P103="Impacto",L101=3,AB103&gt;10),8,0))))))))))))</f>
        <v>0</v>
      </c>
      <c r="AE103" s="235"/>
      <c r="AF103" s="235"/>
      <c r="AG103" s="236"/>
      <c r="AH103" s="236"/>
      <c r="AI103" s="193"/>
      <c r="AJ103" s="237"/>
      <c r="AK103" s="237"/>
      <c r="AL103" s="238"/>
      <c r="AM103" s="233"/>
    </row>
    <row r="104" spans="1:39" ht="219.95" customHeight="1" x14ac:dyDescent="0.4">
      <c r="A104" s="191"/>
      <c r="B104" s="245">
        <v>29</v>
      </c>
      <c r="C104" s="244" t="s">
        <v>516</v>
      </c>
      <c r="D104" s="252" t="s">
        <v>517</v>
      </c>
      <c r="E104" s="244" t="s">
        <v>33</v>
      </c>
      <c r="F104" s="195" t="s">
        <v>518</v>
      </c>
      <c r="G104" s="244" t="s">
        <v>519</v>
      </c>
      <c r="H104" s="239" t="s">
        <v>14</v>
      </c>
      <c r="I104" s="240" t="s">
        <v>20</v>
      </c>
      <c r="J104" s="238" t="str">
        <f>IF(ISERROR(VLOOKUP(H104&amp;I104,Hoja1!$C$1:$F$25,4,0)),"",(VLOOKUP(H104&amp;I104,Hoja1!$C$1:$F$25,4,0)))</f>
        <v>Alto</v>
      </c>
      <c r="K104" s="185" t="s">
        <v>85</v>
      </c>
      <c r="L104" s="234">
        <v>2</v>
      </c>
      <c r="M104" s="195" t="s">
        <v>532</v>
      </c>
      <c r="N104" s="195" t="s">
        <v>533</v>
      </c>
      <c r="O104" s="195" t="s">
        <v>534</v>
      </c>
      <c r="P104" s="188" t="s">
        <v>22</v>
      </c>
      <c r="Q104" s="188" t="s">
        <v>42</v>
      </c>
      <c r="R104" s="188" t="str">
        <f t="shared" si="8"/>
        <v>N/A</v>
      </c>
      <c r="S104" s="188" t="s">
        <v>41</v>
      </c>
      <c r="T104" s="189" t="s">
        <v>553</v>
      </c>
      <c r="U104" s="188" t="s">
        <v>41</v>
      </c>
      <c r="V104" s="189" t="s">
        <v>73</v>
      </c>
      <c r="W104" s="189" t="s">
        <v>101</v>
      </c>
      <c r="X104" s="190" t="s">
        <v>102</v>
      </c>
      <c r="Y104" s="189" t="s">
        <v>108</v>
      </c>
      <c r="Z104" s="188" t="s">
        <v>41</v>
      </c>
      <c r="AA104" s="189" t="s">
        <v>558</v>
      </c>
      <c r="AB104" s="183">
        <f t="shared" ref="AB104:AB109" si="73">SUM(IF(Q104="Si",Q$15,0)+(IF(S104="Si",S$15,0))+IF(U104="Si",U$15,0)+IF(Z104="Si",Z$15,0))</f>
        <v>68</v>
      </c>
      <c r="AC104" s="184">
        <f t="shared" ref="AC104" si="74">IF(AND(L104=2,P104="Probabilidad",AB104&gt;=75),50,IF(AND(P104="Probabilidad",L104=2,AB104&gt;=50),37,IF(AND(P104="Probabilidad",L104=2,AB104&gt;=25),25,IF(AND(P104="Probabilidad",L104=2,AB104&gt;10),12,IF(AND(L104=1,P104="Probabilidad",AB104&gt;=75),100,IF(AND(P104="Probabilidad",L104=1,AB104&gt;=50),75,IF(AND(P104="Probabilidad",L104=1,AB104&gt;=25),50,IF(AND(P104="Probabilidad",L104=1,AB104&gt;10),25,IF(AND(P104="Probabilidad",L104=3,AB104&gt;=75),33.3,IF(AND(P104="Probabilidad",L104=3,AB104,AB104&gt;=50),25,IF(AND(P104="Probabilidad",L104=3,AB104&gt;=25),17,IF(AND(P104="Probabilidad",L104=3,AB104&gt;10),8,0))))))))))))</f>
        <v>37</v>
      </c>
      <c r="AD104" s="184">
        <f t="shared" ref="AD104" si="75">IF(AND(L104=2,P104="Impacto",AB104&gt;=75),50,IF(AND(P104="Impacto",L104=2,AB104&gt;=50),37,IF(AND(P104="Impacto",L104=2,AB104&gt;=25),25,IF(AND(P104="Impacto",L104=2,AB104&gt;10),12,IF(AND(L104=1,P104="Impacto",AB104&gt;=75),100,IF(AND(P104="Impacto",L104=1,AB104&gt;=50),75,IF(AND(P104="Impacto",L104=1,AB104&gt;=25),50,IF(AND(P104="Impacto",L104=1,AB104&gt;10),25,IF(AND(P104="Impacto",L104=3,AB104&gt;=75),33.3,IF(AND(P104="Impacto",L104=3,AB104,AB104&gt;=50),25,IF(AND(P104="Impacto",L104=3,AB104&gt;=25),17,IF(AND(P104="Impacto",L104=3,AB104&gt;10),8,0))))))))))))</f>
        <v>0</v>
      </c>
      <c r="AE104" s="235">
        <f t="shared" ref="AE104" si="76">SUM(AC104:AC106)</f>
        <v>74</v>
      </c>
      <c r="AF104" s="235">
        <f t="shared" ref="AF104" si="77">SUM(AD104:AD106)</f>
        <v>0</v>
      </c>
      <c r="AG104" s="236">
        <f t="shared" ref="AG104" si="78">IF(AE104&gt;75,2,IF(AE104&gt;=30,1,"-"))</f>
        <v>1</v>
      </c>
      <c r="AH104" s="236" t="str">
        <f t="shared" ref="AH104" si="79">IF(AF104&gt;75,2,IF(AF104&gt;=30,1,"-"))</f>
        <v>-</v>
      </c>
      <c r="AI104" s="193"/>
      <c r="AJ104" s="237" t="str">
        <f>IF(AND(AG104=2,H104="Casi seguro"),Hoja1!$J$5,IF(AND(AG104=2,H104="Posible"),Hoja1!$J$6,IF(AND(H104="Improbable",AG104=2),Hoja1!J51,IF(AND(AG104=1,H104="Casi seguro"),Hoja1!$J$4,IF(AND(AG104=1,H104="Posible"),Hoja1!$J$5,IF(AND(AG104=1,H104="Improbable"),Hoja1!$J$6,'FT-Mapa de riesgos'!H104))))))</f>
        <v>Rara Vez</v>
      </c>
      <c r="AK104" s="237" t="str">
        <f>IF(AND(AH104=2,I104="Catastrofico"),Hoja1!$K$5,IF(AND(AH104=2,I104="Mayor"),Hoja1!$K$6,IF(AND(AH104=2,I104="Moderado"),Hoja1!$K$7,IF(AND(AH104=1,I104="Catastrofico"),Hoja1!$K$4,IF(AND(AH104=1,I104="Mayor "),Hoja1!$K$5,IF(AND(AH104=1,I104="Moderado"),Hoja1!$K$6,IF(AND(AH104=2,I104="Menor"),Hoja1!$K$7,'FT-Mapa de riesgos'!I104)))))))</f>
        <v xml:space="preserve">Mayor </v>
      </c>
      <c r="AL104" s="238" t="str">
        <f>IF(ISERROR(VLOOKUP(AJ104&amp;AK104,Hoja1!$C$1:$F$25,4,0)),"",(VLOOKUP(AJ104&amp;AK104,Hoja1!$C$1:$F$25,4,0)))</f>
        <v>Alto</v>
      </c>
      <c r="AM104" s="233"/>
    </row>
    <row r="105" spans="1:39" ht="219.95" customHeight="1" x14ac:dyDescent="0.4">
      <c r="A105" s="191"/>
      <c r="B105" s="245"/>
      <c r="C105" s="244"/>
      <c r="D105" s="253"/>
      <c r="E105" s="244"/>
      <c r="F105" s="195" t="s">
        <v>520</v>
      </c>
      <c r="G105" s="244"/>
      <c r="H105" s="239"/>
      <c r="I105" s="240"/>
      <c r="J105" s="238"/>
      <c r="K105" s="185" t="s">
        <v>85</v>
      </c>
      <c r="L105" s="234"/>
      <c r="M105" s="195" t="s">
        <v>535</v>
      </c>
      <c r="N105" s="195" t="s">
        <v>536</v>
      </c>
      <c r="O105" s="195" t="s">
        <v>537</v>
      </c>
      <c r="P105" s="188" t="s">
        <v>22</v>
      </c>
      <c r="Q105" s="188" t="s">
        <v>42</v>
      </c>
      <c r="R105" s="188" t="str">
        <f t="shared" si="8"/>
        <v>N/A</v>
      </c>
      <c r="S105" s="188" t="s">
        <v>41</v>
      </c>
      <c r="T105" s="189" t="s">
        <v>553</v>
      </c>
      <c r="U105" s="188" t="s">
        <v>41</v>
      </c>
      <c r="V105" s="189" t="s">
        <v>73</v>
      </c>
      <c r="W105" s="189" t="s">
        <v>101</v>
      </c>
      <c r="X105" s="190" t="s">
        <v>102</v>
      </c>
      <c r="Y105" s="189" t="s">
        <v>108</v>
      </c>
      <c r="Z105" s="188" t="s">
        <v>41</v>
      </c>
      <c r="AA105" s="189" t="s">
        <v>559</v>
      </c>
      <c r="AB105" s="183">
        <f t="shared" si="73"/>
        <v>68</v>
      </c>
      <c r="AC105" s="184">
        <f t="shared" ref="AC105" si="80">IF(AND(L104=2,P105="Probabilidad",AB105&gt;=75),50,IF(AND(P105="Probabilidad",L104=2,AB105&gt;=50),37,IF(AND(P105="Probabilidad",L104=2,AB105&gt;=25),25,IF(AND(P105="Probabilidad",L104=2,AB105&gt;10),12,IF(AND(L104=1,P105="Probabilidad",AB105&gt;=75),100,IF(AND(P105="Probabilidad",L104=1,AB105&gt;=50),75,IF(AND(P105="Probabilidad",L104=1,AB105&gt;=25),50,IF(AND(P105="Probabilidad",L104=1,AB105&gt;10),25,IF(AND(P105="Probabilidad",L104=3,AB105&gt;=75),33.3,IF(AND(P105="Probabilidad",L104=3,AB105,AB105&gt;=50),25,IF(AND(P105="Probabilidad",L104=3,AB105&gt;=25),17,IF(AND(P105="Probabilidad",L104=3,AB105&gt;10),8,0))))))))))))</f>
        <v>37</v>
      </c>
      <c r="AD105" s="184">
        <f t="shared" ref="AD105" si="81">IF(AND(L104=2,P105="Impacto",AB105&gt;=75),50,IF(AND(P105="Impacto",L104=2,AB105&gt;=50),37,IF(AND(P105="Impacto",L104=2,AB105&gt;=25),25,IF(AND(P105="Impacto",L104=2,AB105&gt;10),12,IF(AND(L104=1,P105="Impacto",AB105&gt;=75),100,IF(AND(P105="Impacto",L104=1,AB105&gt;=50),75,IF(AND(P105="Impacto",L104=1,AB105&gt;=25),50,IF(AND(P105="Impacto",L104=1,AB105&gt;10),25,IF(AND(P105="Impacto",L104=3,AB105&gt;=75),33.3,IF(AND(P105="Impacto",L104=3,AB105,AB105&gt;=50),25,IF(AND(P105="Impacto",L104=3,AB105&gt;=25),17,IF(AND(P105="Impacto",L104=3,AB105&gt;10),8,0))))))))))))</f>
        <v>0</v>
      </c>
      <c r="AE105" s="235"/>
      <c r="AF105" s="235"/>
      <c r="AG105" s="236"/>
      <c r="AH105" s="236"/>
      <c r="AI105" s="193"/>
      <c r="AJ105" s="237"/>
      <c r="AK105" s="237"/>
      <c r="AL105" s="238"/>
      <c r="AM105" s="233"/>
    </row>
    <row r="106" spans="1:39" ht="73.5" hidden="1" customHeight="1" x14ac:dyDescent="0.4">
      <c r="A106" s="191"/>
      <c r="B106" s="245"/>
      <c r="C106" s="244"/>
      <c r="D106" s="254"/>
      <c r="E106" s="244"/>
      <c r="F106" s="195"/>
      <c r="G106" s="244"/>
      <c r="H106" s="239"/>
      <c r="I106" s="240"/>
      <c r="J106" s="238"/>
      <c r="K106" s="187"/>
      <c r="L106" s="234"/>
      <c r="M106" s="212"/>
      <c r="N106" s="212"/>
      <c r="O106" s="212"/>
      <c r="P106" s="188"/>
      <c r="Q106" s="188"/>
      <c r="R106" s="188" t="str">
        <f t="shared" si="8"/>
        <v/>
      </c>
      <c r="S106" s="188"/>
      <c r="T106" s="188"/>
      <c r="U106" s="188"/>
      <c r="V106" s="188"/>
      <c r="W106" s="188"/>
      <c r="X106" s="190"/>
      <c r="Y106" s="188"/>
      <c r="Z106" s="188"/>
      <c r="AA106" s="188"/>
      <c r="AB106" s="183">
        <f t="shared" si="73"/>
        <v>0</v>
      </c>
      <c r="AC106" s="184">
        <f t="shared" ref="AC106" si="82">IF(AND(L104=2,P106="Probabilidad",AB106&gt;=75),50,IF(AND(P106="Probabilidad",L104=2,AB106&gt;=50),37,IF(AND(P106="Probabilidad",L104=2,AB106&gt;=25),25,IF(AND(P106="Probabilidad",L104=2,AB106&gt;10),12,IF(AND(L104=1,P106="Probabilidad",AB106&gt;=75),100,IF(AND(P106="Probabilidad",L104=1,AB106&gt;=50),75,IF(AND(P106="Probabilidad",L104=1,AB106&gt;=25),50,IF(AND(P106="Probabilidad",L104=1,AB106&gt;10),25,IF(AND(P106="Probabilidad",L104=3,AB106&gt;=75),33.3,IF(AND(P106="Probabilidad",L104=3,AB106,AB106&gt;=50),25,IF(AND(P106="Probabilidad",L104=3,AB106&gt;=25),17,IF(AND(P106="Probabilidad",L104=3,AB106&gt;10),8,0))))))))))))</f>
        <v>0</v>
      </c>
      <c r="AD106" s="184">
        <f t="shared" ref="AD106" si="83">IF(AND(L104=2,P106="Impacto",AB106&gt;=75),50,IF(AND(P106="Impacto",L104=2,AB106&gt;=50),37,IF(AND(P106="Impacto",L104=2,AB106&gt;=25),25,IF(AND(P106="Impacto",L104=2,AB106&gt;10),12,IF(AND(L104=1,P106="Impacto",AB106&gt;=75),100,IF(AND(P106="Impacto",L104=1,AB106&gt;=50),75,IF(AND(P106="Impacto",L104=1,AB106&gt;=25),50,IF(AND(P106="Impacto",L104=1,AB106&gt;10),25,IF(AND(P106="Impacto",L104=3,AB106&gt;=75),33.3,IF(AND(P106="Impacto",L104=3,AB106,AB106&gt;=50),25,IF(AND(P106="Impacto",L104=3,AB106&gt;=25),17,IF(AND(P106="Impacto",L104=3,AB106&gt;10),8,0))))))))))))</f>
        <v>0</v>
      </c>
      <c r="AE106" s="235"/>
      <c r="AF106" s="235"/>
      <c r="AG106" s="236"/>
      <c r="AH106" s="236"/>
      <c r="AI106" s="193"/>
      <c r="AJ106" s="237"/>
      <c r="AK106" s="237"/>
      <c r="AL106" s="238"/>
      <c r="AM106" s="233"/>
    </row>
    <row r="107" spans="1:39" ht="200.1" customHeight="1" x14ac:dyDescent="0.4">
      <c r="A107" s="191"/>
      <c r="B107" s="245">
        <v>30</v>
      </c>
      <c r="C107" s="244" t="s">
        <v>521</v>
      </c>
      <c r="D107" s="252" t="s">
        <v>522</v>
      </c>
      <c r="E107" s="244" t="s">
        <v>33</v>
      </c>
      <c r="F107" s="195" t="s">
        <v>523</v>
      </c>
      <c r="G107" s="244" t="s">
        <v>524</v>
      </c>
      <c r="H107" s="239" t="s">
        <v>15</v>
      </c>
      <c r="I107" s="240" t="s">
        <v>20</v>
      </c>
      <c r="J107" s="238" t="str">
        <f>IF(ISERROR(VLOOKUP(H107&amp;I107,Hoja1!$C$1:$F$25,4,0)),"",(VLOOKUP(H107&amp;I107,Hoja1!$C$1:$F$25,4,0)))</f>
        <v>Extremo</v>
      </c>
      <c r="K107" s="185" t="s">
        <v>85</v>
      </c>
      <c r="L107" s="234">
        <v>3</v>
      </c>
      <c r="M107" s="195" t="s">
        <v>538</v>
      </c>
      <c r="N107" s="195" t="s">
        <v>539</v>
      </c>
      <c r="O107" s="195" t="s">
        <v>540</v>
      </c>
      <c r="P107" s="188" t="s">
        <v>22</v>
      </c>
      <c r="Q107" s="188" t="s">
        <v>42</v>
      </c>
      <c r="R107" s="188" t="str">
        <f t="shared" si="8"/>
        <v>N/A</v>
      </c>
      <c r="S107" s="188" t="s">
        <v>41</v>
      </c>
      <c r="T107" s="189" t="s">
        <v>554</v>
      </c>
      <c r="U107" s="188" t="s">
        <v>41</v>
      </c>
      <c r="V107" s="188" t="s">
        <v>72</v>
      </c>
      <c r="W107" s="188" t="s">
        <v>101</v>
      </c>
      <c r="X107" s="190" t="s">
        <v>102</v>
      </c>
      <c r="Y107" s="189" t="s">
        <v>108</v>
      </c>
      <c r="Z107" s="188" t="s">
        <v>41</v>
      </c>
      <c r="AA107" s="189" t="s">
        <v>560</v>
      </c>
      <c r="AB107" s="183">
        <f t="shared" si="73"/>
        <v>68</v>
      </c>
      <c r="AC107" s="184">
        <f t="shared" ref="AC107" si="84">IF(AND(L107=2,P107="Probabilidad",AB107&gt;=75),50,IF(AND(P107="Probabilidad",L107=2,AB107&gt;=50),37,IF(AND(P107="Probabilidad",L107=2,AB107&gt;=25),25,IF(AND(P107="Probabilidad",L107=2,AB107&gt;10),12,IF(AND(L107=1,P107="Probabilidad",AB107&gt;=75),100,IF(AND(P107="Probabilidad",L107=1,AB107&gt;=50),75,IF(AND(P107="Probabilidad",L107=1,AB107&gt;=25),50,IF(AND(P107="Probabilidad",L107=1,AB107&gt;10),25,IF(AND(P107="Probabilidad",L107=3,AB107&gt;=75),33.3,IF(AND(P107="Probabilidad",L107=3,AB107,AB107&gt;=50),25,IF(AND(P107="Probabilidad",L107=3,AB107&gt;=25),17,IF(AND(P107="Probabilidad",L107=3,AB107&gt;10),8,0))))))))))))</f>
        <v>25</v>
      </c>
      <c r="AD107" s="184">
        <f t="shared" ref="AD107" si="85">IF(AND(L107=2,P107="Impacto",AB107&gt;=75),50,IF(AND(P107="Impacto",L107=2,AB107&gt;=50),37,IF(AND(P107="Impacto",L107=2,AB107&gt;=25),25,IF(AND(P107="Impacto",L107=2,AB107&gt;10),12,IF(AND(L107=1,P107="Impacto",AB107&gt;=75),100,IF(AND(P107="Impacto",L107=1,AB107&gt;=50),75,IF(AND(P107="Impacto",L107=1,AB107&gt;=25),50,IF(AND(P107="Impacto",L107=1,AB107&gt;10),25,IF(AND(P107="Impacto",L107=3,AB107&gt;=75),33.3,IF(AND(P107="Impacto",L107=3,AB107,AB107&gt;=50),25,IF(AND(P107="Impacto",L107=3,AB107&gt;=25),17,IF(AND(P107="Impacto",L107=3,AB107&gt;10),8,0))))))))))))</f>
        <v>0</v>
      </c>
      <c r="AE107" s="235">
        <f t="shared" ref="AE107" si="86">SUM(AC107:AC109)</f>
        <v>75</v>
      </c>
      <c r="AF107" s="235">
        <f t="shared" ref="AF107" si="87">SUM(AD107:AD109)</f>
        <v>0</v>
      </c>
      <c r="AG107" s="236">
        <f t="shared" ref="AG107" si="88">IF(AE107&gt;75,2,IF(AE107&gt;=30,1,"-"))</f>
        <v>1</v>
      </c>
      <c r="AH107" s="236" t="str">
        <f t="shared" ref="AH107" si="89">IF(AF107&gt;75,2,IF(AF107&gt;=30,1,"-"))</f>
        <v>-</v>
      </c>
      <c r="AI107" s="193"/>
      <c r="AJ107" s="237" t="str">
        <f>IF(AND(AG107=2,H107="Casi seguro"),Hoja1!$J$5,IF(AND(AG107=2,H107="Posible"),Hoja1!$J$6,IF(AND(H107="Improbable",AG107=2),Hoja1!J54,IF(AND(AG107=1,H107="Casi seguro"),Hoja1!$J$4,IF(AND(AG107=1,H107="Posible"),Hoja1!$J$5,IF(AND(AG107=1,H107="Improbable"),Hoja1!$J$6,'FT-Mapa de riesgos'!H107))))))</f>
        <v>Improbable</v>
      </c>
      <c r="AK107" s="237" t="str">
        <f>IF(AND(AH107=2,I107="Catastrofico"),Hoja1!$K$5,IF(AND(AH107=2,I107="Mayor"),Hoja1!$K$6,IF(AND(AH107=2,I107="Moderado"),Hoja1!$K$7,IF(AND(AH107=1,I107="Catastrofico"),Hoja1!$K$4,IF(AND(AH107=1,I107="Mayor "),Hoja1!$K$5,IF(AND(AH107=1,I107="Moderado"),Hoja1!$K$6,IF(AND(AH107=2,I107="Menor"),Hoja1!$K$7,'FT-Mapa de riesgos'!I107)))))))</f>
        <v xml:space="preserve">Mayor </v>
      </c>
      <c r="AL107" s="238" t="str">
        <f>IF(ISERROR(VLOOKUP(AJ107&amp;AK107,Hoja1!$C$1:$F$25,4,0)),"",(VLOOKUP(AJ107&amp;AK107,Hoja1!$C$1:$F$25,4,0)))</f>
        <v>Alto</v>
      </c>
      <c r="AM107" s="233"/>
    </row>
    <row r="108" spans="1:39" ht="200.1" customHeight="1" x14ac:dyDescent="0.4">
      <c r="A108" s="191"/>
      <c r="B108" s="245"/>
      <c r="C108" s="244"/>
      <c r="D108" s="253"/>
      <c r="E108" s="244"/>
      <c r="F108" s="195" t="s">
        <v>525</v>
      </c>
      <c r="G108" s="244"/>
      <c r="H108" s="239"/>
      <c r="I108" s="240"/>
      <c r="J108" s="238"/>
      <c r="K108" s="185" t="s">
        <v>85</v>
      </c>
      <c r="L108" s="234"/>
      <c r="M108" s="195" t="s">
        <v>541</v>
      </c>
      <c r="N108" s="195" t="s">
        <v>542</v>
      </c>
      <c r="O108" s="195" t="s">
        <v>543</v>
      </c>
      <c r="P108" s="188" t="s">
        <v>22</v>
      </c>
      <c r="Q108" s="188" t="s">
        <v>42</v>
      </c>
      <c r="R108" s="188" t="str">
        <f t="shared" si="8"/>
        <v>N/A</v>
      </c>
      <c r="S108" s="188" t="s">
        <v>41</v>
      </c>
      <c r="T108" s="189" t="s">
        <v>555</v>
      </c>
      <c r="U108" s="188" t="s">
        <v>41</v>
      </c>
      <c r="V108" s="188" t="s">
        <v>72</v>
      </c>
      <c r="W108" s="188" t="s">
        <v>101</v>
      </c>
      <c r="X108" s="190" t="s">
        <v>102</v>
      </c>
      <c r="Y108" s="189" t="s">
        <v>108</v>
      </c>
      <c r="Z108" s="188" t="s">
        <v>41</v>
      </c>
      <c r="AA108" s="189" t="s">
        <v>561</v>
      </c>
      <c r="AB108" s="183">
        <f t="shared" si="73"/>
        <v>68</v>
      </c>
      <c r="AC108" s="184">
        <f t="shared" ref="AC108" si="90">IF(AND(L107=2,P108="Probabilidad",AB108&gt;=75),50,IF(AND(P108="Probabilidad",L107=2,AB108&gt;=50),37,IF(AND(P108="Probabilidad",L107=2,AB108&gt;=25),25,IF(AND(P108="Probabilidad",L107=2,AB108&gt;10),12,IF(AND(L107=1,P108="Probabilidad",AB108&gt;=75),100,IF(AND(P108="Probabilidad",L107=1,AB108&gt;=50),75,IF(AND(P108="Probabilidad",L107=1,AB108&gt;=25),50,IF(AND(P108="Probabilidad",L107=1,AB108&gt;10),25,IF(AND(P108="Probabilidad",L107=3,AB108&gt;=75),33.3,IF(AND(P108="Probabilidad",L107=3,AB108,AB108&gt;=50),25,IF(AND(P108="Probabilidad",L107=3,AB108&gt;=25),17,IF(AND(P108="Probabilidad",L107=3,AB108&gt;10),8,0))))))))))))</f>
        <v>25</v>
      </c>
      <c r="AD108" s="184">
        <f t="shared" ref="AD108" si="91">IF(AND(L107=2,P108="Impacto",AB108&gt;=75),50,IF(AND(P108="Impacto",L107=2,AB108&gt;=50),37,IF(AND(P108="Impacto",L107=2,AB108&gt;=25),25,IF(AND(P108="Impacto",L107=2,AB108&gt;10),12,IF(AND(L107=1,P108="Impacto",AB108&gt;=75),100,IF(AND(P108="Impacto",L107=1,AB108&gt;=50),75,IF(AND(P108="Impacto",L107=1,AB108&gt;=25),50,IF(AND(P108="Impacto",L107=1,AB108&gt;10),25,IF(AND(P108="Impacto",L107=3,AB108&gt;=75),33.3,IF(AND(P108="Impacto",L107=3,AB108,AB108&gt;=50),25,IF(AND(P108="Impacto",L107=3,AB108&gt;=25),17,IF(AND(P108="Impacto",L107=3,AB108&gt;10),8,0))))))))))))</f>
        <v>0</v>
      </c>
      <c r="AE108" s="235"/>
      <c r="AF108" s="235"/>
      <c r="AG108" s="236"/>
      <c r="AH108" s="236"/>
      <c r="AI108" s="193"/>
      <c r="AJ108" s="237"/>
      <c r="AK108" s="237"/>
      <c r="AL108" s="238"/>
      <c r="AM108" s="233"/>
    </row>
    <row r="109" spans="1:39" ht="200.1" customHeight="1" x14ac:dyDescent="0.4">
      <c r="A109" s="191"/>
      <c r="B109" s="245"/>
      <c r="C109" s="244"/>
      <c r="D109" s="254"/>
      <c r="E109" s="244"/>
      <c r="F109" s="195" t="s">
        <v>526</v>
      </c>
      <c r="G109" s="244"/>
      <c r="H109" s="239"/>
      <c r="I109" s="240"/>
      <c r="J109" s="238"/>
      <c r="K109" s="185" t="s">
        <v>85</v>
      </c>
      <c r="L109" s="234"/>
      <c r="M109" s="195" t="s">
        <v>544</v>
      </c>
      <c r="N109" s="195" t="s">
        <v>545</v>
      </c>
      <c r="O109" s="195" t="s">
        <v>546</v>
      </c>
      <c r="P109" s="188" t="s">
        <v>22</v>
      </c>
      <c r="Q109" s="188" t="s">
        <v>42</v>
      </c>
      <c r="R109" s="188" t="str">
        <f t="shared" si="8"/>
        <v>N/A</v>
      </c>
      <c r="S109" s="188" t="s">
        <v>41</v>
      </c>
      <c r="T109" s="189" t="s">
        <v>556</v>
      </c>
      <c r="U109" s="188" t="s">
        <v>41</v>
      </c>
      <c r="V109" s="188" t="s">
        <v>72</v>
      </c>
      <c r="W109" s="188" t="s">
        <v>101</v>
      </c>
      <c r="X109" s="190" t="s">
        <v>102</v>
      </c>
      <c r="Y109" s="189" t="s">
        <v>108</v>
      </c>
      <c r="Z109" s="188" t="s">
        <v>41</v>
      </c>
      <c r="AA109" s="189" t="s">
        <v>562</v>
      </c>
      <c r="AB109" s="183">
        <f t="shared" si="73"/>
        <v>68</v>
      </c>
      <c r="AC109" s="184">
        <f t="shared" ref="AC109" si="92">IF(AND(L107=2,P109="Probabilidad",AB109&gt;=75),50,IF(AND(P109="Probabilidad",L107=2,AB109&gt;=50),37,IF(AND(P109="Probabilidad",L107=2,AB109&gt;=25),25,IF(AND(P109="Probabilidad",L107=2,AB109&gt;10),12,IF(AND(L107=1,P109="Probabilidad",AB109&gt;=75),100,IF(AND(P109="Probabilidad",L107=1,AB109&gt;=50),75,IF(AND(P109="Probabilidad",L107=1,AB109&gt;=25),50,IF(AND(P109="Probabilidad",L107=1,AB109&gt;10),25,IF(AND(P109="Probabilidad",L107=3,AB109&gt;=75),33.3,IF(AND(P109="Probabilidad",L107=3,AB109,AB109&gt;=50),25,IF(AND(P109="Probabilidad",L107=3,AB109&gt;=25),17,IF(AND(P109="Probabilidad",L107=3,AB109&gt;10),8,0))))))))))))</f>
        <v>25</v>
      </c>
      <c r="AD109" s="184">
        <f t="shared" ref="AD109" si="93">IF(AND(L107=2,P109="Impacto",AB109&gt;=75),50,IF(AND(P109="Impacto",L107=2,AB109&gt;=50),37,IF(AND(P109="Impacto",L107=2,AB109&gt;=25),25,IF(AND(P109="Impacto",L107=2,AB109&gt;10),12,IF(AND(L107=1,P109="Impacto",AB109&gt;=75),100,IF(AND(P109="Impacto",L107=1,AB109&gt;=50),75,IF(AND(P109="Impacto",L107=1,AB109&gt;=25),50,IF(AND(P109="Impacto",L107=1,AB109&gt;10),25,IF(AND(P109="Impacto",L107=3,AB109&gt;=75),33.3,IF(AND(P109="Impacto",L107=3,AB109,AB109&gt;=50),25,IF(AND(P109="Impacto",L107=3,AB109&gt;=25),17,IF(AND(P109="Impacto",L107=3,AB109&gt;10),8,0))))))))))))</f>
        <v>0</v>
      </c>
      <c r="AE109" s="235"/>
      <c r="AF109" s="235"/>
      <c r="AG109" s="236"/>
      <c r="AH109" s="236"/>
      <c r="AI109" s="193"/>
      <c r="AJ109" s="237"/>
      <c r="AK109" s="237"/>
      <c r="AL109" s="238"/>
      <c r="AM109" s="233"/>
    </row>
    <row r="110" spans="1:39" ht="246" customHeight="1" x14ac:dyDescent="0.4">
      <c r="A110" s="191"/>
      <c r="B110" s="245">
        <v>31</v>
      </c>
      <c r="C110" s="244" t="s">
        <v>527</v>
      </c>
      <c r="D110" s="244" t="s">
        <v>528</v>
      </c>
      <c r="E110" s="244" t="s">
        <v>33</v>
      </c>
      <c r="F110" s="195" t="s">
        <v>529</v>
      </c>
      <c r="G110" s="244" t="s">
        <v>530</v>
      </c>
      <c r="H110" s="239" t="s">
        <v>31</v>
      </c>
      <c r="I110" s="240" t="s">
        <v>20</v>
      </c>
      <c r="J110" s="238" t="str">
        <f>IF(ISERROR(VLOOKUP(H110&amp;I110,Hoja1!$C$1:$F$25,4,0)),"",(VLOOKUP(H110&amp;I110,Hoja1!$C$1:$F$25,4,0)))</f>
        <v>Extremo</v>
      </c>
      <c r="K110" s="185" t="s">
        <v>85</v>
      </c>
      <c r="L110" s="234">
        <v>2</v>
      </c>
      <c r="M110" s="195" t="s">
        <v>547</v>
      </c>
      <c r="N110" s="195" t="s">
        <v>548</v>
      </c>
      <c r="O110" s="195" t="s">
        <v>549</v>
      </c>
      <c r="P110" s="188" t="s">
        <v>22</v>
      </c>
      <c r="Q110" s="188" t="s">
        <v>42</v>
      </c>
      <c r="R110" s="188" t="str">
        <f t="shared" si="8"/>
        <v>N/A</v>
      </c>
      <c r="S110" s="188" t="s">
        <v>41</v>
      </c>
      <c r="T110" s="189" t="s">
        <v>557</v>
      </c>
      <c r="U110" s="188" t="s">
        <v>41</v>
      </c>
      <c r="V110" s="188" t="s">
        <v>90</v>
      </c>
      <c r="W110" s="188" t="s">
        <v>101</v>
      </c>
      <c r="X110" s="190" t="s">
        <v>102</v>
      </c>
      <c r="Y110" s="189" t="s">
        <v>108</v>
      </c>
      <c r="Z110" s="188" t="s">
        <v>41</v>
      </c>
      <c r="AA110" s="189" t="s">
        <v>563</v>
      </c>
      <c r="AB110" s="183">
        <f t="shared" ref="AB110:AB112" si="94">SUM(IF(Q110="Si",Q$15,0)+(IF(S110="Si",S$15,0))+IF(U110="Si",U$15,0)+IF(Z110="Si",Z$15,0))</f>
        <v>68</v>
      </c>
      <c r="AC110" s="184">
        <f t="shared" ref="AC110" si="95">IF(AND(L110=2,P110="Probabilidad",AB110&gt;=75),50,IF(AND(P110="Probabilidad",L110=2,AB110&gt;=50),37,IF(AND(P110="Probabilidad",L110=2,AB110&gt;=25),25,IF(AND(P110="Probabilidad",L110=2,AB110&gt;10),12,IF(AND(L110=1,P110="Probabilidad",AB110&gt;=75),100,IF(AND(P110="Probabilidad",L110=1,AB110&gt;=50),75,IF(AND(P110="Probabilidad",L110=1,AB110&gt;=25),50,IF(AND(P110="Probabilidad",L110=1,AB110&gt;10),25,IF(AND(P110="Probabilidad",L110=3,AB110&gt;=75),33.3,IF(AND(P110="Probabilidad",L110=3,AB110,AB110&gt;=50),25,IF(AND(P110="Probabilidad",L110=3,AB110&gt;=25),17,IF(AND(P110="Probabilidad",L110=3,AB110&gt;10),8,0))))))))))))</f>
        <v>37</v>
      </c>
      <c r="AD110" s="184">
        <f t="shared" ref="AD110" si="96">IF(AND(L110=2,P110="Impacto",AB110&gt;=75),50,IF(AND(P110="Impacto",L110=2,AB110&gt;=50),37,IF(AND(P110="Impacto",L110=2,AB110&gt;=25),25,IF(AND(P110="Impacto",L110=2,AB110&gt;10),12,IF(AND(L110=1,P110="Impacto",AB110&gt;=75),100,IF(AND(P110="Impacto",L110=1,AB110&gt;=50),75,IF(AND(P110="Impacto",L110=1,AB110&gt;=25),50,IF(AND(P110="Impacto",L110=1,AB110&gt;10),25,IF(AND(P110="Impacto",L110=3,AB110&gt;=75),33.3,IF(AND(P110="Impacto",L110=3,AB110,AB110&gt;=50),25,IF(AND(P110="Impacto",L110=3,AB110&gt;=25),17,IF(AND(P110="Impacto",L110=3,AB110&gt;10),8,0))))))))))))</f>
        <v>0</v>
      </c>
      <c r="AE110" s="235">
        <f t="shared" ref="AE110" si="97">SUM(AC110:AC112)</f>
        <v>74</v>
      </c>
      <c r="AF110" s="235">
        <f t="shared" ref="AF110" si="98">SUM(AD110:AD112)</f>
        <v>0</v>
      </c>
      <c r="AG110" s="236">
        <f t="shared" ref="AG110" si="99">IF(AE110&gt;75,2,IF(AE110&gt;=30,1,"-"))</f>
        <v>1</v>
      </c>
      <c r="AH110" s="236" t="str">
        <f t="shared" ref="AH110" si="100">IF(AF110&gt;75,2,IF(AF110&gt;=30,1,"-"))</f>
        <v>-</v>
      </c>
      <c r="AI110" s="193"/>
      <c r="AJ110" s="237" t="str">
        <f>IF(AND(AG110=2,H110="Casi seguro"),Hoja1!$J$5,IF(AND(AG110=2,H110="Posible"),Hoja1!$J$6,IF(AND(H110="Improbable",AG110=2),Hoja1!J57,IF(AND(AG110=1,H110="Casi seguro"),Hoja1!$J$4,IF(AND(AG110=1,H110="Posible"),Hoja1!$J$5,IF(AND(AG110=1,H110="Improbable"),Hoja1!$J$6,'FT-Mapa de riesgos'!H110))))))</f>
        <v>Probable</v>
      </c>
      <c r="AK110" s="237" t="str">
        <f>IF(AND(AH110=2,I110="Catastrofico"),Hoja1!$K$5,IF(AND(AH110=2,I110="Mayor"),Hoja1!$K$6,IF(AND(AH110=2,I110="Moderado"),Hoja1!$K$7,IF(AND(AH110=1,I110="Catastrofico"),Hoja1!$K$4,IF(AND(AH110=1,I110="Mayor "),Hoja1!$K$5,IF(AND(AH110=1,I110="Moderado"),Hoja1!$K$6,IF(AND(AH110=2,I110="Menor"),Hoja1!$K$7,'FT-Mapa de riesgos'!I110)))))))</f>
        <v xml:space="preserve">Mayor </v>
      </c>
      <c r="AL110" s="238" t="str">
        <f>IF(ISERROR(VLOOKUP(AJ110&amp;AK110,Hoja1!$C$1:$F$25,4,0)),"",(VLOOKUP(AJ110&amp;AK110,Hoja1!$C$1:$F$25,4,0)))</f>
        <v>Extremo</v>
      </c>
      <c r="AM110" s="233" t="s">
        <v>176</v>
      </c>
    </row>
    <row r="111" spans="1:39" ht="219.95" customHeight="1" x14ac:dyDescent="0.4">
      <c r="A111" s="191"/>
      <c r="B111" s="245"/>
      <c r="C111" s="244"/>
      <c r="D111" s="244"/>
      <c r="E111" s="244"/>
      <c r="F111" s="195" t="s">
        <v>531</v>
      </c>
      <c r="G111" s="244"/>
      <c r="H111" s="239"/>
      <c r="I111" s="240"/>
      <c r="J111" s="238"/>
      <c r="K111" s="185" t="s">
        <v>85</v>
      </c>
      <c r="L111" s="234"/>
      <c r="M111" s="195" t="s">
        <v>550</v>
      </c>
      <c r="N111" s="195" t="s">
        <v>551</v>
      </c>
      <c r="O111" s="195" t="s">
        <v>552</v>
      </c>
      <c r="P111" s="188" t="s">
        <v>22</v>
      </c>
      <c r="Q111" s="188" t="s">
        <v>42</v>
      </c>
      <c r="R111" s="188" t="str">
        <f t="shared" si="8"/>
        <v>N/A</v>
      </c>
      <c r="S111" s="188" t="s">
        <v>41</v>
      </c>
      <c r="T111" s="189" t="s">
        <v>557</v>
      </c>
      <c r="U111" s="188" t="s">
        <v>41</v>
      </c>
      <c r="V111" s="188" t="s">
        <v>151</v>
      </c>
      <c r="W111" s="188" t="s">
        <v>101</v>
      </c>
      <c r="X111" s="190" t="s">
        <v>102</v>
      </c>
      <c r="Y111" s="189" t="s">
        <v>108</v>
      </c>
      <c r="Z111" s="188" t="s">
        <v>41</v>
      </c>
      <c r="AA111" s="189" t="s">
        <v>563</v>
      </c>
      <c r="AB111" s="183">
        <f t="shared" si="94"/>
        <v>68</v>
      </c>
      <c r="AC111" s="184">
        <f t="shared" ref="AC111" si="101">IF(AND(L110=2,P111="Probabilidad",AB111&gt;=75),50,IF(AND(P111="Probabilidad",L110=2,AB111&gt;=50),37,IF(AND(P111="Probabilidad",L110=2,AB111&gt;=25),25,IF(AND(P111="Probabilidad",L110=2,AB111&gt;10),12,IF(AND(L110=1,P111="Probabilidad",AB111&gt;=75),100,IF(AND(P111="Probabilidad",L110=1,AB111&gt;=50),75,IF(AND(P111="Probabilidad",L110=1,AB111&gt;=25),50,IF(AND(P111="Probabilidad",L110=1,AB111&gt;10),25,IF(AND(P111="Probabilidad",L110=3,AB111&gt;=75),33.3,IF(AND(P111="Probabilidad",L110=3,AB111,AB111&gt;=50),25,IF(AND(P111="Probabilidad",L110=3,AB111&gt;=25),17,IF(AND(P111="Probabilidad",L110=3,AB111&gt;10),8,0))))))))))))</f>
        <v>37</v>
      </c>
      <c r="AD111" s="184">
        <f t="shared" ref="AD111" si="102">IF(AND(L110=2,P111="Impacto",AB111&gt;=75),50,IF(AND(P111="Impacto",L110=2,AB111&gt;=50),37,IF(AND(P111="Impacto",L110=2,AB111&gt;=25),25,IF(AND(P111="Impacto",L110=2,AB111&gt;10),12,IF(AND(L110=1,P111="Impacto",AB111&gt;=75),100,IF(AND(P111="Impacto",L110=1,AB111&gt;=50),75,IF(AND(P111="Impacto",L110=1,AB111&gt;=25),50,IF(AND(P111="Impacto",L110=1,AB111&gt;10),25,IF(AND(P111="Impacto",L110=3,AB111&gt;=75),33.3,IF(AND(P111="Impacto",L110=3,AB111,AB111&gt;=50),25,IF(AND(P111="Impacto",L110=3,AB111&gt;=25),17,IF(AND(P111="Impacto",L110=3,AB111&gt;10),8,0))))))))))))</f>
        <v>0</v>
      </c>
      <c r="AE111" s="235"/>
      <c r="AF111" s="235"/>
      <c r="AG111" s="236"/>
      <c r="AH111" s="236"/>
      <c r="AI111" s="193"/>
      <c r="AJ111" s="237"/>
      <c r="AK111" s="237"/>
      <c r="AL111" s="238"/>
      <c r="AM111" s="233"/>
    </row>
    <row r="112" spans="1:39" ht="73.5" hidden="1" customHeight="1" x14ac:dyDescent="0.4">
      <c r="A112" s="191"/>
      <c r="B112" s="245"/>
      <c r="C112" s="244"/>
      <c r="D112" s="244"/>
      <c r="E112" s="244"/>
      <c r="F112" s="195"/>
      <c r="G112" s="244"/>
      <c r="H112" s="239"/>
      <c r="I112" s="240"/>
      <c r="J112" s="238"/>
      <c r="K112" s="187"/>
      <c r="L112" s="234"/>
      <c r="M112" s="212"/>
      <c r="N112" s="212"/>
      <c r="O112" s="212"/>
      <c r="P112" s="188"/>
      <c r="Q112" s="188"/>
      <c r="R112" s="188" t="str">
        <f t="shared" si="8"/>
        <v/>
      </c>
      <c r="S112" s="188"/>
      <c r="T112" s="188"/>
      <c r="U112" s="188"/>
      <c r="V112" s="188"/>
      <c r="W112" s="188"/>
      <c r="X112" s="190"/>
      <c r="Y112" s="188"/>
      <c r="Z112" s="188"/>
      <c r="AA112" s="188"/>
      <c r="AB112" s="183">
        <f t="shared" si="94"/>
        <v>0</v>
      </c>
      <c r="AC112" s="184">
        <f t="shared" ref="AC112" si="103">IF(AND(L110=2,P112="Probabilidad",AB112&gt;=75),50,IF(AND(P112="Probabilidad",L110=2,AB112&gt;=50),37,IF(AND(P112="Probabilidad",L110=2,AB112&gt;=25),25,IF(AND(P112="Probabilidad",L110=2,AB112&gt;10),12,IF(AND(L110=1,P112="Probabilidad",AB112&gt;=75),100,IF(AND(P112="Probabilidad",L110=1,AB112&gt;=50),75,IF(AND(P112="Probabilidad",L110=1,AB112&gt;=25),50,IF(AND(P112="Probabilidad",L110=1,AB112&gt;10),25,IF(AND(P112="Probabilidad",L110=3,AB112&gt;=75),33.3,IF(AND(P112="Probabilidad",L110=3,AB112,AB112&gt;=50),25,IF(AND(P112="Probabilidad",L110=3,AB112&gt;=25),17,IF(AND(P112="Probabilidad",L110=3,AB112&gt;10),8,0))))))))))))</f>
        <v>0</v>
      </c>
      <c r="AD112" s="184">
        <f t="shared" ref="AD112" si="104">IF(AND(L110=2,P112="Impacto",AB112&gt;=75),50,IF(AND(P112="Impacto",L110=2,AB112&gt;=50),37,IF(AND(P112="Impacto",L110=2,AB112&gt;=25),25,IF(AND(P112="Impacto",L110=2,AB112&gt;10),12,IF(AND(L110=1,P112="Impacto",AB112&gt;=75),100,IF(AND(P112="Impacto",L110=1,AB112&gt;=50),75,IF(AND(P112="Impacto",L110=1,AB112&gt;=25),50,IF(AND(P112="Impacto",L110=1,AB112&gt;10),25,IF(AND(P112="Impacto",L110=3,AB112&gt;=75),33.3,IF(AND(P112="Impacto",L110=3,AB112,AB112&gt;=50),25,IF(AND(P112="Impacto",L110=3,AB112&gt;=25),17,IF(AND(P112="Impacto",L110=3,AB112&gt;10),8,0))))))))))))</f>
        <v>0</v>
      </c>
      <c r="AE112" s="235"/>
      <c r="AF112" s="235"/>
      <c r="AG112" s="236"/>
      <c r="AH112" s="236"/>
      <c r="AI112" s="193"/>
      <c r="AJ112" s="237"/>
      <c r="AK112" s="237"/>
      <c r="AL112" s="238"/>
      <c r="AM112" s="233"/>
    </row>
    <row r="113" spans="1:39" ht="200.1" customHeight="1" x14ac:dyDescent="0.4">
      <c r="A113" s="191"/>
      <c r="B113" s="245">
        <v>32</v>
      </c>
      <c r="C113" s="244" t="s">
        <v>564</v>
      </c>
      <c r="D113" s="244" t="s">
        <v>565</v>
      </c>
      <c r="E113" s="244" t="s">
        <v>32</v>
      </c>
      <c r="F113" s="195" t="s">
        <v>566</v>
      </c>
      <c r="G113" s="244" t="s">
        <v>567</v>
      </c>
      <c r="H113" s="239" t="s">
        <v>13</v>
      </c>
      <c r="I113" s="240" t="s">
        <v>21</v>
      </c>
      <c r="J113" s="238" t="str">
        <f>IF(ISERROR(VLOOKUP(H113&amp;I113,Hoja1!$C$1:$F$25,4,0)),"",(VLOOKUP(H113&amp;I113,Hoja1!$C$1:$F$25,4,0)))</f>
        <v>Alto</v>
      </c>
      <c r="K113" s="185" t="s">
        <v>85</v>
      </c>
      <c r="L113" s="234">
        <v>2</v>
      </c>
      <c r="M113" s="195" t="s">
        <v>579</v>
      </c>
      <c r="N113" s="195" t="s">
        <v>580</v>
      </c>
      <c r="O113" s="195" t="s">
        <v>581</v>
      </c>
      <c r="P113" s="188" t="s">
        <v>22</v>
      </c>
      <c r="Q113" s="188" t="s">
        <v>42</v>
      </c>
      <c r="R113" s="188" t="str">
        <f t="shared" si="8"/>
        <v>N/A</v>
      </c>
      <c r="S113" s="188" t="s">
        <v>41</v>
      </c>
      <c r="T113" s="189" t="s">
        <v>594</v>
      </c>
      <c r="U113" s="188" t="s">
        <v>41</v>
      </c>
      <c r="V113" s="188" t="s">
        <v>73</v>
      </c>
      <c r="W113" s="188" t="s">
        <v>101</v>
      </c>
      <c r="X113" s="190" t="s">
        <v>102</v>
      </c>
      <c r="Y113" s="189" t="s">
        <v>108</v>
      </c>
      <c r="Z113" s="188" t="s">
        <v>41</v>
      </c>
      <c r="AA113" s="189" t="s">
        <v>599</v>
      </c>
      <c r="AB113" s="183">
        <f t="shared" ref="AB113:AB121" si="105">SUM(IF(Q113="Si",Q$15,0)+(IF(S113="Si",S$15,0))+IF(U113="Si",U$15,0)+IF(Z113="Si",Z$15,0))</f>
        <v>68</v>
      </c>
      <c r="AC113" s="184">
        <f t="shared" ref="AC113" si="106">IF(AND(L113=2,P113="Probabilidad",AB113&gt;=75),50,IF(AND(P113="Probabilidad",L113=2,AB113&gt;=50),37,IF(AND(P113="Probabilidad",L113=2,AB113&gt;=25),25,IF(AND(P113="Probabilidad",L113=2,AB113&gt;10),12,IF(AND(L113=1,P113="Probabilidad",AB113&gt;=75),100,IF(AND(P113="Probabilidad",L113=1,AB113&gt;=50),75,IF(AND(P113="Probabilidad",L113=1,AB113&gt;=25),50,IF(AND(P113="Probabilidad",L113=1,AB113&gt;10),25,IF(AND(P113="Probabilidad",L113=3,AB113&gt;=75),33.3,IF(AND(P113="Probabilidad",L113=3,AB113,AB113&gt;=50),25,IF(AND(P113="Probabilidad",L113=3,AB113&gt;=25),17,IF(AND(P113="Probabilidad",L113=3,AB113&gt;10),8,0))))))))))))</f>
        <v>37</v>
      </c>
      <c r="AD113" s="184">
        <f t="shared" ref="AD113" si="107">IF(AND(L113=2,P113="Impacto",AB113&gt;=75),50,IF(AND(P113="Impacto",L113=2,AB113&gt;=50),37,IF(AND(P113="Impacto",L113=2,AB113&gt;=25),25,IF(AND(P113="Impacto",L113=2,AB113&gt;10),12,IF(AND(L113=1,P113="Impacto",AB113&gt;=75),100,IF(AND(P113="Impacto",L113=1,AB113&gt;=50),75,IF(AND(P113="Impacto",L113=1,AB113&gt;=25),50,IF(AND(P113="Impacto",L113=1,AB113&gt;10),25,IF(AND(P113="Impacto",L113=3,AB113&gt;=75),33.3,IF(AND(P113="Impacto",L113=3,AB113,AB113&gt;=50),25,IF(AND(P113="Impacto",L113=3,AB113&gt;=25),17,IF(AND(P113="Impacto",L113=3,AB113&gt;10),8,0))))))))))))</f>
        <v>0</v>
      </c>
      <c r="AE113" s="235">
        <f t="shared" ref="AE113" si="108">SUM(AC113:AC115)</f>
        <v>74</v>
      </c>
      <c r="AF113" s="235">
        <f t="shared" ref="AF113" si="109">SUM(AD113:AD115)</f>
        <v>0</v>
      </c>
      <c r="AG113" s="236">
        <f t="shared" ref="AG113" si="110">IF(AE113&gt;75,2,IF(AE113&gt;=30,1,"-"))</f>
        <v>1</v>
      </c>
      <c r="AH113" s="236" t="str">
        <f t="shared" ref="AH113" si="111">IF(AF113&gt;75,2,IF(AF113&gt;=30,1,"-"))</f>
        <v>-</v>
      </c>
      <c r="AI113" s="193"/>
      <c r="AJ113" s="237" t="str">
        <f>IF(AND(AG113=2,H113="Casi seguro"),Hoja1!$J$5,IF(AND(AG113=2,H113="Posible"),Hoja1!$J$6,IF(AND(H113="Improbable",AG113=2),Hoja1!J60,IF(AND(AG113=1,H113="Casi seguro"),Hoja1!$J$4,IF(AND(AG113=1,H113="Posible"),Hoja1!$J$5,IF(AND(AG113=1,H113="Improbable"),Hoja1!$J$6,'FT-Mapa de riesgos'!H113))))))</f>
        <v>Rara vez</v>
      </c>
      <c r="AK113" s="237" t="str">
        <f>IF(AND(AH113=2,I113="Catastrofico"),Hoja1!$K$5,IF(AND(AH113=2,I113="Mayor"),Hoja1!$K$6,IF(AND(AH113=2,I113="Moderado"),Hoja1!$K$7,IF(AND(AH113=1,I113="Catastrofico"),Hoja1!$K$4,IF(AND(AH113=1,I113="Mayor "),Hoja1!$K$5,IF(AND(AH113=1,I113="Moderado"),Hoja1!$K$6,IF(AND(AH113=2,I113="Menor"),Hoja1!$K$7,'FT-Mapa de riesgos'!I113)))))))</f>
        <v>Catastrofico</v>
      </c>
      <c r="AL113" s="238" t="str">
        <f>IF(ISERROR(VLOOKUP(AJ113&amp;AK113,Hoja1!$C$1:$F$25,4,0)),"",(VLOOKUP(AJ113&amp;AK113,Hoja1!$C$1:$F$25,4,0)))</f>
        <v>Alto</v>
      </c>
      <c r="AM113" s="233"/>
    </row>
    <row r="114" spans="1:39" ht="200.1" customHeight="1" x14ac:dyDescent="0.4">
      <c r="A114" s="191"/>
      <c r="B114" s="245"/>
      <c r="C114" s="244"/>
      <c r="D114" s="244"/>
      <c r="E114" s="244"/>
      <c r="F114" s="195" t="s">
        <v>568</v>
      </c>
      <c r="G114" s="244"/>
      <c r="H114" s="239"/>
      <c r="I114" s="240"/>
      <c r="J114" s="238"/>
      <c r="K114" s="185" t="s">
        <v>85</v>
      </c>
      <c r="L114" s="234"/>
      <c r="M114" s="195" t="s">
        <v>582</v>
      </c>
      <c r="N114" s="195" t="s">
        <v>583</v>
      </c>
      <c r="O114" s="195" t="s">
        <v>584</v>
      </c>
      <c r="P114" s="188" t="s">
        <v>22</v>
      </c>
      <c r="Q114" s="188" t="s">
        <v>42</v>
      </c>
      <c r="R114" s="188" t="str">
        <f t="shared" si="8"/>
        <v>N/A</v>
      </c>
      <c r="S114" s="188" t="s">
        <v>41</v>
      </c>
      <c r="T114" s="189" t="s">
        <v>595</v>
      </c>
      <c r="U114" s="188" t="s">
        <v>41</v>
      </c>
      <c r="V114" s="188" t="s">
        <v>152</v>
      </c>
      <c r="W114" s="188" t="s">
        <v>101</v>
      </c>
      <c r="X114" s="190" t="s">
        <v>167</v>
      </c>
      <c r="Y114" s="189" t="s">
        <v>167</v>
      </c>
      <c r="Z114" s="188" t="s">
        <v>41</v>
      </c>
      <c r="AA114" s="189" t="s">
        <v>600</v>
      </c>
      <c r="AB114" s="183">
        <f t="shared" si="105"/>
        <v>68</v>
      </c>
      <c r="AC114" s="184">
        <f t="shared" ref="AC114" si="112">IF(AND(L113=2,P114="Probabilidad",AB114&gt;=75),50,IF(AND(P114="Probabilidad",L113=2,AB114&gt;=50),37,IF(AND(P114="Probabilidad",L113=2,AB114&gt;=25),25,IF(AND(P114="Probabilidad",L113=2,AB114&gt;10),12,IF(AND(L113=1,P114="Probabilidad",AB114&gt;=75),100,IF(AND(P114="Probabilidad",L113=1,AB114&gt;=50),75,IF(AND(P114="Probabilidad",L113=1,AB114&gt;=25),50,IF(AND(P114="Probabilidad",L113=1,AB114&gt;10),25,IF(AND(P114="Probabilidad",L113=3,AB114&gt;=75),33.3,IF(AND(P114="Probabilidad",L113=3,AB114,AB114&gt;=50),25,IF(AND(P114="Probabilidad",L113=3,AB114&gt;=25),17,IF(AND(P114="Probabilidad",L113=3,AB114&gt;10),8,0))))))))))))</f>
        <v>37</v>
      </c>
      <c r="AD114" s="184">
        <f t="shared" ref="AD114" si="113">IF(AND(L113=2,P114="Impacto",AB114&gt;=75),50,IF(AND(P114="Impacto",L113=2,AB114&gt;=50),37,IF(AND(P114="Impacto",L113=2,AB114&gt;=25),25,IF(AND(P114="Impacto",L113=2,AB114&gt;10),12,IF(AND(L113=1,P114="Impacto",AB114&gt;=75),100,IF(AND(P114="Impacto",L113=1,AB114&gt;=50),75,IF(AND(P114="Impacto",L113=1,AB114&gt;=25),50,IF(AND(P114="Impacto",L113=1,AB114&gt;10),25,IF(AND(P114="Impacto",L113=3,AB114&gt;=75),33.3,IF(AND(P114="Impacto",L113=3,AB114,AB114&gt;=50),25,IF(AND(P114="Impacto",L113=3,AB114&gt;=25),17,IF(AND(P114="Impacto",L113=3,AB114&gt;10),8,0))))))))))))</f>
        <v>0</v>
      </c>
      <c r="AE114" s="235"/>
      <c r="AF114" s="235"/>
      <c r="AG114" s="236"/>
      <c r="AH114" s="236"/>
      <c r="AI114" s="193"/>
      <c r="AJ114" s="237"/>
      <c r="AK114" s="237"/>
      <c r="AL114" s="238"/>
      <c r="AM114" s="233"/>
    </row>
    <row r="115" spans="1:39" ht="73.5" hidden="1" customHeight="1" x14ac:dyDescent="0.4">
      <c r="A115" s="191"/>
      <c r="B115" s="245"/>
      <c r="C115" s="244"/>
      <c r="D115" s="244"/>
      <c r="E115" s="244"/>
      <c r="F115" s="195"/>
      <c r="G115" s="244"/>
      <c r="H115" s="239"/>
      <c r="I115" s="240"/>
      <c r="J115" s="238"/>
      <c r="K115" s="187"/>
      <c r="L115" s="234"/>
      <c r="M115" s="212"/>
      <c r="N115" s="212"/>
      <c r="O115" s="212"/>
      <c r="P115" s="188"/>
      <c r="Q115" s="188"/>
      <c r="R115" s="188" t="str">
        <f t="shared" si="8"/>
        <v/>
      </c>
      <c r="S115" s="188"/>
      <c r="T115" s="188"/>
      <c r="U115" s="188"/>
      <c r="V115" s="188"/>
      <c r="W115" s="188"/>
      <c r="X115" s="190"/>
      <c r="Y115" s="188"/>
      <c r="Z115" s="188"/>
      <c r="AA115" s="188"/>
      <c r="AB115" s="183">
        <f t="shared" si="105"/>
        <v>0</v>
      </c>
      <c r="AC115" s="184">
        <f t="shared" ref="AC115" si="114">IF(AND(L113=2,P115="Probabilidad",AB115&gt;=75),50,IF(AND(P115="Probabilidad",L113=2,AB115&gt;=50),37,IF(AND(P115="Probabilidad",L113=2,AB115&gt;=25),25,IF(AND(P115="Probabilidad",L113=2,AB115&gt;10),12,IF(AND(L113=1,P115="Probabilidad",AB115&gt;=75),100,IF(AND(P115="Probabilidad",L113=1,AB115&gt;=50),75,IF(AND(P115="Probabilidad",L113=1,AB115&gt;=25),50,IF(AND(P115="Probabilidad",L113=1,AB115&gt;10),25,IF(AND(P115="Probabilidad",L113=3,AB115&gt;=75),33.3,IF(AND(P115="Probabilidad",L113=3,AB115,AB115&gt;=50),25,IF(AND(P115="Probabilidad",L113=3,AB115&gt;=25),17,IF(AND(P115="Probabilidad",L113=3,AB115&gt;10),8,0))))))))))))</f>
        <v>0</v>
      </c>
      <c r="AD115" s="184">
        <f t="shared" ref="AD115" si="115">IF(AND(L113=2,P115="Impacto",AB115&gt;=75),50,IF(AND(P115="Impacto",L113=2,AB115&gt;=50),37,IF(AND(P115="Impacto",L113=2,AB115&gt;=25),25,IF(AND(P115="Impacto",L113=2,AB115&gt;10),12,IF(AND(L113=1,P115="Impacto",AB115&gt;=75),100,IF(AND(P115="Impacto",L113=1,AB115&gt;=50),75,IF(AND(P115="Impacto",L113=1,AB115&gt;=25),50,IF(AND(P115="Impacto",L113=1,AB115&gt;10),25,IF(AND(P115="Impacto",L113=3,AB115&gt;=75),33.3,IF(AND(P115="Impacto",L113=3,AB115,AB115&gt;=50),25,IF(AND(P115="Impacto",L113=3,AB115&gt;=25),17,IF(AND(P115="Impacto",L113=3,AB115&gt;10),8,0))))))))))))</f>
        <v>0</v>
      </c>
      <c r="AE115" s="235"/>
      <c r="AF115" s="235"/>
      <c r="AG115" s="236"/>
      <c r="AH115" s="236"/>
      <c r="AI115" s="193"/>
      <c r="AJ115" s="237"/>
      <c r="AK115" s="237"/>
      <c r="AL115" s="238"/>
      <c r="AM115" s="233"/>
    </row>
    <row r="116" spans="1:39" ht="219.95" customHeight="1" x14ac:dyDescent="0.4">
      <c r="A116" s="191"/>
      <c r="B116" s="245">
        <v>33</v>
      </c>
      <c r="C116" s="244" t="s">
        <v>569</v>
      </c>
      <c r="D116" s="244" t="s">
        <v>570</v>
      </c>
      <c r="E116" s="244" t="s">
        <v>35</v>
      </c>
      <c r="F116" s="195" t="s">
        <v>571</v>
      </c>
      <c r="G116" s="244" t="s">
        <v>572</v>
      </c>
      <c r="H116" s="239" t="s">
        <v>13</v>
      </c>
      <c r="I116" s="240" t="s">
        <v>21</v>
      </c>
      <c r="J116" s="238" t="str">
        <f>IF(ISERROR(VLOOKUP(H116&amp;I116,Hoja1!$C$1:$F$25,4,0)),"",(VLOOKUP(H116&amp;I116,Hoja1!$C$1:$F$25,4,0)))</f>
        <v>Alto</v>
      </c>
      <c r="K116" s="185" t="s">
        <v>85</v>
      </c>
      <c r="L116" s="234">
        <v>2</v>
      </c>
      <c r="M116" s="195" t="s">
        <v>585</v>
      </c>
      <c r="N116" s="195" t="s">
        <v>586</v>
      </c>
      <c r="O116" s="195" t="s">
        <v>584</v>
      </c>
      <c r="P116" s="188" t="s">
        <v>22</v>
      </c>
      <c r="Q116" s="188" t="s">
        <v>42</v>
      </c>
      <c r="R116" s="188" t="str">
        <f t="shared" si="8"/>
        <v>N/A</v>
      </c>
      <c r="S116" s="188" t="s">
        <v>41</v>
      </c>
      <c r="T116" s="189" t="s">
        <v>596</v>
      </c>
      <c r="U116" s="188" t="s">
        <v>41</v>
      </c>
      <c r="V116" s="188" t="s">
        <v>91</v>
      </c>
      <c r="W116" s="188" t="s">
        <v>101</v>
      </c>
      <c r="X116" s="190" t="s">
        <v>102</v>
      </c>
      <c r="Y116" s="189" t="s">
        <v>108</v>
      </c>
      <c r="Z116" s="188" t="s">
        <v>41</v>
      </c>
      <c r="AA116" s="189" t="s">
        <v>601</v>
      </c>
      <c r="AB116" s="183">
        <f t="shared" si="105"/>
        <v>68</v>
      </c>
      <c r="AC116" s="184">
        <f t="shared" ref="AC116" si="116">IF(AND(L116=2,P116="Probabilidad",AB116&gt;=75),50,IF(AND(P116="Probabilidad",L116=2,AB116&gt;=50),37,IF(AND(P116="Probabilidad",L116=2,AB116&gt;=25),25,IF(AND(P116="Probabilidad",L116=2,AB116&gt;10),12,IF(AND(L116=1,P116="Probabilidad",AB116&gt;=75),100,IF(AND(P116="Probabilidad",L116=1,AB116&gt;=50),75,IF(AND(P116="Probabilidad",L116=1,AB116&gt;=25),50,IF(AND(P116="Probabilidad",L116=1,AB116&gt;10),25,IF(AND(P116="Probabilidad",L116=3,AB116&gt;=75),33.3,IF(AND(P116="Probabilidad",L116=3,AB116,AB116&gt;=50),25,IF(AND(P116="Probabilidad",L116=3,AB116&gt;=25),17,IF(AND(P116="Probabilidad",L116=3,AB116&gt;10),8,0))))))))))))</f>
        <v>37</v>
      </c>
      <c r="AD116" s="184">
        <f t="shared" ref="AD116" si="117">IF(AND(L116=2,P116="Impacto",AB116&gt;=75),50,IF(AND(P116="Impacto",L116=2,AB116&gt;=50),37,IF(AND(P116="Impacto",L116=2,AB116&gt;=25),25,IF(AND(P116="Impacto",L116=2,AB116&gt;10),12,IF(AND(L116=1,P116="Impacto",AB116&gt;=75),100,IF(AND(P116="Impacto",L116=1,AB116&gt;=50),75,IF(AND(P116="Impacto",L116=1,AB116&gt;=25),50,IF(AND(P116="Impacto",L116=1,AB116&gt;10),25,IF(AND(P116="Impacto",L116=3,AB116&gt;=75),33.3,IF(AND(P116="Impacto",L116=3,AB116,AB116&gt;=50),25,IF(AND(P116="Impacto",L116=3,AB116&gt;=25),17,IF(AND(P116="Impacto",L116=3,AB116&gt;10),8,0))))))))))))</f>
        <v>0</v>
      </c>
      <c r="AE116" s="235">
        <f t="shared" ref="AE116" si="118">SUM(AC116:AC118)</f>
        <v>74</v>
      </c>
      <c r="AF116" s="235">
        <f t="shared" ref="AF116" si="119">SUM(AD116:AD118)</f>
        <v>0</v>
      </c>
      <c r="AG116" s="236">
        <f t="shared" ref="AG116" si="120">IF(AE116&gt;75,2,IF(AE116&gt;=30,1,"-"))</f>
        <v>1</v>
      </c>
      <c r="AH116" s="236" t="str">
        <f t="shared" ref="AH116" si="121">IF(AF116&gt;75,2,IF(AF116&gt;=30,1,"-"))</f>
        <v>-</v>
      </c>
      <c r="AI116" s="193"/>
      <c r="AJ116" s="237" t="str">
        <f>IF(AND(AG116=2,H116="Casi seguro"),Hoja1!$J$5,IF(AND(AG116=2,H116="Posible"),Hoja1!$J$6,IF(AND(H116="Improbable",AG116=2),Hoja1!J63,IF(AND(AG116=1,H116="Casi seguro"),Hoja1!$J$4,IF(AND(AG116=1,H116="Posible"),Hoja1!$J$5,IF(AND(AG116=1,H116="Improbable"),Hoja1!$J$6,'FT-Mapa de riesgos'!H116))))))</f>
        <v>Rara vez</v>
      </c>
      <c r="AK116" s="237" t="str">
        <f>IF(AND(AH116=2,I116="Catastrofico"),Hoja1!$K$5,IF(AND(AH116=2,I116="Mayor"),Hoja1!$K$6,IF(AND(AH116=2,I116="Moderado"),Hoja1!$K$7,IF(AND(AH116=1,I116="Catastrofico"),Hoja1!$K$4,IF(AND(AH116=1,I116="Mayor "),Hoja1!$K$5,IF(AND(AH116=1,I116="Moderado"),Hoja1!$K$6,IF(AND(AH116=2,I116="Menor"),Hoja1!$K$7,'FT-Mapa de riesgos'!I116)))))))</f>
        <v>Catastrofico</v>
      </c>
      <c r="AL116" s="238" t="str">
        <f>IF(ISERROR(VLOOKUP(AJ116&amp;AK116,Hoja1!$C$1:$F$25,4,0)),"",(VLOOKUP(AJ116&amp;AK116,Hoja1!$C$1:$F$25,4,0)))</f>
        <v>Alto</v>
      </c>
      <c r="AM116" s="233"/>
    </row>
    <row r="117" spans="1:39" ht="219.95" customHeight="1" x14ac:dyDescent="0.4">
      <c r="A117" s="191"/>
      <c r="B117" s="245"/>
      <c r="C117" s="244"/>
      <c r="D117" s="244"/>
      <c r="E117" s="244"/>
      <c r="F117" s="195" t="s">
        <v>573</v>
      </c>
      <c r="G117" s="244"/>
      <c r="H117" s="239"/>
      <c r="I117" s="240"/>
      <c r="J117" s="238"/>
      <c r="K117" s="185" t="s">
        <v>85</v>
      </c>
      <c r="L117" s="234"/>
      <c r="M117" s="195" t="s">
        <v>587</v>
      </c>
      <c r="N117" s="195" t="s">
        <v>588</v>
      </c>
      <c r="O117" s="195" t="s">
        <v>589</v>
      </c>
      <c r="P117" s="188" t="s">
        <v>22</v>
      </c>
      <c r="Q117" s="188" t="s">
        <v>42</v>
      </c>
      <c r="R117" s="188" t="str">
        <f t="shared" si="8"/>
        <v>N/A</v>
      </c>
      <c r="S117" s="188" t="s">
        <v>41</v>
      </c>
      <c r="T117" s="189" t="s">
        <v>597</v>
      </c>
      <c r="U117" s="188" t="s">
        <v>41</v>
      </c>
      <c r="V117" s="188" t="s">
        <v>91</v>
      </c>
      <c r="W117" s="188" t="s">
        <v>101</v>
      </c>
      <c r="X117" s="190" t="s">
        <v>102</v>
      </c>
      <c r="Y117" s="189" t="s">
        <v>108</v>
      </c>
      <c r="Z117" s="188" t="s">
        <v>41</v>
      </c>
      <c r="AA117" s="189" t="s">
        <v>602</v>
      </c>
      <c r="AB117" s="183">
        <f t="shared" si="105"/>
        <v>68</v>
      </c>
      <c r="AC117" s="184">
        <f t="shared" ref="AC117" si="122">IF(AND(L116=2,P117="Probabilidad",AB117&gt;=75),50,IF(AND(P117="Probabilidad",L116=2,AB117&gt;=50),37,IF(AND(P117="Probabilidad",L116=2,AB117&gt;=25),25,IF(AND(P117="Probabilidad",L116=2,AB117&gt;10),12,IF(AND(L116=1,P117="Probabilidad",AB117&gt;=75),100,IF(AND(P117="Probabilidad",L116=1,AB117&gt;=50),75,IF(AND(P117="Probabilidad",L116=1,AB117&gt;=25),50,IF(AND(P117="Probabilidad",L116=1,AB117&gt;10),25,IF(AND(P117="Probabilidad",L116=3,AB117&gt;=75),33.3,IF(AND(P117="Probabilidad",L116=3,AB117,AB117&gt;=50),25,IF(AND(P117="Probabilidad",L116=3,AB117&gt;=25),17,IF(AND(P117="Probabilidad",L116=3,AB117&gt;10),8,0))))))))))))</f>
        <v>37</v>
      </c>
      <c r="AD117" s="184">
        <f t="shared" ref="AD117" si="123">IF(AND(L116=2,P117="Impacto",AB117&gt;=75),50,IF(AND(P117="Impacto",L116=2,AB117&gt;=50),37,IF(AND(P117="Impacto",L116=2,AB117&gt;=25),25,IF(AND(P117="Impacto",L116=2,AB117&gt;10),12,IF(AND(L116=1,P117="Impacto",AB117&gt;=75),100,IF(AND(P117="Impacto",L116=1,AB117&gt;=50),75,IF(AND(P117="Impacto",L116=1,AB117&gt;=25),50,IF(AND(P117="Impacto",L116=1,AB117&gt;10),25,IF(AND(P117="Impacto",L116=3,AB117&gt;=75),33.3,IF(AND(P117="Impacto",L116=3,AB117,AB117&gt;=50),25,IF(AND(P117="Impacto",L116=3,AB117&gt;=25),17,IF(AND(P117="Impacto",L116=3,AB117&gt;10),8,0))))))))))))</f>
        <v>0</v>
      </c>
      <c r="AE117" s="235"/>
      <c r="AF117" s="235"/>
      <c r="AG117" s="236"/>
      <c r="AH117" s="236"/>
      <c r="AI117" s="193"/>
      <c r="AJ117" s="237"/>
      <c r="AK117" s="237"/>
      <c r="AL117" s="238"/>
      <c r="AM117" s="233"/>
    </row>
    <row r="118" spans="1:39" ht="73.5" hidden="1" customHeight="1" x14ac:dyDescent="0.4">
      <c r="A118" s="191"/>
      <c r="B118" s="245"/>
      <c r="C118" s="244"/>
      <c r="D118" s="244"/>
      <c r="E118" s="244"/>
      <c r="F118" s="195"/>
      <c r="G118" s="244"/>
      <c r="H118" s="239"/>
      <c r="I118" s="240"/>
      <c r="J118" s="238"/>
      <c r="K118" s="187"/>
      <c r="L118" s="234"/>
      <c r="M118" s="212"/>
      <c r="N118" s="212"/>
      <c r="O118" s="212"/>
      <c r="P118" s="188"/>
      <c r="Q118" s="188"/>
      <c r="R118" s="188" t="str">
        <f t="shared" si="8"/>
        <v/>
      </c>
      <c r="S118" s="188"/>
      <c r="T118" s="188"/>
      <c r="U118" s="188"/>
      <c r="V118" s="188"/>
      <c r="W118" s="188"/>
      <c r="X118" s="190"/>
      <c r="Y118" s="188"/>
      <c r="Z118" s="188"/>
      <c r="AA118" s="188"/>
      <c r="AB118" s="183">
        <f t="shared" si="105"/>
        <v>0</v>
      </c>
      <c r="AC118" s="184">
        <f t="shared" ref="AC118" si="124">IF(AND(L116=2,P118="Probabilidad",AB118&gt;=75),50,IF(AND(P118="Probabilidad",L116=2,AB118&gt;=50),37,IF(AND(P118="Probabilidad",L116=2,AB118&gt;=25),25,IF(AND(P118="Probabilidad",L116=2,AB118&gt;10),12,IF(AND(L116=1,P118="Probabilidad",AB118&gt;=75),100,IF(AND(P118="Probabilidad",L116=1,AB118&gt;=50),75,IF(AND(P118="Probabilidad",L116=1,AB118&gt;=25),50,IF(AND(P118="Probabilidad",L116=1,AB118&gt;10),25,IF(AND(P118="Probabilidad",L116=3,AB118&gt;=75),33.3,IF(AND(P118="Probabilidad",L116=3,AB118,AB118&gt;=50),25,IF(AND(P118="Probabilidad",L116=3,AB118&gt;=25),17,IF(AND(P118="Probabilidad",L116=3,AB118&gt;10),8,0))))))))))))</f>
        <v>0</v>
      </c>
      <c r="AD118" s="184">
        <f t="shared" ref="AD118" si="125">IF(AND(L116=2,P118="Impacto",AB118&gt;=75),50,IF(AND(P118="Impacto",L116=2,AB118&gt;=50),37,IF(AND(P118="Impacto",L116=2,AB118&gt;=25),25,IF(AND(P118="Impacto",L116=2,AB118&gt;10),12,IF(AND(L116=1,P118="Impacto",AB118&gt;=75),100,IF(AND(P118="Impacto",L116=1,AB118&gt;=50),75,IF(AND(P118="Impacto",L116=1,AB118&gt;=25),50,IF(AND(P118="Impacto",L116=1,AB118&gt;10),25,IF(AND(P118="Impacto",L116=3,AB118&gt;=75),33.3,IF(AND(P118="Impacto",L116=3,AB118,AB118&gt;=50),25,IF(AND(P118="Impacto",L116=3,AB118&gt;=25),17,IF(AND(P118="Impacto",L116=3,AB118&gt;10),8,0))))))))))))</f>
        <v>0</v>
      </c>
      <c r="AE118" s="235"/>
      <c r="AF118" s="235"/>
      <c r="AG118" s="236"/>
      <c r="AH118" s="236"/>
      <c r="AI118" s="193"/>
      <c r="AJ118" s="237"/>
      <c r="AK118" s="237"/>
      <c r="AL118" s="238"/>
      <c r="AM118" s="233"/>
    </row>
    <row r="119" spans="1:39" ht="219.95" customHeight="1" x14ac:dyDescent="0.4">
      <c r="A119" s="191"/>
      <c r="B119" s="245">
        <v>34</v>
      </c>
      <c r="C119" s="244" t="s">
        <v>574</v>
      </c>
      <c r="D119" s="244" t="s">
        <v>575</v>
      </c>
      <c r="E119" s="244" t="s">
        <v>32</v>
      </c>
      <c r="F119" s="195" t="s">
        <v>576</v>
      </c>
      <c r="G119" s="244" t="s">
        <v>577</v>
      </c>
      <c r="H119" s="239" t="s">
        <v>13</v>
      </c>
      <c r="I119" s="240" t="s">
        <v>21</v>
      </c>
      <c r="J119" s="238" t="str">
        <f>IF(ISERROR(VLOOKUP(H119&amp;I119,Hoja1!$C$1:$F$25,4,0)),"",(VLOOKUP(H119&amp;I119,Hoja1!$C$1:$F$25,4,0)))</f>
        <v>Alto</v>
      </c>
      <c r="K119" s="185" t="s">
        <v>85</v>
      </c>
      <c r="L119" s="234">
        <v>2</v>
      </c>
      <c r="M119" s="195" t="s">
        <v>590</v>
      </c>
      <c r="N119" s="195" t="s">
        <v>586</v>
      </c>
      <c r="O119" s="195" t="s">
        <v>584</v>
      </c>
      <c r="P119" s="188" t="s">
        <v>22</v>
      </c>
      <c r="Q119" s="188" t="s">
        <v>42</v>
      </c>
      <c r="R119" s="188" t="str">
        <f t="shared" si="8"/>
        <v>N/A</v>
      </c>
      <c r="S119" s="188" t="s">
        <v>41</v>
      </c>
      <c r="T119" s="189" t="s">
        <v>596</v>
      </c>
      <c r="U119" s="188" t="s">
        <v>41</v>
      </c>
      <c r="V119" s="188" t="s">
        <v>91</v>
      </c>
      <c r="W119" s="188" t="s">
        <v>101</v>
      </c>
      <c r="X119" s="190" t="s">
        <v>102</v>
      </c>
      <c r="Y119" s="189" t="s">
        <v>108</v>
      </c>
      <c r="Z119" s="188" t="s">
        <v>41</v>
      </c>
      <c r="AA119" s="189" t="s">
        <v>601</v>
      </c>
      <c r="AB119" s="183">
        <f t="shared" si="105"/>
        <v>68</v>
      </c>
      <c r="AC119" s="184">
        <f t="shared" ref="AC119" si="126">IF(AND(L119=2,P119="Probabilidad",AB119&gt;=75),50,IF(AND(P119="Probabilidad",L119=2,AB119&gt;=50),37,IF(AND(P119="Probabilidad",L119=2,AB119&gt;=25),25,IF(AND(P119="Probabilidad",L119=2,AB119&gt;10),12,IF(AND(L119=1,P119="Probabilidad",AB119&gt;=75),100,IF(AND(P119="Probabilidad",L119=1,AB119&gt;=50),75,IF(AND(P119="Probabilidad",L119=1,AB119&gt;=25),50,IF(AND(P119="Probabilidad",L119=1,AB119&gt;10),25,IF(AND(P119="Probabilidad",L119=3,AB119&gt;=75),33.3,IF(AND(P119="Probabilidad",L119=3,AB119,AB119&gt;=50),25,IF(AND(P119="Probabilidad",L119=3,AB119&gt;=25),17,IF(AND(P119="Probabilidad",L119=3,AB119&gt;10),8,0))))))))))))</f>
        <v>37</v>
      </c>
      <c r="AD119" s="184">
        <f t="shared" ref="AD119" si="127">IF(AND(L119=2,P119="Impacto",AB119&gt;=75),50,IF(AND(P119="Impacto",L119=2,AB119&gt;=50),37,IF(AND(P119="Impacto",L119=2,AB119&gt;=25),25,IF(AND(P119="Impacto",L119=2,AB119&gt;10),12,IF(AND(L119=1,P119="Impacto",AB119&gt;=75),100,IF(AND(P119="Impacto",L119=1,AB119&gt;=50),75,IF(AND(P119="Impacto",L119=1,AB119&gt;=25),50,IF(AND(P119="Impacto",L119=1,AB119&gt;10),25,IF(AND(P119="Impacto",L119=3,AB119&gt;=75),33.3,IF(AND(P119="Impacto",L119=3,AB119,AB119&gt;=50),25,IF(AND(P119="Impacto",L119=3,AB119&gt;=25),17,IF(AND(P119="Impacto",L119=3,AB119&gt;10),8,0))))))))))))</f>
        <v>0</v>
      </c>
      <c r="AE119" s="235">
        <f t="shared" ref="AE119" si="128">SUM(AC119:AC121)</f>
        <v>74</v>
      </c>
      <c r="AF119" s="235">
        <f t="shared" ref="AF119" si="129">SUM(AD119:AD121)</f>
        <v>0</v>
      </c>
      <c r="AG119" s="236">
        <f t="shared" ref="AG119" si="130">IF(AE119&gt;75,2,IF(AE119&gt;=30,1,"-"))</f>
        <v>1</v>
      </c>
      <c r="AH119" s="236" t="str">
        <f t="shared" ref="AH119" si="131">IF(AF119&gt;75,2,IF(AF119&gt;=30,1,"-"))</f>
        <v>-</v>
      </c>
      <c r="AI119" s="193"/>
      <c r="AJ119" s="237" t="str">
        <f>IF(AND(AG119=2,H119="Casi seguro"),Hoja1!$J$5,IF(AND(AG119=2,H119="Posible"),Hoja1!$J$6,IF(AND(H119="Improbable",AG119=2),Hoja1!J66,IF(AND(AG119=1,H119="Casi seguro"),Hoja1!$J$4,IF(AND(AG119=1,H119="Posible"),Hoja1!$J$5,IF(AND(AG119=1,H119="Improbable"),Hoja1!$J$6,'FT-Mapa de riesgos'!H119))))))</f>
        <v>Rara vez</v>
      </c>
      <c r="AK119" s="237" t="str">
        <f>IF(AND(AH119=2,I119="Catastrofico"),Hoja1!$K$5,IF(AND(AH119=2,I119="Mayor"),Hoja1!$K$6,IF(AND(AH119=2,I119="Moderado"),Hoja1!$K$7,IF(AND(AH119=1,I119="Catastrofico"),Hoja1!$K$4,IF(AND(AH119=1,I119="Mayor "),Hoja1!$K$5,IF(AND(AH119=1,I119="Moderado"),Hoja1!$K$6,IF(AND(AH119=2,I119="Menor"),Hoja1!$K$7,'FT-Mapa de riesgos'!I119)))))))</f>
        <v>Catastrofico</v>
      </c>
      <c r="AL119" s="238" t="str">
        <f>IF(ISERROR(VLOOKUP(AJ119&amp;AK119,Hoja1!$C$1:$F$25,4,0)),"",(VLOOKUP(AJ119&amp;AK119,Hoja1!$C$1:$F$25,4,0)))</f>
        <v>Alto</v>
      </c>
      <c r="AM119" s="233"/>
    </row>
    <row r="120" spans="1:39" ht="219.95" customHeight="1" x14ac:dyDescent="0.4">
      <c r="A120" s="191"/>
      <c r="B120" s="245"/>
      <c r="C120" s="244"/>
      <c r="D120" s="244"/>
      <c r="E120" s="244"/>
      <c r="F120" s="195" t="s">
        <v>578</v>
      </c>
      <c r="G120" s="244"/>
      <c r="H120" s="239"/>
      <c r="I120" s="240"/>
      <c r="J120" s="238"/>
      <c r="K120" s="185" t="s">
        <v>85</v>
      </c>
      <c r="L120" s="234"/>
      <c r="M120" s="195" t="s">
        <v>591</v>
      </c>
      <c r="N120" s="195" t="s">
        <v>592</v>
      </c>
      <c r="O120" s="195" t="s">
        <v>593</v>
      </c>
      <c r="P120" s="188" t="s">
        <v>22</v>
      </c>
      <c r="Q120" s="188" t="s">
        <v>42</v>
      </c>
      <c r="R120" s="188" t="str">
        <f t="shared" si="8"/>
        <v>N/A</v>
      </c>
      <c r="S120" s="188" t="s">
        <v>41</v>
      </c>
      <c r="T120" s="188" t="s">
        <v>598</v>
      </c>
      <c r="U120" s="188" t="s">
        <v>41</v>
      </c>
      <c r="V120" s="188" t="s">
        <v>72</v>
      </c>
      <c r="W120" s="188" t="s">
        <v>101</v>
      </c>
      <c r="X120" s="190" t="s">
        <v>102</v>
      </c>
      <c r="Y120" s="189" t="s">
        <v>108</v>
      </c>
      <c r="Z120" s="188" t="s">
        <v>41</v>
      </c>
      <c r="AA120" s="189" t="s">
        <v>603</v>
      </c>
      <c r="AB120" s="183">
        <f t="shared" si="105"/>
        <v>68</v>
      </c>
      <c r="AC120" s="184">
        <f t="shared" ref="AC120" si="132">IF(AND(L119=2,P120="Probabilidad",AB120&gt;=75),50,IF(AND(P120="Probabilidad",L119=2,AB120&gt;=50),37,IF(AND(P120="Probabilidad",L119=2,AB120&gt;=25),25,IF(AND(P120="Probabilidad",L119=2,AB120&gt;10),12,IF(AND(L119=1,P120="Probabilidad",AB120&gt;=75),100,IF(AND(P120="Probabilidad",L119=1,AB120&gt;=50),75,IF(AND(P120="Probabilidad",L119=1,AB120&gt;=25),50,IF(AND(P120="Probabilidad",L119=1,AB120&gt;10),25,IF(AND(P120="Probabilidad",L119=3,AB120&gt;=75),33.3,IF(AND(P120="Probabilidad",L119=3,AB120,AB120&gt;=50),25,IF(AND(P120="Probabilidad",L119=3,AB120&gt;=25),17,IF(AND(P120="Probabilidad",L119=3,AB120&gt;10),8,0))))))))))))</f>
        <v>37</v>
      </c>
      <c r="AD120" s="184">
        <f t="shared" ref="AD120" si="133">IF(AND(L119=2,P120="Impacto",AB120&gt;=75),50,IF(AND(P120="Impacto",L119=2,AB120&gt;=50),37,IF(AND(P120="Impacto",L119=2,AB120&gt;=25),25,IF(AND(P120="Impacto",L119=2,AB120&gt;10),12,IF(AND(L119=1,P120="Impacto",AB120&gt;=75),100,IF(AND(P120="Impacto",L119=1,AB120&gt;=50),75,IF(AND(P120="Impacto",L119=1,AB120&gt;=25),50,IF(AND(P120="Impacto",L119=1,AB120&gt;10),25,IF(AND(P120="Impacto",L119=3,AB120&gt;=75),33.3,IF(AND(P120="Impacto",L119=3,AB120,AB120&gt;=50),25,IF(AND(P120="Impacto",L119=3,AB120&gt;=25),17,IF(AND(P120="Impacto",L119=3,AB120&gt;10),8,0))))))))))))</f>
        <v>0</v>
      </c>
      <c r="AE120" s="235"/>
      <c r="AF120" s="235"/>
      <c r="AG120" s="236"/>
      <c r="AH120" s="236"/>
      <c r="AI120" s="193"/>
      <c r="AJ120" s="237"/>
      <c r="AK120" s="237"/>
      <c r="AL120" s="238"/>
      <c r="AM120" s="233"/>
    </row>
    <row r="121" spans="1:39" ht="73.5" hidden="1" customHeight="1" x14ac:dyDescent="0.4">
      <c r="A121" s="191"/>
      <c r="B121" s="245"/>
      <c r="C121" s="244"/>
      <c r="D121" s="244"/>
      <c r="E121" s="244"/>
      <c r="F121" s="195"/>
      <c r="G121" s="244"/>
      <c r="H121" s="239"/>
      <c r="I121" s="240"/>
      <c r="J121" s="238"/>
      <c r="K121" s="187"/>
      <c r="L121" s="234"/>
      <c r="M121" s="212"/>
      <c r="N121" s="212"/>
      <c r="O121" s="212"/>
      <c r="P121" s="188"/>
      <c r="Q121" s="188"/>
      <c r="R121" s="188" t="str">
        <f t="shared" si="8"/>
        <v/>
      </c>
      <c r="S121" s="188"/>
      <c r="T121" s="188"/>
      <c r="U121" s="188"/>
      <c r="V121" s="188"/>
      <c r="W121" s="188"/>
      <c r="X121" s="190"/>
      <c r="Y121" s="188"/>
      <c r="Z121" s="188"/>
      <c r="AA121" s="188"/>
      <c r="AB121" s="183">
        <f t="shared" si="105"/>
        <v>0</v>
      </c>
      <c r="AC121" s="184">
        <f t="shared" ref="AC121" si="134">IF(AND(L119=2,P121="Probabilidad",AB121&gt;=75),50,IF(AND(P121="Probabilidad",L119=2,AB121&gt;=50),37,IF(AND(P121="Probabilidad",L119=2,AB121&gt;=25),25,IF(AND(P121="Probabilidad",L119=2,AB121&gt;10),12,IF(AND(L119=1,P121="Probabilidad",AB121&gt;=75),100,IF(AND(P121="Probabilidad",L119=1,AB121&gt;=50),75,IF(AND(P121="Probabilidad",L119=1,AB121&gt;=25),50,IF(AND(P121="Probabilidad",L119=1,AB121&gt;10),25,IF(AND(P121="Probabilidad",L119=3,AB121&gt;=75),33.3,IF(AND(P121="Probabilidad",L119=3,AB121,AB121&gt;=50),25,IF(AND(P121="Probabilidad",L119=3,AB121&gt;=25),17,IF(AND(P121="Probabilidad",L119=3,AB121&gt;10),8,0))))))))))))</f>
        <v>0</v>
      </c>
      <c r="AD121" s="184">
        <f t="shared" ref="AD121" si="135">IF(AND(L119=2,P121="Impacto",AB121&gt;=75),50,IF(AND(P121="Impacto",L119=2,AB121&gt;=50),37,IF(AND(P121="Impacto",L119=2,AB121&gt;=25),25,IF(AND(P121="Impacto",L119=2,AB121&gt;10),12,IF(AND(L119=1,P121="Impacto",AB121&gt;=75),100,IF(AND(P121="Impacto",L119=1,AB121&gt;=50),75,IF(AND(P121="Impacto",L119=1,AB121&gt;=25),50,IF(AND(P121="Impacto",L119=1,AB121&gt;10),25,IF(AND(P121="Impacto",L119=3,AB121&gt;=75),33.3,IF(AND(P121="Impacto",L119=3,AB121,AB121&gt;=50),25,IF(AND(P121="Impacto",L119=3,AB121&gt;=25),17,IF(AND(P121="Impacto",L119=3,AB121&gt;10),8,0))))))))))))</f>
        <v>0</v>
      </c>
      <c r="AE121" s="235"/>
      <c r="AF121" s="235"/>
      <c r="AG121" s="236"/>
      <c r="AH121" s="236"/>
      <c r="AI121" s="193"/>
      <c r="AJ121" s="237"/>
      <c r="AK121" s="237"/>
      <c r="AL121" s="238"/>
      <c r="AM121" s="233"/>
    </row>
    <row r="122" spans="1:39" ht="219.95" customHeight="1" x14ac:dyDescent="0.4">
      <c r="A122" s="191"/>
      <c r="B122" s="245">
        <v>35</v>
      </c>
      <c r="C122" s="244" t="s">
        <v>604</v>
      </c>
      <c r="D122" s="244" t="s">
        <v>605</v>
      </c>
      <c r="E122" s="244" t="s">
        <v>32</v>
      </c>
      <c r="F122" s="195" t="s">
        <v>606</v>
      </c>
      <c r="G122" s="244" t="s">
        <v>607</v>
      </c>
      <c r="H122" s="239" t="s">
        <v>31</v>
      </c>
      <c r="I122" s="240" t="s">
        <v>19</v>
      </c>
      <c r="J122" s="238" t="str">
        <f>IF(ISERROR(VLOOKUP(H122&amp;I122,Hoja1!$C$1:$F$25,4,0)),"",(VLOOKUP(H122&amp;I122,Hoja1!$C$1:$F$25,4,0)))</f>
        <v>Alto</v>
      </c>
      <c r="K122" s="185" t="s">
        <v>85</v>
      </c>
      <c r="L122" s="234">
        <v>2</v>
      </c>
      <c r="M122" s="195" t="s">
        <v>619</v>
      </c>
      <c r="N122" s="195" t="s">
        <v>620</v>
      </c>
      <c r="O122" s="195" t="s">
        <v>621</v>
      </c>
      <c r="P122" s="188" t="s">
        <v>22</v>
      </c>
      <c r="Q122" s="188" t="s">
        <v>42</v>
      </c>
      <c r="R122" s="188" t="str">
        <f t="shared" si="8"/>
        <v>N/A</v>
      </c>
      <c r="S122" s="188" t="s">
        <v>41</v>
      </c>
      <c r="T122" s="189" t="s">
        <v>637</v>
      </c>
      <c r="U122" s="188" t="s">
        <v>41</v>
      </c>
      <c r="V122" s="188" t="s">
        <v>72</v>
      </c>
      <c r="W122" s="188" t="s">
        <v>101</v>
      </c>
      <c r="X122" s="190" t="s">
        <v>102</v>
      </c>
      <c r="Y122" s="189" t="s">
        <v>108</v>
      </c>
      <c r="Z122" s="188" t="s">
        <v>41</v>
      </c>
      <c r="AA122" s="189" t="s">
        <v>646</v>
      </c>
      <c r="AB122" s="183">
        <f t="shared" ref="AB122:AB130" si="136">SUM(IF(Q122="Si",Q$15,0)+(IF(S122="Si",S$15,0))+IF(U122="Si",U$15,0)+IF(Z122="Si",Z$15,0))</f>
        <v>68</v>
      </c>
      <c r="AC122" s="184">
        <f t="shared" ref="AC122" si="137">IF(AND(L122=2,P122="Probabilidad",AB122&gt;=75),50,IF(AND(P122="Probabilidad",L122=2,AB122&gt;=50),37,IF(AND(P122="Probabilidad",L122=2,AB122&gt;=25),25,IF(AND(P122="Probabilidad",L122=2,AB122&gt;10),12,IF(AND(L122=1,P122="Probabilidad",AB122&gt;=75),100,IF(AND(P122="Probabilidad",L122=1,AB122&gt;=50),75,IF(AND(P122="Probabilidad",L122=1,AB122&gt;=25),50,IF(AND(P122="Probabilidad",L122=1,AB122&gt;10),25,IF(AND(P122="Probabilidad",L122=3,AB122&gt;=75),33.3,IF(AND(P122="Probabilidad",L122=3,AB122,AB122&gt;=50),25,IF(AND(P122="Probabilidad",L122=3,AB122&gt;=25),17,IF(AND(P122="Probabilidad",L122=3,AB122&gt;10),8,0))))))))))))</f>
        <v>37</v>
      </c>
      <c r="AD122" s="184">
        <f t="shared" ref="AD122" si="138">IF(AND(L122=2,P122="Impacto",AB122&gt;=75),50,IF(AND(P122="Impacto",L122=2,AB122&gt;=50),37,IF(AND(P122="Impacto",L122=2,AB122&gt;=25),25,IF(AND(P122="Impacto",L122=2,AB122&gt;10),12,IF(AND(L122=1,P122="Impacto",AB122&gt;=75),100,IF(AND(P122="Impacto",L122=1,AB122&gt;=50),75,IF(AND(P122="Impacto",L122=1,AB122&gt;=25),50,IF(AND(P122="Impacto",L122=1,AB122&gt;10),25,IF(AND(P122="Impacto",L122=3,AB122&gt;=75),33.3,IF(AND(P122="Impacto",L122=3,AB122,AB122&gt;=50),25,IF(AND(P122="Impacto",L122=3,AB122&gt;=25),17,IF(AND(P122="Impacto",L122=3,AB122&gt;10),8,0))))))))))))</f>
        <v>0</v>
      </c>
      <c r="AE122" s="235">
        <f t="shared" ref="AE122" si="139">SUM(AC122:AC124)</f>
        <v>74</v>
      </c>
      <c r="AF122" s="235">
        <f t="shared" ref="AF122" si="140">SUM(AD122:AD124)</f>
        <v>0</v>
      </c>
      <c r="AG122" s="236">
        <f t="shared" ref="AG122" si="141">IF(AE122&gt;75,2,IF(AE122&gt;=30,1,"-"))</f>
        <v>1</v>
      </c>
      <c r="AH122" s="236" t="str">
        <f t="shared" ref="AH122" si="142">IF(AF122&gt;75,2,IF(AF122&gt;=30,1,"-"))</f>
        <v>-</v>
      </c>
      <c r="AI122" s="193"/>
      <c r="AJ122" s="237" t="str">
        <f>IF(AND(AG122=2,H122="Casi seguro"),Hoja1!$J$5,IF(AND(AG122=2,H122="Posible"),Hoja1!$J$6,IF(AND(H122="Improbable",AG122=2),Hoja1!J69,IF(AND(AG122=1,H122="Casi seguro"),Hoja1!$J$4,IF(AND(AG122=1,H122="Posible"),Hoja1!$J$5,IF(AND(AG122=1,H122="Improbable"),Hoja1!$J$6,'FT-Mapa de riesgos'!H122))))))</f>
        <v>Probable</v>
      </c>
      <c r="AK122" s="237" t="str">
        <f>IF(AND(AH122=2,I122="Catastrofico"),Hoja1!$K$5,IF(AND(AH122=2,I122="Mayor"),Hoja1!$K$6,IF(AND(AH122=2,I122="Moderado"),Hoja1!$K$7,IF(AND(AH122=1,I122="Catastrofico"),Hoja1!$K$4,IF(AND(AH122=1,I122="Mayor "),Hoja1!$K$5,IF(AND(AH122=1,I122="Moderado"),Hoja1!$K$6,IF(AND(AH122=2,I122="Menor"),Hoja1!$K$7,'FT-Mapa de riesgos'!I122)))))))</f>
        <v>Moderado</v>
      </c>
      <c r="AL122" s="238" t="str">
        <f>IF(ISERROR(VLOOKUP(AJ122&amp;AK122,Hoja1!$C$1:$F$25,4,0)),"",(VLOOKUP(AJ122&amp;AK122,Hoja1!$C$1:$F$25,4,0)))</f>
        <v>Alto</v>
      </c>
      <c r="AM122" s="233"/>
    </row>
    <row r="123" spans="1:39" ht="276.75" customHeight="1" x14ac:dyDescent="0.4">
      <c r="A123" s="191"/>
      <c r="B123" s="245"/>
      <c r="C123" s="244"/>
      <c r="D123" s="244"/>
      <c r="E123" s="244"/>
      <c r="F123" s="195" t="s">
        <v>608</v>
      </c>
      <c r="G123" s="244"/>
      <c r="H123" s="239"/>
      <c r="I123" s="240"/>
      <c r="J123" s="238"/>
      <c r="K123" s="185" t="s">
        <v>85</v>
      </c>
      <c r="L123" s="234"/>
      <c r="M123" s="195" t="s">
        <v>622</v>
      </c>
      <c r="N123" s="195" t="s">
        <v>623</v>
      </c>
      <c r="O123" s="195" t="s">
        <v>624</v>
      </c>
      <c r="P123" s="188" t="s">
        <v>22</v>
      </c>
      <c r="Q123" s="188" t="s">
        <v>42</v>
      </c>
      <c r="R123" s="188" t="str">
        <f t="shared" si="8"/>
        <v>N/A</v>
      </c>
      <c r="S123" s="188" t="s">
        <v>41</v>
      </c>
      <c r="T123" s="189" t="s">
        <v>638</v>
      </c>
      <c r="U123" s="188" t="s">
        <v>41</v>
      </c>
      <c r="V123" s="188" t="s">
        <v>72</v>
      </c>
      <c r="W123" s="188" t="s">
        <v>101</v>
      </c>
      <c r="X123" s="190" t="s">
        <v>102</v>
      </c>
      <c r="Y123" s="189" t="s">
        <v>108</v>
      </c>
      <c r="Z123" s="188" t="s">
        <v>41</v>
      </c>
      <c r="AA123" s="189" t="s">
        <v>647</v>
      </c>
      <c r="AB123" s="183">
        <f t="shared" si="136"/>
        <v>68</v>
      </c>
      <c r="AC123" s="184">
        <f t="shared" ref="AC123" si="143">IF(AND(L122=2,P123="Probabilidad",AB123&gt;=75),50,IF(AND(P123="Probabilidad",L122=2,AB123&gt;=50),37,IF(AND(P123="Probabilidad",L122=2,AB123&gt;=25),25,IF(AND(P123="Probabilidad",L122=2,AB123&gt;10),12,IF(AND(L122=1,P123="Probabilidad",AB123&gt;=75),100,IF(AND(P123="Probabilidad",L122=1,AB123&gt;=50),75,IF(AND(P123="Probabilidad",L122=1,AB123&gt;=25),50,IF(AND(P123="Probabilidad",L122=1,AB123&gt;10),25,IF(AND(P123="Probabilidad",L122=3,AB123&gt;=75),33.3,IF(AND(P123="Probabilidad",L122=3,AB123,AB123&gt;=50),25,IF(AND(P123="Probabilidad",L122=3,AB123&gt;=25),17,IF(AND(P123="Probabilidad",L122=3,AB123&gt;10),8,0))))))))))))</f>
        <v>37</v>
      </c>
      <c r="AD123" s="184">
        <f t="shared" ref="AD123" si="144">IF(AND(L122=2,P123="Impacto",AB123&gt;=75),50,IF(AND(P123="Impacto",L122=2,AB123&gt;=50),37,IF(AND(P123="Impacto",L122=2,AB123&gt;=25),25,IF(AND(P123="Impacto",L122=2,AB123&gt;10),12,IF(AND(L122=1,P123="Impacto",AB123&gt;=75),100,IF(AND(P123="Impacto",L122=1,AB123&gt;=50),75,IF(AND(P123="Impacto",L122=1,AB123&gt;=25),50,IF(AND(P123="Impacto",L122=1,AB123&gt;10),25,IF(AND(P123="Impacto",L122=3,AB123&gt;=75),33.3,IF(AND(P123="Impacto",L122=3,AB123,AB123&gt;=50),25,IF(AND(P123="Impacto",L122=3,AB123&gt;=25),17,IF(AND(P123="Impacto",L122=3,AB123&gt;10),8,0))))))))))))</f>
        <v>0</v>
      </c>
      <c r="AE123" s="235"/>
      <c r="AF123" s="235"/>
      <c r="AG123" s="236"/>
      <c r="AH123" s="236"/>
      <c r="AI123" s="193"/>
      <c r="AJ123" s="237"/>
      <c r="AK123" s="237"/>
      <c r="AL123" s="238"/>
      <c r="AM123" s="233"/>
    </row>
    <row r="124" spans="1:39" ht="73.5" hidden="1" customHeight="1" x14ac:dyDescent="0.4">
      <c r="A124" s="191"/>
      <c r="B124" s="245"/>
      <c r="C124" s="244"/>
      <c r="D124" s="244"/>
      <c r="E124" s="244"/>
      <c r="F124" s="195"/>
      <c r="G124" s="244"/>
      <c r="H124" s="239"/>
      <c r="I124" s="240"/>
      <c r="J124" s="238"/>
      <c r="K124" s="187"/>
      <c r="L124" s="234"/>
      <c r="M124" s="212"/>
      <c r="N124" s="212"/>
      <c r="O124" s="212"/>
      <c r="P124" s="188"/>
      <c r="Q124" s="188"/>
      <c r="R124" s="188" t="str">
        <f t="shared" si="8"/>
        <v/>
      </c>
      <c r="S124" s="188"/>
      <c r="T124" s="188"/>
      <c r="U124" s="188"/>
      <c r="V124" s="188"/>
      <c r="W124" s="188"/>
      <c r="X124" s="190"/>
      <c r="Y124" s="188"/>
      <c r="Z124" s="188"/>
      <c r="AA124" s="188"/>
      <c r="AB124" s="183">
        <f t="shared" si="136"/>
        <v>0</v>
      </c>
      <c r="AC124" s="184">
        <f t="shared" ref="AC124" si="145">IF(AND(L122=2,P124="Probabilidad",AB124&gt;=75),50,IF(AND(P124="Probabilidad",L122=2,AB124&gt;=50),37,IF(AND(P124="Probabilidad",L122=2,AB124&gt;=25),25,IF(AND(P124="Probabilidad",L122=2,AB124&gt;10),12,IF(AND(L122=1,P124="Probabilidad",AB124&gt;=75),100,IF(AND(P124="Probabilidad",L122=1,AB124&gt;=50),75,IF(AND(P124="Probabilidad",L122=1,AB124&gt;=25),50,IF(AND(P124="Probabilidad",L122=1,AB124&gt;10),25,IF(AND(P124="Probabilidad",L122=3,AB124&gt;=75),33.3,IF(AND(P124="Probabilidad",L122=3,AB124,AB124&gt;=50),25,IF(AND(P124="Probabilidad",L122=3,AB124&gt;=25),17,IF(AND(P124="Probabilidad",L122=3,AB124&gt;10),8,0))))))))))))</f>
        <v>0</v>
      </c>
      <c r="AD124" s="184">
        <f t="shared" ref="AD124" si="146">IF(AND(L122=2,P124="Impacto",AB124&gt;=75),50,IF(AND(P124="Impacto",L122=2,AB124&gt;=50),37,IF(AND(P124="Impacto",L122=2,AB124&gt;=25),25,IF(AND(P124="Impacto",L122=2,AB124&gt;10),12,IF(AND(L122=1,P124="Impacto",AB124&gt;=75),100,IF(AND(P124="Impacto",L122=1,AB124&gt;=50),75,IF(AND(P124="Impacto",L122=1,AB124&gt;=25),50,IF(AND(P124="Impacto",L122=1,AB124&gt;10),25,IF(AND(P124="Impacto",L122=3,AB124&gt;=75),33.3,IF(AND(P124="Impacto",L122=3,AB124,AB124&gt;=50),25,IF(AND(P124="Impacto",L122=3,AB124&gt;=25),17,IF(AND(P124="Impacto",L122=3,AB124&gt;10),8,0))))))))))))</f>
        <v>0</v>
      </c>
      <c r="AE124" s="235"/>
      <c r="AF124" s="235"/>
      <c r="AG124" s="236"/>
      <c r="AH124" s="236"/>
      <c r="AI124" s="193"/>
      <c r="AJ124" s="237"/>
      <c r="AK124" s="237"/>
      <c r="AL124" s="238"/>
      <c r="AM124" s="231"/>
    </row>
    <row r="125" spans="1:39" ht="219.95" customHeight="1" x14ac:dyDescent="0.4">
      <c r="A125" s="191"/>
      <c r="B125" s="245">
        <v>36</v>
      </c>
      <c r="C125" s="244" t="s">
        <v>609</v>
      </c>
      <c r="D125" s="244" t="s">
        <v>610</v>
      </c>
      <c r="E125" s="244" t="s">
        <v>32</v>
      </c>
      <c r="F125" s="195" t="s">
        <v>611</v>
      </c>
      <c r="G125" s="244" t="s">
        <v>612</v>
      </c>
      <c r="H125" s="239" t="s">
        <v>15</v>
      </c>
      <c r="I125" s="240" t="s">
        <v>20</v>
      </c>
      <c r="J125" s="238" t="str">
        <f>IF(ISERROR(VLOOKUP(H125&amp;I125,Hoja1!$C$1:$F$25,4,0)),"",(VLOOKUP(H125&amp;I125,Hoja1!$C$1:$F$25,4,0)))</f>
        <v>Extremo</v>
      </c>
      <c r="K125" s="185" t="s">
        <v>85</v>
      </c>
      <c r="L125" s="234">
        <v>2</v>
      </c>
      <c r="M125" s="195" t="s">
        <v>625</v>
      </c>
      <c r="N125" s="195" t="s">
        <v>626</v>
      </c>
      <c r="O125" s="195" t="s">
        <v>627</v>
      </c>
      <c r="P125" s="188" t="s">
        <v>22</v>
      </c>
      <c r="Q125" s="188" t="s">
        <v>42</v>
      </c>
      <c r="R125" s="188" t="str">
        <f t="shared" si="8"/>
        <v>N/A</v>
      </c>
      <c r="S125" s="188" t="s">
        <v>41</v>
      </c>
      <c r="T125" s="189" t="s">
        <v>639</v>
      </c>
      <c r="U125" s="188" t="s">
        <v>41</v>
      </c>
      <c r="V125" s="188" t="s">
        <v>72</v>
      </c>
      <c r="W125" s="188" t="s">
        <v>101</v>
      </c>
      <c r="X125" s="190" t="s">
        <v>102</v>
      </c>
      <c r="Y125" s="189" t="s">
        <v>108</v>
      </c>
      <c r="Z125" s="188" t="s">
        <v>41</v>
      </c>
      <c r="AA125" s="189" t="s">
        <v>645</v>
      </c>
      <c r="AB125" s="183">
        <f t="shared" si="136"/>
        <v>68</v>
      </c>
      <c r="AC125" s="184">
        <f t="shared" ref="AC125" si="147">IF(AND(L125=2,P125="Probabilidad",AB125&gt;=75),50,IF(AND(P125="Probabilidad",L125=2,AB125&gt;=50),37,IF(AND(P125="Probabilidad",L125=2,AB125&gt;=25),25,IF(AND(P125="Probabilidad",L125=2,AB125&gt;10),12,IF(AND(L125=1,P125="Probabilidad",AB125&gt;=75),100,IF(AND(P125="Probabilidad",L125=1,AB125&gt;=50),75,IF(AND(P125="Probabilidad",L125=1,AB125&gt;=25),50,IF(AND(P125="Probabilidad",L125=1,AB125&gt;10),25,IF(AND(P125="Probabilidad",L125=3,AB125&gt;=75),33.3,IF(AND(P125="Probabilidad",L125=3,AB125,AB125&gt;=50),25,IF(AND(P125="Probabilidad",L125=3,AB125&gt;=25),17,IF(AND(P125="Probabilidad",L125=3,AB125&gt;10),8,0))))))))))))</f>
        <v>37</v>
      </c>
      <c r="AD125" s="184">
        <f t="shared" ref="AD125" si="148">IF(AND(L125=2,P125="Impacto",AB125&gt;=75),50,IF(AND(P125="Impacto",L125=2,AB125&gt;=50),37,IF(AND(P125="Impacto",L125=2,AB125&gt;=25),25,IF(AND(P125="Impacto",L125=2,AB125&gt;10),12,IF(AND(L125=1,P125="Impacto",AB125&gt;=75),100,IF(AND(P125="Impacto",L125=1,AB125&gt;=50),75,IF(AND(P125="Impacto",L125=1,AB125&gt;=25),50,IF(AND(P125="Impacto",L125=1,AB125&gt;10),25,IF(AND(P125="Impacto",L125=3,AB125&gt;=75),33.3,IF(AND(P125="Impacto",L125=3,AB125,AB125&gt;=50),25,IF(AND(P125="Impacto",L125=3,AB125&gt;=25),17,IF(AND(P125="Impacto",L125=3,AB125&gt;10),8,0))))))))))))</f>
        <v>0</v>
      </c>
      <c r="AE125" s="235">
        <f t="shared" ref="AE125" si="149">SUM(AC125:AC127)</f>
        <v>74</v>
      </c>
      <c r="AF125" s="235">
        <f t="shared" ref="AF125" si="150">SUM(AD125:AD127)</f>
        <v>0</v>
      </c>
      <c r="AG125" s="236">
        <f t="shared" ref="AG125" si="151">IF(AE125&gt;75,2,IF(AE125&gt;=30,1,"-"))</f>
        <v>1</v>
      </c>
      <c r="AH125" s="236" t="str">
        <f t="shared" ref="AH125" si="152">IF(AF125&gt;75,2,IF(AF125&gt;=30,1,"-"))</f>
        <v>-</v>
      </c>
      <c r="AI125" s="193"/>
      <c r="AJ125" s="237" t="str">
        <f>IF(AND(AG125=2,H125="Casi seguro"),Hoja1!$J$5,IF(AND(AG125=2,H125="Posible"),Hoja1!$J$6,IF(AND(H125="Improbable",AG125=2),Hoja1!J72,IF(AND(AG125=1,H125="Casi seguro"),Hoja1!$J$4,IF(AND(AG125=1,H125="Posible"),Hoja1!$J$5,IF(AND(AG125=1,H125="Improbable"),Hoja1!$J$6,'FT-Mapa de riesgos'!H125))))))</f>
        <v>Improbable</v>
      </c>
      <c r="AK125" s="237" t="str">
        <f>IF(AND(AH125=2,I125="Catastrofico"),Hoja1!$K$5,IF(AND(AH125=2,I125="Mayor"),Hoja1!$K$6,IF(AND(AH125=2,I125="Moderado"),Hoja1!$K$7,IF(AND(AH125=1,I125="Catastrofico"),Hoja1!$K$4,IF(AND(AH125=1,I125="Mayor "),Hoja1!$K$5,IF(AND(AH125=1,I125="Moderado"),Hoja1!$K$6,IF(AND(AH125=2,I125="Menor"),Hoja1!$K$7,'FT-Mapa de riesgos'!I125)))))))</f>
        <v xml:space="preserve">Mayor </v>
      </c>
      <c r="AL125" s="238" t="str">
        <f>IF(ISERROR(VLOOKUP(AJ125&amp;AK125,Hoja1!$C$1:$F$25,4,0)),"",(VLOOKUP(AJ125&amp;AK125,Hoja1!$C$1:$F$25,4,0)))</f>
        <v>Alto</v>
      </c>
      <c r="AM125" s="233" t="s">
        <v>176</v>
      </c>
    </row>
    <row r="126" spans="1:39" ht="219.95" customHeight="1" x14ac:dyDescent="0.4">
      <c r="A126" s="191"/>
      <c r="B126" s="245"/>
      <c r="C126" s="244"/>
      <c r="D126" s="244"/>
      <c r="E126" s="244"/>
      <c r="F126" s="195" t="s">
        <v>613</v>
      </c>
      <c r="G126" s="244"/>
      <c r="H126" s="239"/>
      <c r="I126" s="240"/>
      <c r="J126" s="238"/>
      <c r="K126" s="185" t="s">
        <v>85</v>
      </c>
      <c r="L126" s="234"/>
      <c r="M126" s="195" t="s">
        <v>628</v>
      </c>
      <c r="N126" s="195" t="s">
        <v>629</v>
      </c>
      <c r="O126" s="195" t="s">
        <v>630</v>
      </c>
      <c r="P126" s="188" t="s">
        <v>22</v>
      </c>
      <c r="Q126" s="188" t="s">
        <v>42</v>
      </c>
      <c r="R126" s="188" t="str">
        <f t="shared" si="8"/>
        <v>N/A</v>
      </c>
      <c r="S126" s="188" t="s">
        <v>41</v>
      </c>
      <c r="T126" s="189" t="s">
        <v>640</v>
      </c>
      <c r="U126" s="188" t="s">
        <v>41</v>
      </c>
      <c r="V126" s="188" t="s">
        <v>73</v>
      </c>
      <c r="W126" s="188" t="s">
        <v>101</v>
      </c>
      <c r="X126" s="190" t="s">
        <v>102</v>
      </c>
      <c r="Y126" s="189" t="s">
        <v>108</v>
      </c>
      <c r="Z126" s="188" t="s">
        <v>41</v>
      </c>
      <c r="AA126" s="189" t="s">
        <v>601</v>
      </c>
      <c r="AB126" s="183">
        <f t="shared" si="136"/>
        <v>68</v>
      </c>
      <c r="AC126" s="184">
        <f t="shared" ref="AC126" si="153">IF(AND(L125=2,P126="Probabilidad",AB126&gt;=75),50,IF(AND(P126="Probabilidad",L125=2,AB126&gt;=50),37,IF(AND(P126="Probabilidad",L125=2,AB126&gt;=25),25,IF(AND(P126="Probabilidad",L125=2,AB126&gt;10),12,IF(AND(L125=1,P126="Probabilidad",AB126&gt;=75),100,IF(AND(P126="Probabilidad",L125=1,AB126&gt;=50),75,IF(AND(P126="Probabilidad",L125=1,AB126&gt;=25),50,IF(AND(P126="Probabilidad",L125=1,AB126&gt;10),25,IF(AND(P126="Probabilidad",L125=3,AB126&gt;=75),33.3,IF(AND(P126="Probabilidad",L125=3,AB126,AB126&gt;=50),25,IF(AND(P126="Probabilidad",L125=3,AB126&gt;=25),17,IF(AND(P126="Probabilidad",L125=3,AB126&gt;10),8,0))))))))))))</f>
        <v>37</v>
      </c>
      <c r="AD126" s="184">
        <f t="shared" ref="AD126" si="154">IF(AND(L125=2,P126="Impacto",AB126&gt;=75),50,IF(AND(P126="Impacto",L125=2,AB126&gt;=50),37,IF(AND(P126="Impacto",L125=2,AB126&gt;=25),25,IF(AND(P126="Impacto",L125=2,AB126&gt;10),12,IF(AND(L125=1,P126="Impacto",AB126&gt;=75),100,IF(AND(P126="Impacto",L125=1,AB126&gt;=50),75,IF(AND(P126="Impacto",L125=1,AB126&gt;=25),50,IF(AND(P126="Impacto",L125=1,AB126&gt;10),25,IF(AND(P126="Impacto",L125=3,AB126&gt;=75),33.3,IF(AND(P126="Impacto",L125=3,AB126,AB126&gt;=50),25,IF(AND(P126="Impacto",L125=3,AB126&gt;=25),17,IF(AND(P126="Impacto",L125=3,AB126&gt;10),8,0))))))))))))</f>
        <v>0</v>
      </c>
      <c r="AE126" s="235"/>
      <c r="AF126" s="235"/>
      <c r="AG126" s="236"/>
      <c r="AH126" s="236"/>
      <c r="AI126" s="193"/>
      <c r="AJ126" s="237"/>
      <c r="AK126" s="237"/>
      <c r="AL126" s="238"/>
      <c r="AM126" s="233"/>
    </row>
    <row r="127" spans="1:39" ht="73.5" hidden="1" customHeight="1" x14ac:dyDescent="0.4">
      <c r="A127" s="191"/>
      <c r="B127" s="245"/>
      <c r="C127" s="244"/>
      <c r="D127" s="244"/>
      <c r="E127" s="244"/>
      <c r="F127" s="195"/>
      <c r="G127" s="244"/>
      <c r="H127" s="239"/>
      <c r="I127" s="240"/>
      <c r="J127" s="238"/>
      <c r="K127" s="187"/>
      <c r="L127" s="234"/>
      <c r="M127" s="212"/>
      <c r="N127" s="212"/>
      <c r="O127" s="212"/>
      <c r="P127" s="188"/>
      <c r="Q127" s="188"/>
      <c r="R127" s="188" t="str">
        <f t="shared" si="8"/>
        <v/>
      </c>
      <c r="S127" s="188"/>
      <c r="T127" s="188"/>
      <c r="U127" s="188"/>
      <c r="V127" s="188"/>
      <c r="W127" s="188"/>
      <c r="X127" s="190"/>
      <c r="Y127" s="188"/>
      <c r="Z127" s="188"/>
      <c r="AA127" s="188"/>
      <c r="AB127" s="183">
        <f t="shared" si="136"/>
        <v>0</v>
      </c>
      <c r="AC127" s="184">
        <f t="shared" ref="AC127" si="155">IF(AND(L125=2,P127="Probabilidad",AB127&gt;=75),50,IF(AND(P127="Probabilidad",L125=2,AB127&gt;=50),37,IF(AND(P127="Probabilidad",L125=2,AB127&gt;=25),25,IF(AND(P127="Probabilidad",L125=2,AB127&gt;10),12,IF(AND(L125=1,P127="Probabilidad",AB127&gt;=75),100,IF(AND(P127="Probabilidad",L125=1,AB127&gt;=50),75,IF(AND(P127="Probabilidad",L125=1,AB127&gt;=25),50,IF(AND(P127="Probabilidad",L125=1,AB127&gt;10),25,IF(AND(P127="Probabilidad",L125=3,AB127&gt;=75),33.3,IF(AND(P127="Probabilidad",L125=3,AB127,AB127&gt;=50),25,IF(AND(P127="Probabilidad",L125=3,AB127&gt;=25),17,IF(AND(P127="Probabilidad",L125=3,AB127&gt;10),8,0))))))))))))</f>
        <v>0</v>
      </c>
      <c r="AD127" s="184">
        <f t="shared" ref="AD127" si="156">IF(AND(L125=2,P127="Impacto",AB127&gt;=75),50,IF(AND(P127="Impacto",L125=2,AB127&gt;=50),37,IF(AND(P127="Impacto",L125=2,AB127&gt;=25),25,IF(AND(P127="Impacto",L125=2,AB127&gt;10),12,IF(AND(L125=1,P127="Impacto",AB127&gt;=75),100,IF(AND(P127="Impacto",L125=1,AB127&gt;=50),75,IF(AND(P127="Impacto",L125=1,AB127&gt;=25),50,IF(AND(P127="Impacto",L125=1,AB127&gt;10),25,IF(AND(P127="Impacto",L125=3,AB127&gt;=75),33.3,IF(AND(P127="Impacto",L125=3,AB127,AB127&gt;=50),25,IF(AND(P127="Impacto",L125=3,AB127&gt;=25),17,IF(AND(P127="Impacto",L125=3,AB127&gt;10),8,0))))))))))))</f>
        <v>0</v>
      </c>
      <c r="AE127" s="235"/>
      <c r="AF127" s="235"/>
      <c r="AG127" s="236"/>
      <c r="AH127" s="236"/>
      <c r="AI127" s="193"/>
      <c r="AJ127" s="237"/>
      <c r="AK127" s="237"/>
      <c r="AL127" s="238"/>
      <c r="AM127" s="233"/>
    </row>
    <row r="128" spans="1:39" ht="219.95" customHeight="1" x14ac:dyDescent="0.4">
      <c r="A128" s="191"/>
      <c r="B128" s="245">
        <v>37</v>
      </c>
      <c r="C128" s="244" t="s">
        <v>614</v>
      </c>
      <c r="D128" s="244" t="s">
        <v>615</v>
      </c>
      <c r="E128" s="244" t="s">
        <v>32</v>
      </c>
      <c r="F128" s="195" t="s">
        <v>616</v>
      </c>
      <c r="G128" s="244" t="s">
        <v>617</v>
      </c>
      <c r="H128" s="239" t="s">
        <v>15</v>
      </c>
      <c r="I128" s="240" t="s">
        <v>18</v>
      </c>
      <c r="J128" s="238" t="str">
        <f>IF(ISERROR(VLOOKUP(H128&amp;I128,Hoja1!$C$1:$F$25,4,0)),"",(VLOOKUP(H128&amp;I128,Hoja1!$C$1:$F$25,4,0)))</f>
        <v>Moderado</v>
      </c>
      <c r="K128" s="185" t="s">
        <v>85</v>
      </c>
      <c r="L128" s="234">
        <v>2</v>
      </c>
      <c r="M128" s="195" t="s">
        <v>631</v>
      </c>
      <c r="N128" s="195" t="s">
        <v>632</v>
      </c>
      <c r="O128" s="195" t="s">
        <v>633</v>
      </c>
      <c r="P128" s="188" t="s">
        <v>22</v>
      </c>
      <c r="Q128" s="188" t="s">
        <v>42</v>
      </c>
      <c r="R128" s="188" t="str">
        <f t="shared" si="8"/>
        <v>N/A</v>
      </c>
      <c r="S128" s="188" t="s">
        <v>41</v>
      </c>
      <c r="T128" s="189" t="s">
        <v>641</v>
      </c>
      <c r="U128" s="188" t="s">
        <v>41</v>
      </c>
      <c r="V128" s="188" t="s">
        <v>91</v>
      </c>
      <c r="W128" s="188" t="s">
        <v>101</v>
      </c>
      <c r="X128" s="190" t="s">
        <v>102</v>
      </c>
      <c r="Y128" s="189" t="s">
        <v>108</v>
      </c>
      <c r="Z128" s="188" t="s">
        <v>41</v>
      </c>
      <c r="AA128" s="189" t="s">
        <v>643</v>
      </c>
      <c r="AB128" s="183">
        <f t="shared" si="136"/>
        <v>68</v>
      </c>
      <c r="AC128" s="184">
        <f t="shared" ref="AC128" si="157">IF(AND(L128=2,P128="Probabilidad",AB128&gt;=75),50,IF(AND(P128="Probabilidad",L128=2,AB128&gt;=50),37,IF(AND(P128="Probabilidad",L128=2,AB128&gt;=25),25,IF(AND(P128="Probabilidad",L128=2,AB128&gt;10),12,IF(AND(L128=1,P128="Probabilidad",AB128&gt;=75),100,IF(AND(P128="Probabilidad",L128=1,AB128&gt;=50),75,IF(AND(P128="Probabilidad",L128=1,AB128&gt;=25),50,IF(AND(P128="Probabilidad",L128=1,AB128&gt;10),25,IF(AND(P128="Probabilidad",L128=3,AB128&gt;=75),33.3,IF(AND(P128="Probabilidad",L128=3,AB128,AB128&gt;=50),25,IF(AND(P128="Probabilidad",L128=3,AB128&gt;=25),17,IF(AND(P128="Probabilidad",L128=3,AB128&gt;10),8,0))))))))))))</f>
        <v>37</v>
      </c>
      <c r="AD128" s="184">
        <f t="shared" ref="AD128" si="158">IF(AND(L128=2,P128="Impacto",AB128&gt;=75),50,IF(AND(P128="Impacto",L128=2,AB128&gt;=50),37,IF(AND(P128="Impacto",L128=2,AB128&gt;=25),25,IF(AND(P128="Impacto",L128=2,AB128&gt;10),12,IF(AND(L128=1,P128="Impacto",AB128&gt;=75),100,IF(AND(P128="Impacto",L128=1,AB128&gt;=50),75,IF(AND(P128="Impacto",L128=1,AB128&gt;=25),50,IF(AND(P128="Impacto",L128=1,AB128&gt;10),25,IF(AND(P128="Impacto",L128=3,AB128&gt;=75),33.3,IF(AND(P128="Impacto",L128=3,AB128,AB128&gt;=50),25,IF(AND(P128="Impacto",L128=3,AB128&gt;=25),17,IF(AND(P128="Impacto",L128=3,AB128&gt;10),8,0))))))))))))</f>
        <v>0</v>
      </c>
      <c r="AE128" s="235">
        <f t="shared" ref="AE128" si="159">SUM(AC128:AC130)</f>
        <v>74</v>
      </c>
      <c r="AF128" s="235">
        <f t="shared" ref="AF128" si="160">SUM(AD128:AD130)</f>
        <v>0</v>
      </c>
      <c r="AG128" s="236">
        <f t="shared" ref="AG128" si="161">IF(AE128&gt;75,2,IF(AE128&gt;=30,1,"-"))</f>
        <v>1</v>
      </c>
      <c r="AH128" s="236" t="str">
        <f t="shared" ref="AH128" si="162">IF(AF128&gt;75,2,IF(AF128&gt;=30,1,"-"))</f>
        <v>-</v>
      </c>
      <c r="AI128" s="193"/>
      <c r="AJ128" s="237" t="str">
        <f>IF(AND(AG128=2,H128="Casi seguro"),Hoja1!$J$5,IF(AND(AG128=2,H128="Posible"),Hoja1!$J$6,IF(AND(H128="Improbable",AG128=2),Hoja1!J75,IF(AND(AG128=1,H128="Casi seguro"),Hoja1!$J$4,IF(AND(AG128=1,H128="Posible"),Hoja1!$J$5,IF(AND(AG128=1,H128="Improbable"),Hoja1!$J$6,'FT-Mapa de riesgos'!H128))))))</f>
        <v>Improbable</v>
      </c>
      <c r="AK128" s="237" t="str">
        <f>IF(AND(AH128=2,I128="Catastrofico"),Hoja1!$K$5,IF(AND(AH128=2,I128="Mayor"),Hoja1!$K$6,IF(AND(AH128=2,I128="Moderado"),Hoja1!$K$7,IF(AND(AH128=1,I128="Catastrofico"),Hoja1!$K$4,IF(AND(AH128=1,I128="Mayor "),Hoja1!$K$5,IF(AND(AH128=1,I128="Moderado"),Hoja1!$K$6,IF(AND(AH128=2,I128="Menor"),Hoja1!$K$7,'FT-Mapa de riesgos'!I128)))))))</f>
        <v>Menor</v>
      </c>
      <c r="AL128" s="238" t="str">
        <f>IF(ISERROR(VLOOKUP(AJ128&amp;AK128,Hoja1!$C$1:$F$25,4,0)),"",(VLOOKUP(AJ128&amp;AK128,Hoja1!$C$1:$F$25,4,0)))</f>
        <v>Bajo</v>
      </c>
      <c r="AM128" s="233"/>
    </row>
    <row r="129" spans="1:39" ht="219.95" customHeight="1" x14ac:dyDescent="0.4">
      <c r="A129" s="191"/>
      <c r="B129" s="245"/>
      <c r="C129" s="244"/>
      <c r="D129" s="244"/>
      <c r="E129" s="244"/>
      <c r="F129" s="195" t="s">
        <v>618</v>
      </c>
      <c r="G129" s="244"/>
      <c r="H129" s="239"/>
      <c r="I129" s="240"/>
      <c r="J129" s="238"/>
      <c r="K129" s="185" t="s">
        <v>85</v>
      </c>
      <c r="L129" s="234"/>
      <c r="M129" s="195" t="s">
        <v>634</v>
      </c>
      <c r="N129" s="195" t="s">
        <v>635</v>
      </c>
      <c r="O129" s="195" t="s">
        <v>636</v>
      </c>
      <c r="P129" s="188" t="s">
        <v>22</v>
      </c>
      <c r="Q129" s="188" t="s">
        <v>42</v>
      </c>
      <c r="R129" s="188" t="str">
        <f t="shared" si="8"/>
        <v>N/A</v>
      </c>
      <c r="S129" s="188" t="s">
        <v>41</v>
      </c>
      <c r="T129" s="189" t="s">
        <v>642</v>
      </c>
      <c r="U129" s="188" t="s">
        <v>41</v>
      </c>
      <c r="V129" s="188" t="s">
        <v>91</v>
      </c>
      <c r="W129" s="188" t="s">
        <v>101</v>
      </c>
      <c r="X129" s="190" t="s">
        <v>102</v>
      </c>
      <c r="Y129" s="189" t="s">
        <v>108</v>
      </c>
      <c r="Z129" s="188" t="s">
        <v>41</v>
      </c>
      <c r="AA129" s="189" t="s">
        <v>644</v>
      </c>
      <c r="AB129" s="183">
        <f t="shared" si="136"/>
        <v>68</v>
      </c>
      <c r="AC129" s="184">
        <f t="shared" ref="AC129" si="163">IF(AND(L128=2,P129="Probabilidad",AB129&gt;=75),50,IF(AND(P129="Probabilidad",L128=2,AB129&gt;=50),37,IF(AND(P129="Probabilidad",L128=2,AB129&gt;=25),25,IF(AND(P129="Probabilidad",L128=2,AB129&gt;10),12,IF(AND(L128=1,P129="Probabilidad",AB129&gt;=75),100,IF(AND(P129="Probabilidad",L128=1,AB129&gt;=50),75,IF(AND(P129="Probabilidad",L128=1,AB129&gt;=25),50,IF(AND(P129="Probabilidad",L128=1,AB129&gt;10),25,IF(AND(P129="Probabilidad",L128=3,AB129&gt;=75),33.3,IF(AND(P129="Probabilidad",L128=3,AB129,AB129&gt;=50),25,IF(AND(P129="Probabilidad",L128=3,AB129&gt;=25),17,IF(AND(P129="Probabilidad",L128=3,AB129&gt;10),8,0))))))))))))</f>
        <v>37</v>
      </c>
      <c r="AD129" s="184">
        <f t="shared" ref="AD129" si="164">IF(AND(L128=2,P129="Impacto",AB129&gt;=75),50,IF(AND(P129="Impacto",L128=2,AB129&gt;=50),37,IF(AND(P129="Impacto",L128=2,AB129&gt;=25),25,IF(AND(P129="Impacto",L128=2,AB129&gt;10),12,IF(AND(L128=1,P129="Impacto",AB129&gt;=75),100,IF(AND(P129="Impacto",L128=1,AB129&gt;=50),75,IF(AND(P129="Impacto",L128=1,AB129&gt;=25),50,IF(AND(P129="Impacto",L128=1,AB129&gt;10),25,IF(AND(P129="Impacto",L128=3,AB129&gt;=75),33.3,IF(AND(P129="Impacto",L128=3,AB129,AB129&gt;=50),25,IF(AND(P129="Impacto",L128=3,AB129&gt;=25),17,IF(AND(P129="Impacto",L128=3,AB129&gt;10),8,0))))))))))))</f>
        <v>0</v>
      </c>
      <c r="AE129" s="235"/>
      <c r="AF129" s="235"/>
      <c r="AG129" s="236"/>
      <c r="AH129" s="236"/>
      <c r="AI129" s="193"/>
      <c r="AJ129" s="237"/>
      <c r="AK129" s="237"/>
      <c r="AL129" s="238"/>
      <c r="AM129" s="233"/>
    </row>
    <row r="130" spans="1:39" ht="73.5" hidden="1" customHeight="1" x14ac:dyDescent="0.4">
      <c r="A130" s="191"/>
      <c r="B130" s="245"/>
      <c r="C130" s="244"/>
      <c r="D130" s="244"/>
      <c r="E130" s="244"/>
      <c r="F130" s="195"/>
      <c r="G130" s="244"/>
      <c r="H130" s="239"/>
      <c r="I130" s="240"/>
      <c r="J130" s="238"/>
      <c r="K130" s="187"/>
      <c r="L130" s="234"/>
      <c r="M130" s="212"/>
      <c r="N130" s="212"/>
      <c r="O130" s="212"/>
      <c r="P130" s="188"/>
      <c r="Q130" s="188"/>
      <c r="R130" s="188" t="str">
        <f t="shared" si="8"/>
        <v/>
      </c>
      <c r="S130" s="188"/>
      <c r="T130" s="188"/>
      <c r="U130" s="188"/>
      <c r="V130" s="188"/>
      <c r="W130" s="188"/>
      <c r="X130" s="190"/>
      <c r="Y130" s="188"/>
      <c r="Z130" s="188"/>
      <c r="AA130" s="188"/>
      <c r="AB130" s="183">
        <f t="shared" si="136"/>
        <v>0</v>
      </c>
      <c r="AC130" s="184">
        <f t="shared" ref="AC130" si="165">IF(AND(L128=2,P130="Probabilidad",AB130&gt;=75),50,IF(AND(P130="Probabilidad",L128=2,AB130&gt;=50),37,IF(AND(P130="Probabilidad",L128=2,AB130&gt;=25),25,IF(AND(P130="Probabilidad",L128=2,AB130&gt;10),12,IF(AND(L128=1,P130="Probabilidad",AB130&gt;=75),100,IF(AND(P130="Probabilidad",L128=1,AB130&gt;=50),75,IF(AND(P130="Probabilidad",L128=1,AB130&gt;=25),50,IF(AND(P130="Probabilidad",L128=1,AB130&gt;10),25,IF(AND(P130="Probabilidad",L128=3,AB130&gt;=75),33.3,IF(AND(P130="Probabilidad",L128=3,AB130,AB130&gt;=50),25,IF(AND(P130="Probabilidad",L128=3,AB130&gt;=25),17,IF(AND(P130="Probabilidad",L128=3,AB130&gt;10),8,0))))))))))))</f>
        <v>0</v>
      </c>
      <c r="AD130" s="184">
        <f t="shared" ref="AD130" si="166">IF(AND(L128=2,P130="Impacto",AB130&gt;=75),50,IF(AND(P130="Impacto",L128=2,AB130&gt;=50),37,IF(AND(P130="Impacto",L128=2,AB130&gt;=25),25,IF(AND(P130="Impacto",L128=2,AB130&gt;10),12,IF(AND(L128=1,P130="Impacto",AB130&gt;=75),100,IF(AND(P130="Impacto",L128=1,AB130&gt;=50),75,IF(AND(P130="Impacto",L128=1,AB130&gt;=25),50,IF(AND(P130="Impacto",L128=1,AB130&gt;10),25,IF(AND(P130="Impacto",L128=3,AB130&gt;=75),33.3,IF(AND(P130="Impacto",L128=3,AB130,AB130&gt;=50),25,IF(AND(P130="Impacto",L128=3,AB130&gt;=25),17,IF(AND(P130="Impacto",L128=3,AB130&gt;10),8,0))))))))))))</f>
        <v>0</v>
      </c>
      <c r="AE130" s="235"/>
      <c r="AF130" s="235"/>
      <c r="AG130" s="236"/>
      <c r="AH130" s="236"/>
      <c r="AI130" s="193"/>
      <c r="AJ130" s="237"/>
      <c r="AK130" s="237"/>
      <c r="AL130" s="238"/>
      <c r="AM130" s="233"/>
    </row>
    <row r="131" spans="1:39" ht="300" customHeight="1" x14ac:dyDescent="0.4">
      <c r="A131" s="191"/>
      <c r="B131" s="245">
        <v>38</v>
      </c>
      <c r="C131" s="251" t="s">
        <v>648</v>
      </c>
      <c r="D131" s="244" t="s">
        <v>649</v>
      </c>
      <c r="E131" s="244" t="s">
        <v>32</v>
      </c>
      <c r="F131" s="195" t="s">
        <v>650</v>
      </c>
      <c r="G131" s="244" t="s">
        <v>651</v>
      </c>
      <c r="H131" s="239" t="s">
        <v>15</v>
      </c>
      <c r="I131" s="240" t="s">
        <v>18</v>
      </c>
      <c r="J131" s="238" t="str">
        <f>IF(ISERROR(VLOOKUP(H131&amp;I131,Hoja1!$C$1:$F$25,4,0)),"",(VLOOKUP(H131&amp;I131,Hoja1!$C$1:$F$25,4,0)))</f>
        <v>Moderado</v>
      </c>
      <c r="K131" s="185" t="s">
        <v>85</v>
      </c>
      <c r="L131" s="234">
        <v>1</v>
      </c>
      <c r="M131" s="195" t="s">
        <v>658</v>
      </c>
      <c r="N131" s="195" t="s">
        <v>659</v>
      </c>
      <c r="O131" s="195" t="s">
        <v>660</v>
      </c>
      <c r="P131" s="188" t="s">
        <v>23</v>
      </c>
      <c r="Q131" s="188" t="s">
        <v>42</v>
      </c>
      <c r="R131" s="188" t="str">
        <f t="shared" si="8"/>
        <v>N/A</v>
      </c>
      <c r="S131" s="188" t="s">
        <v>41</v>
      </c>
      <c r="T131" s="189" t="s">
        <v>673</v>
      </c>
      <c r="U131" s="188" t="s">
        <v>41</v>
      </c>
      <c r="V131" s="188" t="s">
        <v>152</v>
      </c>
      <c r="W131" s="189" t="s">
        <v>167</v>
      </c>
      <c r="X131" s="190" t="s">
        <v>167</v>
      </c>
      <c r="Y131" s="189" t="s">
        <v>108</v>
      </c>
      <c r="Z131" s="188" t="s">
        <v>41</v>
      </c>
      <c r="AA131" s="189" t="s">
        <v>674</v>
      </c>
      <c r="AB131" s="183">
        <f t="shared" ref="AB131:AB136" si="167">SUM(IF(Q131="Si",Q$15,0)+(IF(S131="Si",S$15,0))+IF(U131="Si",U$15,0)+IF(Z131="Si",Z$15,0))</f>
        <v>68</v>
      </c>
      <c r="AC131" s="184">
        <f>IF(AND(L131=2,P131="Probabilidad",AB131&gt;=75),50,IF(AND(P131="Probabilidad",L131=2,AB131&gt;=50),37,IF(AND(P131="Probabilidad",L131=2,AB131&gt;=25),25,IF(AND(P131="Probabilidad",L131=2,AB131&gt;10),12,IF(AND(L131=1,P131="Probabilidad",AB131&gt;=75),100,IF(AND(P131="Probabilidad",L131=1,AB131&gt;=50),75,IF(AND(P131="Probabilidad",L131=1,AB131&gt;=25),50,IF(AND(P131="Probabilidad",L131=1,AB131&gt;10),25,IF(AND(P131="Probabilidad",L131=3,AB131&gt;=75),33.3,IF(AND(P131="Probabilidad",L131=3,AB131,AB131&gt;=50),25,IF(AND(P131="Probabilidad",L131=3,AB131&gt;=25),17,IF(AND(P131="Probabilidad",L131=3,AB131&gt;10),8,0))))))))))))</f>
        <v>0</v>
      </c>
      <c r="AD131" s="184">
        <f t="shared" ref="AD131" si="168">IF(AND(L131=2,P131="Impacto",AB131&gt;=75),50,IF(AND(P131="Impacto",L131=2,AB131&gt;=50),37,IF(AND(P131="Impacto",L131=2,AB131&gt;=25),25,IF(AND(P131="Impacto",L131=2,AB131&gt;10),12,IF(AND(L131=1,P131="Impacto",AB131&gt;=75),100,IF(AND(P131="Impacto",L131=1,AB131&gt;=50),75,IF(AND(P131="Impacto",L131=1,AB131&gt;=25),50,IF(AND(P131="Impacto",L131=1,AB131&gt;10),25,IF(AND(P131="Impacto",L131=3,AB131&gt;=75),33.3,IF(AND(P131="Impacto",L131=3,AB131,AB131&gt;=50),25,IF(AND(P131="Impacto",L131=3,AB131&gt;=25),17,IF(AND(P131="Impacto",L131=3,AB131&gt;10),8,0))))))))))))</f>
        <v>75</v>
      </c>
      <c r="AE131" s="235">
        <f>SUM(AC131:AC133)</f>
        <v>0</v>
      </c>
      <c r="AF131" s="235">
        <f t="shared" ref="AF131" si="169">SUM(AD131:AD133)</f>
        <v>75</v>
      </c>
      <c r="AG131" s="236" t="str">
        <f>IF(AE131&gt;75,2,IF(AE131&gt;=30,1,"-"))</f>
        <v>-</v>
      </c>
      <c r="AH131" s="236">
        <f t="shared" ref="AH131" si="170">IF(AF131&gt;75,2,IF(AF131&gt;=30,1,"-"))</f>
        <v>1</v>
      </c>
      <c r="AI131" s="193"/>
      <c r="AJ131" s="237" t="str">
        <f>IF(AND(AG131=2,H131="Casi seguro"),Hoja1!$J$5,IF(AND(AG131=2,H131="Posible"),Hoja1!$J$6,IF(AND(H131="Improbable",AG131=2),Hoja1!J78,IF(AND(AG131=1,H131="Casi seguro"),Hoja1!$J$4,IF(AND(AG131=1,H131="Posible"),Hoja1!$J$5,IF(AND(AG131=1,H131="Improbable"),Hoja1!$J$6,'FT-Mapa de riesgos'!H131))))))</f>
        <v>Posible</v>
      </c>
      <c r="AK131" s="237" t="str">
        <f>IF(AND(AH131=2,I131="Catastrofico"),Hoja1!$K$5,IF(AND(AH131=2,I131="Mayor"),Hoja1!$K$6,IF(AND(AH131=2,I131="Moderado"),Hoja1!$K$7,IF(AND(AH131=1,I131="Catastrofico"),Hoja1!$K$4,IF(AND(AH131=1,I131="Mayor "),Hoja1!$K$5,IF(AND(AH131=1,I131="Moderado"),Hoja1!$K$6,IF(AND(AH131=2,I131="Menor"),Hoja1!$K$7,'FT-Mapa de riesgos'!I131)))))))</f>
        <v>Menor</v>
      </c>
      <c r="AL131" s="238" t="str">
        <f>IF(ISERROR(VLOOKUP(AJ131&amp;AK131,Hoja1!$C$1:$F$25,4,0)),"",(VLOOKUP(AJ131&amp;AK131,Hoja1!$C$1:$F$25,4,0)))</f>
        <v>Moderado</v>
      </c>
      <c r="AM131" s="233"/>
    </row>
    <row r="132" spans="1:39" ht="73.5" hidden="1" customHeight="1" x14ac:dyDescent="0.4">
      <c r="A132" s="191"/>
      <c r="B132" s="245"/>
      <c r="C132" s="251"/>
      <c r="D132" s="244"/>
      <c r="E132" s="244"/>
      <c r="F132" s="195"/>
      <c r="G132" s="244"/>
      <c r="H132" s="239"/>
      <c r="I132" s="240"/>
      <c r="J132" s="238"/>
      <c r="K132" s="185"/>
      <c r="L132" s="234"/>
      <c r="M132" s="212"/>
      <c r="N132" s="212"/>
      <c r="O132" s="212"/>
      <c r="P132" s="188"/>
      <c r="Q132" s="188"/>
      <c r="R132" s="188" t="str">
        <f t="shared" si="8"/>
        <v/>
      </c>
      <c r="S132" s="188"/>
      <c r="T132" s="188"/>
      <c r="U132" s="188"/>
      <c r="V132" s="188"/>
      <c r="W132" s="188"/>
      <c r="X132" s="190"/>
      <c r="Y132" s="188"/>
      <c r="Z132" s="188"/>
      <c r="AA132" s="188"/>
      <c r="AB132" s="183">
        <f t="shared" si="167"/>
        <v>0</v>
      </c>
      <c r="AC132" s="184">
        <f t="shared" ref="AC132" si="171">IF(AND(L131=2,P132="Probabilidad",AB132&gt;=75),50,IF(AND(P132="Probabilidad",L131=2,AB132&gt;=50),37,IF(AND(P132="Probabilidad",L131=2,AB132&gt;=25),25,IF(AND(P132="Probabilidad",L131=2,AB132&gt;10),12,IF(AND(L131=1,P132="Probabilidad",AB132&gt;=75),100,IF(AND(P132="Probabilidad",L131=1,AB132&gt;=50),75,IF(AND(P132="Probabilidad",L131=1,AB132&gt;=25),50,IF(AND(P132="Probabilidad",L131=1,AB132&gt;10),25,IF(AND(P132="Probabilidad",L131=3,AB132&gt;=75),33.3,IF(AND(P132="Probabilidad",L131=3,AB132,AB132&gt;=50),25,IF(AND(P132="Probabilidad",L131=3,AB132&gt;=25),17,IF(AND(P132="Probabilidad",L131=3,AB132&gt;10),8,0))))))))))))</f>
        <v>0</v>
      </c>
      <c r="AD132" s="184">
        <f t="shared" ref="AD132" si="172">IF(AND(L131=2,P132="Impacto",AB132&gt;=75),50,IF(AND(P132="Impacto",L131=2,AB132&gt;=50),37,IF(AND(P132="Impacto",L131=2,AB132&gt;=25),25,IF(AND(P132="Impacto",L131=2,AB132&gt;10),12,IF(AND(L131=1,P132="Impacto",AB132&gt;=75),100,IF(AND(P132="Impacto",L131=1,AB132&gt;=50),75,IF(AND(P132="Impacto",L131=1,AB132&gt;=25),50,IF(AND(P132="Impacto",L131=1,AB132&gt;10),25,IF(AND(P132="Impacto",L131=3,AB132&gt;=75),33.3,IF(AND(P132="Impacto",L131=3,AB132,AB132&gt;=50),25,IF(AND(P132="Impacto",L131=3,AB132&gt;=25),17,IF(AND(P132="Impacto",L131=3,AB132&gt;10),8,0))))))))))))</f>
        <v>0</v>
      </c>
      <c r="AE132" s="235"/>
      <c r="AF132" s="235"/>
      <c r="AG132" s="236"/>
      <c r="AH132" s="236"/>
      <c r="AI132" s="193"/>
      <c r="AJ132" s="237"/>
      <c r="AK132" s="237"/>
      <c r="AL132" s="238"/>
      <c r="AM132" s="233"/>
    </row>
    <row r="133" spans="1:39" ht="73.5" hidden="1" customHeight="1" x14ac:dyDescent="0.4">
      <c r="A133" s="191"/>
      <c r="B133" s="245"/>
      <c r="C133" s="251"/>
      <c r="D133" s="244"/>
      <c r="E133" s="244"/>
      <c r="F133" s="198"/>
      <c r="G133" s="244"/>
      <c r="H133" s="239"/>
      <c r="I133" s="240"/>
      <c r="J133" s="238"/>
      <c r="K133" s="187"/>
      <c r="L133" s="234"/>
      <c r="M133" s="212"/>
      <c r="N133" s="212"/>
      <c r="O133" s="212"/>
      <c r="P133" s="188"/>
      <c r="Q133" s="188"/>
      <c r="R133" s="188" t="str">
        <f t="shared" si="8"/>
        <v/>
      </c>
      <c r="S133" s="188"/>
      <c r="T133" s="188"/>
      <c r="U133" s="188"/>
      <c r="V133" s="188"/>
      <c r="W133" s="188"/>
      <c r="X133" s="190"/>
      <c r="Y133" s="188"/>
      <c r="Z133" s="188"/>
      <c r="AA133" s="188"/>
      <c r="AB133" s="183">
        <f t="shared" si="167"/>
        <v>0</v>
      </c>
      <c r="AC133" s="184">
        <f t="shared" ref="AC133" si="173">IF(AND(L131=2,P133="Probabilidad",AB133&gt;=75),50,IF(AND(P133="Probabilidad",L131=2,AB133&gt;=50),37,IF(AND(P133="Probabilidad",L131=2,AB133&gt;=25),25,IF(AND(P133="Probabilidad",L131=2,AB133&gt;10),12,IF(AND(L131=1,P133="Probabilidad",AB133&gt;=75),100,IF(AND(P133="Probabilidad",L131=1,AB133&gt;=50),75,IF(AND(P133="Probabilidad",L131=1,AB133&gt;=25),50,IF(AND(P133="Probabilidad",L131=1,AB133&gt;10),25,IF(AND(P133="Probabilidad",L131=3,AB133&gt;=75),33.3,IF(AND(P133="Probabilidad",L131=3,AB133,AB133&gt;=50),25,IF(AND(P133="Probabilidad",L131=3,AB133&gt;=25),17,IF(AND(P133="Probabilidad",L131=3,AB133&gt;10),8,0))))))))))))</f>
        <v>0</v>
      </c>
      <c r="AD133" s="184">
        <f t="shared" ref="AD133" si="174">IF(AND(L131=2,P133="Impacto",AB133&gt;=75),50,IF(AND(P133="Impacto",L131=2,AB133&gt;=50),37,IF(AND(P133="Impacto",L131=2,AB133&gt;=25),25,IF(AND(P133="Impacto",L131=2,AB133&gt;10),12,IF(AND(L131=1,P133="Impacto",AB133&gt;=75),100,IF(AND(P133="Impacto",L131=1,AB133&gt;=50),75,IF(AND(P133="Impacto",L131=1,AB133&gt;=25),50,IF(AND(P133="Impacto",L131=1,AB133&gt;10),25,IF(AND(P133="Impacto",L131=3,AB133&gt;=75),33.3,IF(AND(P133="Impacto",L131=3,AB133,AB133&gt;=50),25,IF(AND(P133="Impacto",L131=3,AB133&gt;=25),17,IF(AND(P133="Impacto",L131=3,AB133&gt;10),8,0))))))))))))</f>
        <v>0</v>
      </c>
      <c r="AE133" s="235"/>
      <c r="AF133" s="235"/>
      <c r="AG133" s="236"/>
      <c r="AH133" s="236"/>
      <c r="AI133" s="193"/>
      <c r="AJ133" s="237"/>
      <c r="AK133" s="237"/>
      <c r="AL133" s="238"/>
      <c r="AM133" s="233"/>
    </row>
    <row r="134" spans="1:39" ht="300" customHeight="1" x14ac:dyDescent="0.4">
      <c r="A134" s="191"/>
      <c r="B134" s="245">
        <v>39</v>
      </c>
      <c r="C134" s="244" t="s">
        <v>652</v>
      </c>
      <c r="D134" s="244" t="s">
        <v>653</v>
      </c>
      <c r="E134" s="244" t="s">
        <v>32</v>
      </c>
      <c r="F134" s="195" t="s">
        <v>654</v>
      </c>
      <c r="G134" s="244" t="s">
        <v>655</v>
      </c>
      <c r="H134" s="239" t="s">
        <v>31</v>
      </c>
      <c r="I134" s="240" t="s">
        <v>21</v>
      </c>
      <c r="J134" s="238" t="str">
        <f>IF(ISERROR(VLOOKUP(H134&amp;I134,Hoja1!$C$1:$F$25,4,0)),"",(VLOOKUP(H134&amp;I134,Hoja1!$C$1:$F$25,4,0)))</f>
        <v>Extremo</v>
      </c>
      <c r="K134" s="185" t="s">
        <v>86</v>
      </c>
      <c r="L134" s="234">
        <v>3</v>
      </c>
      <c r="M134" s="195" t="s">
        <v>661</v>
      </c>
      <c r="N134" s="195" t="s">
        <v>662</v>
      </c>
      <c r="O134" s="195" t="s">
        <v>663</v>
      </c>
      <c r="P134" s="188" t="s">
        <v>22</v>
      </c>
      <c r="Q134" s="188" t="s">
        <v>42</v>
      </c>
      <c r="R134" s="188" t="str">
        <f t="shared" si="8"/>
        <v>N/A</v>
      </c>
      <c r="S134" s="188" t="s">
        <v>41</v>
      </c>
      <c r="T134" s="189" t="s">
        <v>670</v>
      </c>
      <c r="U134" s="188" t="s">
        <v>41</v>
      </c>
      <c r="V134" s="188" t="s">
        <v>72</v>
      </c>
      <c r="W134" s="188" t="s">
        <v>101</v>
      </c>
      <c r="X134" s="190" t="s">
        <v>102</v>
      </c>
      <c r="Y134" s="189" t="s">
        <v>108</v>
      </c>
      <c r="Z134" s="188" t="s">
        <v>41</v>
      </c>
      <c r="AA134" s="189" t="s">
        <v>675</v>
      </c>
      <c r="AB134" s="183">
        <f t="shared" si="167"/>
        <v>68</v>
      </c>
      <c r="AC134" s="184">
        <f t="shared" ref="AC134" si="175">IF(AND(L134=2,P134="Probabilidad",AB134&gt;=75),50,IF(AND(P134="Probabilidad",L134=2,AB134&gt;=50),37,IF(AND(P134="Probabilidad",L134=2,AB134&gt;=25),25,IF(AND(P134="Probabilidad",L134=2,AB134&gt;10),12,IF(AND(L134=1,P134="Probabilidad",AB134&gt;=75),100,IF(AND(P134="Probabilidad",L134=1,AB134&gt;=50),75,IF(AND(P134="Probabilidad",L134=1,AB134&gt;=25),50,IF(AND(P134="Probabilidad",L134=1,AB134&gt;10),25,IF(AND(P134="Probabilidad",L134=3,AB134&gt;=75),33.3,IF(AND(P134="Probabilidad",L134=3,AB134,AB134&gt;=50),25,IF(AND(P134="Probabilidad",L134=3,AB134&gt;=25),17,IF(AND(P134="Probabilidad",L134=3,AB134&gt;10),8,0))))))))))))</f>
        <v>25</v>
      </c>
      <c r="AD134" s="184">
        <f t="shared" ref="AD134" si="176">IF(AND(L134=2,P134="Impacto",AB134&gt;=75),50,IF(AND(P134="Impacto",L134=2,AB134&gt;=50),37,IF(AND(P134="Impacto",L134=2,AB134&gt;=25),25,IF(AND(P134="Impacto",L134=2,AB134&gt;10),12,IF(AND(L134=1,P134="Impacto",AB134&gt;=75),100,IF(AND(P134="Impacto",L134=1,AB134&gt;=50),75,IF(AND(P134="Impacto",L134=1,AB134&gt;=25),50,IF(AND(P134="Impacto",L134=1,AB134&gt;10),25,IF(AND(P134="Impacto",L134=3,AB134&gt;=75),33.3,IF(AND(P134="Impacto",L134=3,AB134,AB134&gt;=50),25,IF(AND(P134="Impacto",L134=3,AB134&gt;=25),17,IF(AND(P134="Impacto",L134=3,AB134&gt;10),8,0))))))))))))</f>
        <v>0</v>
      </c>
      <c r="AE134" s="235">
        <f t="shared" ref="AE134" si="177">SUM(AC134:AC136)</f>
        <v>75</v>
      </c>
      <c r="AF134" s="235">
        <f t="shared" ref="AF134" si="178">SUM(AD134:AD136)</f>
        <v>0</v>
      </c>
      <c r="AG134" s="236">
        <f t="shared" ref="AG134" si="179">IF(AE134&gt;75,2,IF(AE134&gt;=30,1,"-"))</f>
        <v>1</v>
      </c>
      <c r="AH134" s="236" t="str">
        <f t="shared" ref="AH134" si="180">IF(AF134&gt;75,2,IF(AF134&gt;=30,1,"-"))</f>
        <v>-</v>
      </c>
      <c r="AI134" s="193"/>
      <c r="AJ134" s="237" t="str">
        <f>IF(AND(AG134=2,H134="Casi seguro"),Hoja1!$J$5,IF(AND(AG134=2,H134="Posible"),Hoja1!$J$6,IF(AND(H134="Improbable",AG134=2),Hoja1!J81,IF(AND(AG134=1,H134="Casi seguro"),Hoja1!$J$4,IF(AND(AG134=1,H134="Posible"),Hoja1!$J$5,IF(AND(AG134=1,H134="Improbable"),Hoja1!$J$6,'FT-Mapa de riesgos'!H134))))))</f>
        <v>Probable</v>
      </c>
      <c r="AK134" s="237" t="str">
        <f>IF(AND(AH134=2,I134="Catastrofico"),Hoja1!$K$5,IF(AND(AH134=2,I134="Mayor"),Hoja1!$K$6,IF(AND(AH134=2,I134="Moderado"),Hoja1!$K$7,IF(AND(AH134=1,I134="Catastrofico"),Hoja1!$K$4,IF(AND(AH134=1,I134="Mayor "),Hoja1!$K$5,IF(AND(AH134=1,I134="Moderado"),Hoja1!$K$6,IF(AND(AH134=2,I134="Menor"),Hoja1!$K$7,'FT-Mapa de riesgos'!I134)))))))</f>
        <v>Catastrofico</v>
      </c>
      <c r="AL134" s="238" t="str">
        <f>IF(ISERROR(VLOOKUP(AJ134&amp;AK134,Hoja1!$C$1:$F$25,4,0)),"",(VLOOKUP(AJ134&amp;AK134,Hoja1!$C$1:$F$25,4,0)))</f>
        <v>Extremo</v>
      </c>
      <c r="AM134" s="233"/>
    </row>
    <row r="135" spans="1:39" ht="300" customHeight="1" x14ac:dyDescent="0.4">
      <c r="A135" s="191"/>
      <c r="B135" s="245"/>
      <c r="C135" s="244"/>
      <c r="D135" s="244"/>
      <c r="E135" s="244"/>
      <c r="F135" s="195" t="s">
        <v>656</v>
      </c>
      <c r="G135" s="244"/>
      <c r="H135" s="239"/>
      <c r="I135" s="240"/>
      <c r="J135" s="238"/>
      <c r="K135" s="185" t="s">
        <v>85</v>
      </c>
      <c r="L135" s="234"/>
      <c r="M135" s="195" t="s">
        <v>664</v>
      </c>
      <c r="N135" s="195" t="s">
        <v>665</v>
      </c>
      <c r="O135" s="195" t="s">
        <v>666</v>
      </c>
      <c r="P135" s="188" t="s">
        <v>22</v>
      </c>
      <c r="Q135" s="188" t="s">
        <v>42</v>
      </c>
      <c r="R135" s="188" t="str">
        <f t="shared" si="8"/>
        <v>N/A</v>
      </c>
      <c r="S135" s="188" t="s">
        <v>41</v>
      </c>
      <c r="T135" s="189" t="s">
        <v>671</v>
      </c>
      <c r="U135" s="188" t="s">
        <v>41</v>
      </c>
      <c r="V135" s="188" t="s">
        <v>152</v>
      </c>
      <c r="W135" s="188" t="s">
        <v>101</v>
      </c>
      <c r="X135" s="190" t="s">
        <v>167</v>
      </c>
      <c r="Y135" s="189" t="s">
        <v>167</v>
      </c>
      <c r="Z135" s="188" t="s">
        <v>41</v>
      </c>
      <c r="AA135" s="189" t="s">
        <v>676</v>
      </c>
      <c r="AB135" s="183">
        <f t="shared" si="167"/>
        <v>68</v>
      </c>
      <c r="AC135" s="184">
        <f t="shared" ref="AC135" si="181">IF(AND(L134=2,P135="Probabilidad",AB135&gt;=75),50,IF(AND(P135="Probabilidad",L134=2,AB135&gt;=50),37,IF(AND(P135="Probabilidad",L134=2,AB135&gt;=25),25,IF(AND(P135="Probabilidad",L134=2,AB135&gt;10),12,IF(AND(L134=1,P135="Probabilidad",AB135&gt;=75),100,IF(AND(P135="Probabilidad",L134=1,AB135&gt;=50),75,IF(AND(P135="Probabilidad",L134=1,AB135&gt;=25),50,IF(AND(P135="Probabilidad",L134=1,AB135&gt;10),25,IF(AND(P135="Probabilidad",L134=3,AB135&gt;=75),33.3,IF(AND(P135="Probabilidad",L134=3,AB135,AB135&gt;=50),25,IF(AND(P135="Probabilidad",L134=3,AB135&gt;=25),17,IF(AND(P135="Probabilidad",L134=3,AB135&gt;10),8,0))))))))))))</f>
        <v>25</v>
      </c>
      <c r="AD135" s="184">
        <f t="shared" ref="AD135" si="182">IF(AND(L134=2,P135="Impacto",AB135&gt;=75),50,IF(AND(P135="Impacto",L134=2,AB135&gt;=50),37,IF(AND(P135="Impacto",L134=2,AB135&gt;=25),25,IF(AND(P135="Impacto",L134=2,AB135&gt;10),12,IF(AND(L134=1,P135="Impacto",AB135&gt;=75),100,IF(AND(P135="Impacto",L134=1,AB135&gt;=50),75,IF(AND(P135="Impacto",L134=1,AB135&gt;=25),50,IF(AND(P135="Impacto",L134=1,AB135&gt;10),25,IF(AND(P135="Impacto",L134=3,AB135&gt;=75),33.3,IF(AND(P135="Impacto",L134=3,AB135,AB135&gt;=50),25,IF(AND(P135="Impacto",L134=3,AB135&gt;=25),17,IF(AND(P135="Impacto",L134=3,AB135&gt;10),8,0))))))))))))</f>
        <v>0</v>
      </c>
      <c r="AE135" s="235"/>
      <c r="AF135" s="235"/>
      <c r="AG135" s="236"/>
      <c r="AH135" s="236"/>
      <c r="AI135" s="193"/>
      <c r="AJ135" s="237"/>
      <c r="AK135" s="237"/>
      <c r="AL135" s="238"/>
      <c r="AM135" s="233"/>
    </row>
    <row r="136" spans="1:39" ht="300" customHeight="1" x14ac:dyDescent="0.4">
      <c r="A136" s="191"/>
      <c r="B136" s="245"/>
      <c r="C136" s="244"/>
      <c r="D136" s="244"/>
      <c r="E136" s="244"/>
      <c r="F136" s="195" t="s">
        <v>657</v>
      </c>
      <c r="G136" s="244"/>
      <c r="H136" s="239"/>
      <c r="I136" s="240"/>
      <c r="J136" s="238"/>
      <c r="K136" s="185" t="s">
        <v>85</v>
      </c>
      <c r="L136" s="234"/>
      <c r="M136" s="195" t="s">
        <v>667</v>
      </c>
      <c r="N136" s="195" t="s">
        <v>668</v>
      </c>
      <c r="O136" s="195" t="s">
        <v>669</v>
      </c>
      <c r="P136" s="188" t="s">
        <v>22</v>
      </c>
      <c r="Q136" s="188" t="s">
        <v>42</v>
      </c>
      <c r="R136" s="188" t="str">
        <f t="shared" si="8"/>
        <v>N/A</v>
      </c>
      <c r="S136" s="188" t="s">
        <v>41</v>
      </c>
      <c r="T136" s="189" t="s">
        <v>672</v>
      </c>
      <c r="U136" s="188" t="s">
        <v>41</v>
      </c>
      <c r="V136" s="188" t="s">
        <v>140</v>
      </c>
      <c r="W136" s="188" t="s">
        <v>101</v>
      </c>
      <c r="X136" s="190" t="s">
        <v>102</v>
      </c>
      <c r="Y136" s="189" t="s">
        <v>108</v>
      </c>
      <c r="Z136" s="188" t="s">
        <v>41</v>
      </c>
      <c r="AA136" s="189" t="s">
        <v>677</v>
      </c>
      <c r="AB136" s="183">
        <f t="shared" si="167"/>
        <v>68</v>
      </c>
      <c r="AC136" s="184">
        <f t="shared" ref="AC136" si="183">IF(AND(L134=2,P136="Probabilidad",AB136&gt;=75),50,IF(AND(P136="Probabilidad",L134=2,AB136&gt;=50),37,IF(AND(P136="Probabilidad",L134=2,AB136&gt;=25),25,IF(AND(P136="Probabilidad",L134=2,AB136&gt;10),12,IF(AND(L134=1,P136="Probabilidad",AB136&gt;=75),100,IF(AND(P136="Probabilidad",L134=1,AB136&gt;=50),75,IF(AND(P136="Probabilidad",L134=1,AB136&gt;=25),50,IF(AND(P136="Probabilidad",L134=1,AB136&gt;10),25,IF(AND(P136="Probabilidad",L134=3,AB136&gt;=75),33.3,IF(AND(P136="Probabilidad",L134=3,AB136,AB136&gt;=50),25,IF(AND(P136="Probabilidad",L134=3,AB136&gt;=25),17,IF(AND(P136="Probabilidad",L134=3,AB136&gt;10),8,0))))))))))))</f>
        <v>25</v>
      </c>
      <c r="AD136" s="184">
        <f t="shared" ref="AD136" si="184">IF(AND(L134=2,P136="Impacto",AB136&gt;=75),50,IF(AND(P136="Impacto",L134=2,AB136&gt;=50),37,IF(AND(P136="Impacto",L134=2,AB136&gt;=25),25,IF(AND(P136="Impacto",L134=2,AB136&gt;10),12,IF(AND(L134=1,P136="Impacto",AB136&gt;=75),100,IF(AND(P136="Impacto",L134=1,AB136&gt;=50),75,IF(AND(P136="Impacto",L134=1,AB136&gt;=25),50,IF(AND(P136="Impacto",L134=1,AB136&gt;10),25,IF(AND(P136="Impacto",L134=3,AB136&gt;=75),33.3,IF(AND(P136="Impacto",L134=3,AB136,AB136&gt;=50),25,IF(AND(P136="Impacto",L134=3,AB136&gt;=25),17,IF(AND(P136="Impacto",L134=3,AB136&gt;10),8,0))))))))))))</f>
        <v>0</v>
      </c>
      <c r="AE136" s="235"/>
      <c r="AF136" s="235"/>
      <c r="AG136" s="236"/>
      <c r="AH136" s="236"/>
      <c r="AI136" s="193"/>
      <c r="AJ136" s="237"/>
      <c r="AK136" s="237"/>
      <c r="AL136" s="238"/>
      <c r="AM136" s="233"/>
    </row>
    <row r="137" spans="1:39" ht="219.95" customHeight="1" x14ac:dyDescent="0.4">
      <c r="A137" s="191"/>
      <c r="B137" s="245">
        <v>40</v>
      </c>
      <c r="C137" s="241" t="s">
        <v>678</v>
      </c>
      <c r="D137" s="241" t="s">
        <v>679</v>
      </c>
      <c r="E137" s="244" t="s">
        <v>35</v>
      </c>
      <c r="F137" s="195" t="s">
        <v>680</v>
      </c>
      <c r="G137" s="241" t="s">
        <v>681</v>
      </c>
      <c r="H137" s="239" t="s">
        <v>15</v>
      </c>
      <c r="I137" s="240" t="s">
        <v>20</v>
      </c>
      <c r="J137" s="238" t="str">
        <f>IF(ISERROR(VLOOKUP(H137&amp;I137,Hoja1!$C$1:$F$25,4,0)),"",(VLOOKUP(H137&amp;I137,Hoja1!$C$1:$F$25,4,0)))</f>
        <v>Extremo</v>
      </c>
      <c r="K137" s="185" t="s">
        <v>85</v>
      </c>
      <c r="L137" s="234">
        <v>2</v>
      </c>
      <c r="M137" s="195" t="s">
        <v>694</v>
      </c>
      <c r="N137" s="195" t="s">
        <v>695</v>
      </c>
      <c r="O137" s="195" t="s">
        <v>696</v>
      </c>
      <c r="P137" s="188" t="s">
        <v>22</v>
      </c>
      <c r="Q137" s="188" t="s">
        <v>42</v>
      </c>
      <c r="R137" s="188" t="str">
        <f t="shared" si="8"/>
        <v>N/A</v>
      </c>
      <c r="S137" s="188" t="s">
        <v>41</v>
      </c>
      <c r="T137" s="189" t="s">
        <v>716</v>
      </c>
      <c r="U137" s="188" t="s">
        <v>41</v>
      </c>
      <c r="V137" s="188" t="s">
        <v>72</v>
      </c>
      <c r="W137" s="188" t="s">
        <v>101</v>
      </c>
      <c r="X137" s="190" t="s">
        <v>102</v>
      </c>
      <c r="Y137" s="189" t="s">
        <v>108</v>
      </c>
      <c r="Z137" s="188" t="s">
        <v>41</v>
      </c>
      <c r="AA137" s="195" t="s">
        <v>720</v>
      </c>
      <c r="AB137" s="183">
        <f t="shared" ref="AB137:AB145" si="185">SUM(IF(Q137="Si",Q$15,0)+(IF(S137="Si",S$15,0))+IF(U137="Si",U$15,0)+IF(Z137="Si",Z$15,0))</f>
        <v>68</v>
      </c>
      <c r="AC137" s="184">
        <f t="shared" ref="AC137" si="186">IF(AND(L137=2,P137="Probabilidad",AB137&gt;=75),50,IF(AND(P137="Probabilidad",L137=2,AB137&gt;=50),37,IF(AND(P137="Probabilidad",L137=2,AB137&gt;=25),25,IF(AND(P137="Probabilidad",L137=2,AB137&gt;10),12,IF(AND(L137=1,P137="Probabilidad",AB137&gt;=75),100,IF(AND(P137="Probabilidad",L137=1,AB137&gt;=50),75,IF(AND(P137="Probabilidad",L137=1,AB137&gt;=25),50,IF(AND(P137="Probabilidad",L137=1,AB137&gt;10),25,IF(AND(P137="Probabilidad",L137=3,AB137&gt;=75),33.3,IF(AND(P137="Probabilidad",L137=3,AB137,AB137&gt;=50),25,IF(AND(P137="Probabilidad",L137=3,AB137&gt;=25),17,IF(AND(P137="Probabilidad",L137=3,AB137&gt;10),8,0))))))))))))</f>
        <v>37</v>
      </c>
      <c r="AD137" s="184">
        <f t="shared" ref="AD137" si="187">IF(AND(L137=2,P137="Impacto",AB137&gt;=75),50,IF(AND(P137="Impacto",L137=2,AB137&gt;=50),37,IF(AND(P137="Impacto",L137=2,AB137&gt;=25),25,IF(AND(P137="Impacto",L137=2,AB137&gt;10),12,IF(AND(L137=1,P137="Impacto",AB137&gt;=75),100,IF(AND(P137="Impacto",L137=1,AB137&gt;=50),75,IF(AND(P137="Impacto",L137=1,AB137&gt;=25),50,IF(AND(P137="Impacto",L137=1,AB137&gt;10),25,IF(AND(P137="Impacto",L137=3,AB137&gt;=75),33.3,IF(AND(P137="Impacto",L137=3,AB137,AB137&gt;=50),25,IF(AND(P137="Impacto",L137=3,AB137&gt;=25),17,IF(AND(P137="Impacto",L137=3,AB137&gt;10),8,0))))))))))))</f>
        <v>0</v>
      </c>
      <c r="AE137" s="235">
        <f t="shared" ref="AE137" si="188">SUM(AC137:AC139)</f>
        <v>74</v>
      </c>
      <c r="AF137" s="235">
        <f t="shared" ref="AF137" si="189">SUM(AD137:AD139)</f>
        <v>0</v>
      </c>
      <c r="AG137" s="236">
        <f t="shared" ref="AG137" si="190">IF(AE137&gt;75,2,IF(AE137&gt;=30,1,"-"))</f>
        <v>1</v>
      </c>
      <c r="AH137" s="236" t="str">
        <f t="shared" ref="AH137" si="191">IF(AF137&gt;75,2,IF(AF137&gt;=30,1,"-"))</f>
        <v>-</v>
      </c>
      <c r="AI137" s="193"/>
      <c r="AJ137" s="237" t="str">
        <f>IF(AND(AG137=2,H137="Casi seguro"),Hoja1!$J$5,IF(AND(AG137=2,H137="Posible"),Hoja1!$J$6,IF(AND(H137="Improbable",AG137=2),Hoja1!J84,IF(AND(AG137=1,H137="Casi seguro"),Hoja1!$J$4,IF(AND(AG137=1,H137="Posible"),Hoja1!$J$5,IF(AND(AG137=1,H137="Improbable"),Hoja1!$J$6,'FT-Mapa de riesgos'!H137))))))</f>
        <v>Improbable</v>
      </c>
      <c r="AK137" s="237" t="str">
        <f>IF(AND(AH137=2,I137="Catastrofico"),Hoja1!$K$5,IF(AND(AH137=2,I137="Mayor"),Hoja1!$K$6,IF(AND(AH137=2,I137="Moderado"),Hoja1!$K$7,IF(AND(AH137=1,I137="Catastrofico"),Hoja1!$K$4,IF(AND(AH137=1,I137="Mayor "),Hoja1!$K$5,IF(AND(AH137=1,I137="Moderado"),Hoja1!$K$6,IF(AND(AH137=2,I137="Menor"),Hoja1!$K$7,'FT-Mapa de riesgos'!I137)))))))</f>
        <v xml:space="preserve">Mayor </v>
      </c>
      <c r="AL137" s="238" t="str">
        <f>IF(ISERROR(VLOOKUP(AJ137&amp;AK137,Hoja1!$C$1:$F$25,4,0)),"",(VLOOKUP(AJ137&amp;AK137,Hoja1!$C$1:$F$25,4,0)))</f>
        <v>Alto</v>
      </c>
      <c r="AM137" s="233"/>
    </row>
    <row r="138" spans="1:39" ht="219.95" customHeight="1" x14ac:dyDescent="0.4">
      <c r="A138" s="191"/>
      <c r="B138" s="245"/>
      <c r="C138" s="242"/>
      <c r="D138" s="242"/>
      <c r="E138" s="244"/>
      <c r="F138" s="195" t="s">
        <v>682</v>
      </c>
      <c r="G138" s="242"/>
      <c r="H138" s="239"/>
      <c r="I138" s="240"/>
      <c r="J138" s="238"/>
      <c r="K138" s="185" t="s">
        <v>85</v>
      </c>
      <c r="L138" s="234"/>
      <c r="M138" s="195" t="s">
        <v>697</v>
      </c>
      <c r="N138" s="195" t="s">
        <v>698</v>
      </c>
      <c r="O138" s="195" t="s">
        <v>699</v>
      </c>
      <c r="P138" s="188" t="s">
        <v>22</v>
      </c>
      <c r="Q138" s="188" t="s">
        <v>42</v>
      </c>
      <c r="R138" s="188" t="str">
        <f t="shared" si="8"/>
        <v>N/A</v>
      </c>
      <c r="S138" s="188" t="s">
        <v>41</v>
      </c>
      <c r="T138" s="189" t="s">
        <v>716</v>
      </c>
      <c r="U138" s="188" t="s">
        <v>41</v>
      </c>
      <c r="V138" s="188" t="s">
        <v>72</v>
      </c>
      <c r="W138" s="188" t="s">
        <v>101</v>
      </c>
      <c r="X138" s="190" t="s">
        <v>102</v>
      </c>
      <c r="Y138" s="189" t="s">
        <v>108</v>
      </c>
      <c r="Z138" s="188" t="s">
        <v>41</v>
      </c>
      <c r="AA138" s="195" t="s">
        <v>721</v>
      </c>
      <c r="AB138" s="183">
        <f t="shared" si="185"/>
        <v>68</v>
      </c>
      <c r="AC138" s="184">
        <f t="shared" ref="AC138" si="192">IF(AND(L137=2,P138="Probabilidad",AB138&gt;=75),50,IF(AND(P138="Probabilidad",L137=2,AB138&gt;=50),37,IF(AND(P138="Probabilidad",L137=2,AB138&gt;=25),25,IF(AND(P138="Probabilidad",L137=2,AB138&gt;10),12,IF(AND(L137=1,P138="Probabilidad",AB138&gt;=75),100,IF(AND(P138="Probabilidad",L137=1,AB138&gt;=50),75,IF(AND(P138="Probabilidad",L137=1,AB138&gt;=25),50,IF(AND(P138="Probabilidad",L137=1,AB138&gt;10),25,IF(AND(P138="Probabilidad",L137=3,AB138&gt;=75),33.3,IF(AND(P138="Probabilidad",L137=3,AB138,AB138&gt;=50),25,IF(AND(P138="Probabilidad",L137=3,AB138&gt;=25),17,IF(AND(P138="Probabilidad",L137=3,AB138&gt;10),8,0))))))))))))</f>
        <v>37</v>
      </c>
      <c r="AD138" s="184">
        <f t="shared" ref="AD138" si="193">IF(AND(L137=2,P138="Impacto",AB138&gt;=75),50,IF(AND(P138="Impacto",L137=2,AB138&gt;=50),37,IF(AND(P138="Impacto",L137=2,AB138&gt;=25),25,IF(AND(P138="Impacto",L137=2,AB138&gt;10),12,IF(AND(L137=1,P138="Impacto",AB138&gt;=75),100,IF(AND(P138="Impacto",L137=1,AB138&gt;=50),75,IF(AND(P138="Impacto",L137=1,AB138&gt;=25),50,IF(AND(P138="Impacto",L137=1,AB138&gt;10),25,IF(AND(P138="Impacto",L137=3,AB138&gt;=75),33.3,IF(AND(P138="Impacto",L137=3,AB138,AB138&gt;=50),25,IF(AND(P138="Impacto",L137=3,AB138&gt;=25),17,IF(AND(P138="Impacto",L137=3,AB138&gt;10),8,0))))))))))))</f>
        <v>0</v>
      </c>
      <c r="AE138" s="235"/>
      <c r="AF138" s="235"/>
      <c r="AG138" s="236"/>
      <c r="AH138" s="236"/>
      <c r="AI138" s="193"/>
      <c r="AJ138" s="237"/>
      <c r="AK138" s="237"/>
      <c r="AL138" s="238"/>
      <c r="AM138" s="233"/>
    </row>
    <row r="139" spans="1:39" ht="73.5" hidden="1" customHeight="1" x14ac:dyDescent="0.4">
      <c r="A139" s="191"/>
      <c r="B139" s="245"/>
      <c r="C139" s="243"/>
      <c r="D139" s="243"/>
      <c r="E139" s="244"/>
      <c r="F139" s="197"/>
      <c r="G139" s="243"/>
      <c r="H139" s="239"/>
      <c r="I139" s="240"/>
      <c r="J139" s="238"/>
      <c r="K139" s="187"/>
      <c r="L139" s="234"/>
      <c r="M139" s="212"/>
      <c r="N139" s="212"/>
      <c r="O139" s="212"/>
      <c r="P139" s="188"/>
      <c r="Q139" s="188"/>
      <c r="R139" s="188" t="str">
        <f t="shared" si="8"/>
        <v/>
      </c>
      <c r="S139" s="188"/>
      <c r="T139" s="188"/>
      <c r="U139" s="188"/>
      <c r="V139" s="188"/>
      <c r="W139" s="188"/>
      <c r="X139" s="190"/>
      <c r="Y139" s="188"/>
      <c r="Z139" s="188"/>
      <c r="AA139" s="188"/>
      <c r="AB139" s="183">
        <f t="shared" si="185"/>
        <v>0</v>
      </c>
      <c r="AC139" s="184">
        <f t="shared" ref="AC139" si="194">IF(AND(L137=2,P139="Probabilidad",AB139&gt;=75),50,IF(AND(P139="Probabilidad",L137=2,AB139&gt;=50),37,IF(AND(P139="Probabilidad",L137=2,AB139&gt;=25),25,IF(AND(P139="Probabilidad",L137=2,AB139&gt;10),12,IF(AND(L137=1,P139="Probabilidad",AB139&gt;=75),100,IF(AND(P139="Probabilidad",L137=1,AB139&gt;=50),75,IF(AND(P139="Probabilidad",L137=1,AB139&gt;=25),50,IF(AND(P139="Probabilidad",L137=1,AB139&gt;10),25,IF(AND(P139="Probabilidad",L137=3,AB139&gt;=75),33.3,IF(AND(P139="Probabilidad",L137=3,AB139,AB139&gt;=50),25,IF(AND(P139="Probabilidad",L137=3,AB139&gt;=25),17,IF(AND(P139="Probabilidad",L137=3,AB139&gt;10),8,0))))))))))))</f>
        <v>0</v>
      </c>
      <c r="AD139" s="184">
        <f t="shared" ref="AD139" si="195">IF(AND(L137=2,P139="Impacto",AB139&gt;=75),50,IF(AND(P139="Impacto",L137=2,AB139&gt;=50),37,IF(AND(P139="Impacto",L137=2,AB139&gt;=25),25,IF(AND(P139="Impacto",L137=2,AB139&gt;10),12,IF(AND(L137=1,P139="Impacto",AB139&gt;=75),100,IF(AND(P139="Impacto",L137=1,AB139&gt;=50),75,IF(AND(P139="Impacto",L137=1,AB139&gt;=25),50,IF(AND(P139="Impacto",L137=1,AB139&gt;10),25,IF(AND(P139="Impacto",L137=3,AB139&gt;=75),33.3,IF(AND(P139="Impacto",L137=3,AB139,AB139&gt;=50),25,IF(AND(P139="Impacto",L137=3,AB139&gt;=25),17,IF(AND(P139="Impacto",L137=3,AB139&gt;10),8,0))))))))))))</f>
        <v>0</v>
      </c>
      <c r="AE139" s="235"/>
      <c r="AF139" s="235"/>
      <c r="AG139" s="236"/>
      <c r="AH139" s="236"/>
      <c r="AI139" s="193"/>
      <c r="AJ139" s="237"/>
      <c r="AK139" s="237"/>
      <c r="AL139" s="238"/>
      <c r="AM139" s="231"/>
    </row>
    <row r="140" spans="1:39" ht="219.95" customHeight="1" x14ac:dyDescent="0.4">
      <c r="A140" s="191"/>
      <c r="B140" s="245">
        <v>41</v>
      </c>
      <c r="C140" s="241" t="s">
        <v>683</v>
      </c>
      <c r="D140" s="241" t="s">
        <v>684</v>
      </c>
      <c r="E140" s="244" t="s">
        <v>32</v>
      </c>
      <c r="F140" s="195" t="s">
        <v>685</v>
      </c>
      <c r="G140" s="241" t="s">
        <v>686</v>
      </c>
      <c r="H140" s="239" t="s">
        <v>15</v>
      </c>
      <c r="I140" s="240" t="s">
        <v>20</v>
      </c>
      <c r="J140" s="238" t="str">
        <f>IF(ISERROR(VLOOKUP(H140&amp;I140,Hoja1!$C$1:$F$25,4,0)),"",(VLOOKUP(H140&amp;I140,Hoja1!$C$1:$F$25,4,0)))</f>
        <v>Extremo</v>
      </c>
      <c r="K140" s="185" t="s">
        <v>85</v>
      </c>
      <c r="L140" s="234">
        <v>2</v>
      </c>
      <c r="M140" s="195" t="s">
        <v>700</v>
      </c>
      <c r="N140" s="195" t="s">
        <v>701</v>
      </c>
      <c r="O140" s="195" t="s">
        <v>702</v>
      </c>
      <c r="P140" s="188" t="s">
        <v>22</v>
      </c>
      <c r="Q140" s="188" t="s">
        <v>42</v>
      </c>
      <c r="R140" s="188" t="str">
        <f t="shared" si="8"/>
        <v>N/A</v>
      </c>
      <c r="S140" s="188" t="s">
        <v>41</v>
      </c>
      <c r="T140" s="189" t="s">
        <v>717</v>
      </c>
      <c r="U140" s="188" t="s">
        <v>41</v>
      </c>
      <c r="V140" s="188" t="s">
        <v>73</v>
      </c>
      <c r="W140" s="188" t="s">
        <v>101</v>
      </c>
      <c r="X140" s="190" t="s">
        <v>102</v>
      </c>
      <c r="Y140" s="189" t="s">
        <v>108</v>
      </c>
      <c r="Z140" s="188" t="s">
        <v>41</v>
      </c>
      <c r="AA140" s="195" t="s">
        <v>722</v>
      </c>
      <c r="AB140" s="183">
        <f t="shared" si="185"/>
        <v>68</v>
      </c>
      <c r="AC140" s="184">
        <f t="shared" ref="AC140" si="196">IF(AND(L140=2,P140="Probabilidad",AB140&gt;=75),50,IF(AND(P140="Probabilidad",L140=2,AB140&gt;=50),37,IF(AND(P140="Probabilidad",L140=2,AB140&gt;=25),25,IF(AND(P140="Probabilidad",L140=2,AB140&gt;10),12,IF(AND(L140=1,P140="Probabilidad",AB140&gt;=75),100,IF(AND(P140="Probabilidad",L140=1,AB140&gt;=50),75,IF(AND(P140="Probabilidad",L140=1,AB140&gt;=25),50,IF(AND(P140="Probabilidad",L140=1,AB140&gt;10),25,IF(AND(P140="Probabilidad",L140=3,AB140&gt;=75),33.3,IF(AND(P140="Probabilidad",L140=3,AB140,AB140&gt;=50),25,IF(AND(P140="Probabilidad",L140=3,AB140&gt;=25),17,IF(AND(P140="Probabilidad",L140=3,AB140&gt;10),8,0))))))))))))</f>
        <v>37</v>
      </c>
      <c r="AD140" s="184">
        <f t="shared" ref="AD140" si="197">IF(AND(L140=2,P140="Impacto",AB140&gt;=75),50,IF(AND(P140="Impacto",L140=2,AB140&gt;=50),37,IF(AND(P140="Impacto",L140=2,AB140&gt;=25),25,IF(AND(P140="Impacto",L140=2,AB140&gt;10),12,IF(AND(L140=1,P140="Impacto",AB140&gt;=75),100,IF(AND(P140="Impacto",L140=1,AB140&gt;=50),75,IF(AND(P140="Impacto",L140=1,AB140&gt;=25),50,IF(AND(P140="Impacto",L140=1,AB140&gt;10),25,IF(AND(P140="Impacto",L140=3,AB140&gt;=75),33.3,IF(AND(P140="Impacto",L140=3,AB140,AB140&gt;=50),25,IF(AND(P140="Impacto",L140=3,AB140&gt;=25),17,IF(AND(P140="Impacto",L140=3,AB140&gt;10),8,0))))))))))))</f>
        <v>0</v>
      </c>
      <c r="AE140" s="235">
        <f t="shared" ref="AE140" si="198">SUM(AC140:AC142)</f>
        <v>74</v>
      </c>
      <c r="AF140" s="235">
        <f t="shared" ref="AF140" si="199">SUM(AD140:AD142)</f>
        <v>0</v>
      </c>
      <c r="AG140" s="236">
        <f t="shared" ref="AG140" si="200">IF(AE140&gt;75,2,IF(AE140&gt;=30,1,"-"))</f>
        <v>1</v>
      </c>
      <c r="AH140" s="236" t="str">
        <f t="shared" ref="AH140" si="201">IF(AF140&gt;75,2,IF(AF140&gt;=30,1,"-"))</f>
        <v>-</v>
      </c>
      <c r="AI140" s="193"/>
      <c r="AJ140" s="237" t="str">
        <f>IF(AND(AG140=2,H140="Casi seguro"),Hoja1!$J$5,IF(AND(AG140=2,H140="Posible"),Hoja1!$J$6,IF(AND(H140="Improbable",AG140=2),Hoja1!J87,IF(AND(AG140=1,H140="Casi seguro"),Hoja1!$J$4,IF(AND(AG140=1,H140="Posible"),Hoja1!$J$5,IF(AND(AG140=1,H140="Improbable"),Hoja1!$J$6,'FT-Mapa de riesgos'!H140))))))</f>
        <v>Improbable</v>
      </c>
      <c r="AK140" s="237" t="str">
        <f>IF(AND(AH140=2,I140="Catastrofico"),Hoja1!$K$5,IF(AND(AH140=2,I140="Mayor"),Hoja1!$K$6,IF(AND(AH140=2,I140="Moderado"),Hoja1!$K$7,IF(AND(AH140=1,I140="Catastrofico"),Hoja1!$K$4,IF(AND(AH140=1,I140="Mayor "),Hoja1!$K$5,IF(AND(AH140=1,I140="Moderado"),Hoja1!$K$6,IF(AND(AH140=2,I140="Menor"),Hoja1!$K$7,'FT-Mapa de riesgos'!I140)))))))</f>
        <v xml:space="preserve">Mayor </v>
      </c>
      <c r="AL140" s="238" t="str">
        <f>IF(ISERROR(VLOOKUP(AJ140&amp;AK140,Hoja1!$C$1:$F$25,4,0)),"",(VLOOKUP(AJ140&amp;AK140,Hoja1!$C$1:$F$25,4,0)))</f>
        <v>Alto</v>
      </c>
      <c r="AM140" s="233" t="s">
        <v>176</v>
      </c>
    </row>
    <row r="141" spans="1:39" ht="219.95" customHeight="1" x14ac:dyDescent="0.4">
      <c r="A141" s="191"/>
      <c r="B141" s="245"/>
      <c r="C141" s="242"/>
      <c r="D141" s="242"/>
      <c r="E141" s="244"/>
      <c r="F141" s="195" t="s">
        <v>687</v>
      </c>
      <c r="G141" s="242"/>
      <c r="H141" s="239"/>
      <c r="I141" s="240"/>
      <c r="J141" s="238"/>
      <c r="K141" s="185" t="s">
        <v>85</v>
      </c>
      <c r="L141" s="234"/>
      <c r="M141" s="195" t="s">
        <v>703</v>
      </c>
      <c r="N141" s="195" t="s">
        <v>704</v>
      </c>
      <c r="O141" s="195" t="s">
        <v>705</v>
      </c>
      <c r="P141" s="188" t="s">
        <v>22</v>
      </c>
      <c r="Q141" s="188" t="s">
        <v>42</v>
      </c>
      <c r="R141" s="188" t="str">
        <f t="shared" si="8"/>
        <v>N/A</v>
      </c>
      <c r="S141" s="188" t="s">
        <v>41</v>
      </c>
      <c r="T141" s="189" t="s">
        <v>718</v>
      </c>
      <c r="U141" s="188" t="s">
        <v>41</v>
      </c>
      <c r="V141" s="188" t="s">
        <v>73</v>
      </c>
      <c r="W141" s="188" t="s">
        <v>101</v>
      </c>
      <c r="X141" s="190" t="s">
        <v>102</v>
      </c>
      <c r="Y141" s="189" t="s">
        <v>108</v>
      </c>
      <c r="Z141" s="188" t="s">
        <v>41</v>
      </c>
      <c r="AA141" s="195" t="s">
        <v>723</v>
      </c>
      <c r="AB141" s="183">
        <f t="shared" si="185"/>
        <v>68</v>
      </c>
      <c r="AC141" s="184">
        <f t="shared" ref="AC141" si="202">IF(AND(L140=2,P141="Probabilidad",AB141&gt;=75),50,IF(AND(P141="Probabilidad",L140=2,AB141&gt;=50),37,IF(AND(P141="Probabilidad",L140=2,AB141&gt;=25),25,IF(AND(P141="Probabilidad",L140=2,AB141&gt;10),12,IF(AND(L140=1,P141="Probabilidad",AB141&gt;=75),100,IF(AND(P141="Probabilidad",L140=1,AB141&gt;=50),75,IF(AND(P141="Probabilidad",L140=1,AB141&gt;=25),50,IF(AND(P141="Probabilidad",L140=1,AB141&gt;10),25,IF(AND(P141="Probabilidad",L140=3,AB141&gt;=75),33.3,IF(AND(P141="Probabilidad",L140=3,AB141,AB141&gt;=50),25,IF(AND(P141="Probabilidad",L140=3,AB141&gt;=25),17,IF(AND(P141="Probabilidad",L140=3,AB141&gt;10),8,0))))))))))))</f>
        <v>37</v>
      </c>
      <c r="AD141" s="184">
        <f t="shared" ref="AD141" si="203">IF(AND(L140=2,P141="Impacto",AB141&gt;=75),50,IF(AND(P141="Impacto",L140=2,AB141&gt;=50),37,IF(AND(P141="Impacto",L140=2,AB141&gt;=25),25,IF(AND(P141="Impacto",L140=2,AB141&gt;10),12,IF(AND(L140=1,P141="Impacto",AB141&gt;=75),100,IF(AND(P141="Impacto",L140=1,AB141&gt;=50),75,IF(AND(P141="Impacto",L140=1,AB141&gt;=25),50,IF(AND(P141="Impacto",L140=1,AB141&gt;10),25,IF(AND(P141="Impacto",L140=3,AB141&gt;=75),33.3,IF(AND(P141="Impacto",L140=3,AB141,AB141&gt;=50),25,IF(AND(P141="Impacto",L140=3,AB141&gt;=25),17,IF(AND(P141="Impacto",L140=3,AB141&gt;10),8,0))))))))))))</f>
        <v>0</v>
      </c>
      <c r="AE141" s="235"/>
      <c r="AF141" s="235"/>
      <c r="AG141" s="236"/>
      <c r="AH141" s="236"/>
      <c r="AI141" s="193"/>
      <c r="AJ141" s="237"/>
      <c r="AK141" s="237"/>
      <c r="AL141" s="238"/>
      <c r="AM141" s="233"/>
    </row>
    <row r="142" spans="1:39" ht="73.5" hidden="1" customHeight="1" x14ac:dyDescent="0.4">
      <c r="A142" s="191"/>
      <c r="B142" s="245"/>
      <c r="C142" s="243"/>
      <c r="D142" s="243"/>
      <c r="E142" s="244"/>
      <c r="F142" s="197"/>
      <c r="G142" s="243"/>
      <c r="H142" s="239"/>
      <c r="I142" s="240"/>
      <c r="J142" s="238"/>
      <c r="K142" s="187"/>
      <c r="L142" s="234"/>
      <c r="M142" s="212"/>
      <c r="N142" s="212"/>
      <c r="O142" s="212"/>
      <c r="P142" s="188"/>
      <c r="Q142" s="188"/>
      <c r="R142" s="188" t="str">
        <f t="shared" si="8"/>
        <v/>
      </c>
      <c r="S142" s="188"/>
      <c r="T142" s="188"/>
      <c r="U142" s="188"/>
      <c r="V142" s="188"/>
      <c r="W142" s="188"/>
      <c r="X142" s="190"/>
      <c r="Y142" s="188"/>
      <c r="Z142" s="188"/>
      <c r="AA142" s="188"/>
      <c r="AB142" s="183">
        <f t="shared" si="185"/>
        <v>0</v>
      </c>
      <c r="AC142" s="184">
        <f t="shared" ref="AC142" si="204">IF(AND(L140=2,P142="Probabilidad",AB142&gt;=75),50,IF(AND(P142="Probabilidad",L140=2,AB142&gt;=50),37,IF(AND(P142="Probabilidad",L140=2,AB142&gt;=25),25,IF(AND(P142="Probabilidad",L140=2,AB142&gt;10),12,IF(AND(L140=1,P142="Probabilidad",AB142&gt;=75),100,IF(AND(P142="Probabilidad",L140=1,AB142&gt;=50),75,IF(AND(P142="Probabilidad",L140=1,AB142&gt;=25),50,IF(AND(P142="Probabilidad",L140=1,AB142&gt;10),25,IF(AND(P142="Probabilidad",L140=3,AB142&gt;=75),33.3,IF(AND(P142="Probabilidad",L140=3,AB142,AB142&gt;=50),25,IF(AND(P142="Probabilidad",L140=3,AB142&gt;=25),17,IF(AND(P142="Probabilidad",L140=3,AB142&gt;10),8,0))))))))))))</f>
        <v>0</v>
      </c>
      <c r="AD142" s="184">
        <f t="shared" ref="AD142" si="205">IF(AND(L140=2,P142="Impacto",AB142&gt;=75),50,IF(AND(P142="Impacto",L140=2,AB142&gt;=50),37,IF(AND(P142="Impacto",L140=2,AB142&gt;=25),25,IF(AND(P142="Impacto",L140=2,AB142&gt;10),12,IF(AND(L140=1,P142="Impacto",AB142&gt;=75),100,IF(AND(P142="Impacto",L140=1,AB142&gt;=50),75,IF(AND(P142="Impacto",L140=1,AB142&gt;=25),50,IF(AND(P142="Impacto",L140=1,AB142&gt;10),25,IF(AND(P142="Impacto",L140=3,AB142&gt;=75),33.3,IF(AND(P142="Impacto",L140=3,AB142,AB142&gt;=50),25,IF(AND(P142="Impacto",L140=3,AB142&gt;=25),17,IF(AND(P142="Impacto",L140=3,AB142&gt;10),8,0))))))))))))</f>
        <v>0</v>
      </c>
      <c r="AE142" s="235"/>
      <c r="AF142" s="235"/>
      <c r="AG142" s="236"/>
      <c r="AH142" s="236"/>
      <c r="AI142" s="193"/>
      <c r="AJ142" s="237"/>
      <c r="AK142" s="237"/>
      <c r="AL142" s="238"/>
      <c r="AM142" s="233"/>
    </row>
    <row r="143" spans="1:39" ht="300" customHeight="1" x14ac:dyDescent="0.4">
      <c r="A143" s="191"/>
      <c r="B143" s="245">
        <v>42</v>
      </c>
      <c r="C143" s="244" t="s">
        <v>688</v>
      </c>
      <c r="D143" s="249" t="s">
        <v>689</v>
      </c>
      <c r="E143" s="244" t="s">
        <v>35</v>
      </c>
      <c r="F143" s="195" t="s">
        <v>690</v>
      </c>
      <c r="G143" s="249" t="s">
        <v>691</v>
      </c>
      <c r="H143" s="239" t="s">
        <v>15</v>
      </c>
      <c r="I143" s="240" t="s">
        <v>20</v>
      </c>
      <c r="J143" s="238" t="str">
        <f>IF(ISERROR(VLOOKUP(H143&amp;I143,Hoja1!$C$1:$F$25,4,0)),"",(VLOOKUP(H143&amp;I143,Hoja1!$C$1:$F$25,4,0)))</f>
        <v>Extremo</v>
      </c>
      <c r="K143" s="185" t="s">
        <v>85</v>
      </c>
      <c r="L143" s="234">
        <v>3</v>
      </c>
      <c r="M143" s="195" t="s">
        <v>706</v>
      </c>
      <c r="N143" s="195" t="s">
        <v>707</v>
      </c>
      <c r="O143" s="195" t="s">
        <v>708</v>
      </c>
      <c r="P143" s="188" t="s">
        <v>22</v>
      </c>
      <c r="Q143" s="188" t="s">
        <v>41</v>
      </c>
      <c r="R143" s="189" t="s">
        <v>715</v>
      </c>
      <c r="S143" s="188" t="s">
        <v>41</v>
      </c>
      <c r="T143" s="189" t="s">
        <v>719</v>
      </c>
      <c r="U143" s="188" t="s">
        <v>41</v>
      </c>
      <c r="V143" s="188" t="s">
        <v>72</v>
      </c>
      <c r="W143" s="188" t="s">
        <v>101</v>
      </c>
      <c r="X143" s="190" t="s">
        <v>102</v>
      </c>
      <c r="Y143" s="189" t="s">
        <v>108</v>
      </c>
      <c r="Z143" s="188" t="s">
        <v>41</v>
      </c>
      <c r="AA143" s="195" t="s">
        <v>724</v>
      </c>
      <c r="AB143" s="183">
        <f t="shared" si="185"/>
        <v>100</v>
      </c>
      <c r="AC143" s="184">
        <f t="shared" ref="AC143" si="206">IF(AND(L143=2,P143="Probabilidad",AB143&gt;=75),50,IF(AND(P143="Probabilidad",L143=2,AB143&gt;=50),37,IF(AND(P143="Probabilidad",L143=2,AB143&gt;=25),25,IF(AND(P143="Probabilidad",L143=2,AB143&gt;10),12,IF(AND(L143=1,P143="Probabilidad",AB143&gt;=75),100,IF(AND(P143="Probabilidad",L143=1,AB143&gt;=50),75,IF(AND(P143="Probabilidad",L143=1,AB143&gt;=25),50,IF(AND(P143="Probabilidad",L143=1,AB143&gt;10),25,IF(AND(P143="Probabilidad",L143=3,AB143&gt;=75),33.3,IF(AND(P143="Probabilidad",L143=3,AB143,AB143&gt;=50),25,IF(AND(P143="Probabilidad",L143=3,AB143&gt;=25),17,IF(AND(P143="Probabilidad",L143=3,AB143&gt;10),8,0))))))))))))</f>
        <v>33.299999999999997</v>
      </c>
      <c r="AD143" s="184">
        <f t="shared" ref="AD143" si="207">IF(AND(L143=2,P143="Impacto",AB143&gt;=75),50,IF(AND(P143="Impacto",L143=2,AB143&gt;=50),37,IF(AND(P143="Impacto",L143=2,AB143&gt;=25),25,IF(AND(P143="Impacto",L143=2,AB143&gt;10),12,IF(AND(L143=1,P143="Impacto",AB143&gt;=75),100,IF(AND(P143="Impacto",L143=1,AB143&gt;=50),75,IF(AND(P143="Impacto",L143=1,AB143&gt;=25),50,IF(AND(P143="Impacto",L143=1,AB143&gt;10),25,IF(AND(P143="Impacto",L143=3,AB143&gt;=75),33.3,IF(AND(P143="Impacto",L143=3,AB143,AB143&gt;=50),25,IF(AND(P143="Impacto",L143=3,AB143&gt;=25),17,IF(AND(P143="Impacto",L143=3,AB143&gt;10),8,0))))))))))))</f>
        <v>0</v>
      </c>
      <c r="AE143" s="235">
        <f t="shared" ref="AE143" si="208">SUM(AC143:AC145)</f>
        <v>91.6</v>
      </c>
      <c r="AF143" s="235">
        <f t="shared" ref="AF143" si="209">SUM(AD143:AD145)</f>
        <v>0</v>
      </c>
      <c r="AG143" s="236">
        <f t="shared" ref="AG143" si="210">IF(AE143&gt;75,2,IF(AE143&gt;=30,1,"-"))</f>
        <v>2</v>
      </c>
      <c r="AH143" s="236" t="str">
        <f t="shared" ref="AH143" si="211">IF(AF143&gt;75,2,IF(AF143&gt;=30,1,"-"))</f>
        <v>-</v>
      </c>
      <c r="AI143" s="193"/>
      <c r="AJ143" s="237" t="str">
        <f>IF(AND(AG143=2,H143="Casi seguro"),Hoja1!$J$5,IF(AND(AG143=2,H143="Posible"),Hoja1!$J$6,IF(AND(H143="Improbable",AG143=2),Hoja1!J90,IF(AND(AG143=1,H143="Casi seguro"),Hoja1!$J$4,IF(AND(AG143=1,H143="Posible"),Hoja1!$J$5,IF(AND(AG143=1,H143="Improbable"),Hoja1!$J$6,'FT-Mapa de riesgos'!H143))))))</f>
        <v>Rara Vez</v>
      </c>
      <c r="AK143" s="237" t="str">
        <f>IF(AND(AH143=2,I143="Catastrofico"),Hoja1!$K$5,IF(AND(AH143=2,I143="Mayor"),Hoja1!$K$6,IF(AND(AH143=2,I143="Moderado"),Hoja1!$K$7,IF(AND(AH143=1,I143="Catastrofico"),Hoja1!$K$4,IF(AND(AH143=1,I143="Mayor "),Hoja1!$K$5,IF(AND(AH143=1,I143="Moderado"),Hoja1!$K$6,IF(AND(AH143=2,I143="Menor"),Hoja1!$K$7,'FT-Mapa de riesgos'!I143)))))))</f>
        <v xml:space="preserve">Mayor </v>
      </c>
      <c r="AL143" s="238" t="str">
        <f>IF(ISERROR(VLOOKUP(AJ143&amp;AK143,Hoja1!$C$1:$F$25,4,0)),"",(VLOOKUP(AJ143&amp;AK143,Hoja1!$C$1:$F$25,4,0)))</f>
        <v>Alto</v>
      </c>
      <c r="AM143" s="233"/>
    </row>
    <row r="144" spans="1:39" ht="300" customHeight="1" x14ac:dyDescent="0.4">
      <c r="A144" s="191"/>
      <c r="B144" s="245"/>
      <c r="C144" s="244"/>
      <c r="D144" s="249"/>
      <c r="E144" s="244"/>
      <c r="F144" s="195" t="s">
        <v>692</v>
      </c>
      <c r="G144" s="249"/>
      <c r="H144" s="239"/>
      <c r="I144" s="240"/>
      <c r="J144" s="238"/>
      <c r="K144" s="185" t="s">
        <v>85</v>
      </c>
      <c r="L144" s="234"/>
      <c r="M144" s="195" t="s">
        <v>709</v>
      </c>
      <c r="N144" s="195" t="s">
        <v>710</v>
      </c>
      <c r="O144" s="195" t="s">
        <v>711</v>
      </c>
      <c r="P144" s="188" t="s">
        <v>22</v>
      </c>
      <c r="Q144" s="188" t="s">
        <v>42</v>
      </c>
      <c r="R144" s="188" t="str">
        <f t="shared" si="8"/>
        <v>N/A</v>
      </c>
      <c r="S144" s="188" t="s">
        <v>41</v>
      </c>
      <c r="T144" s="189" t="s">
        <v>719</v>
      </c>
      <c r="U144" s="188" t="s">
        <v>41</v>
      </c>
      <c r="V144" s="188" t="s">
        <v>72</v>
      </c>
      <c r="W144" s="188" t="s">
        <v>101</v>
      </c>
      <c r="X144" s="190" t="s">
        <v>102</v>
      </c>
      <c r="Y144" s="189" t="s">
        <v>108</v>
      </c>
      <c r="Z144" s="188" t="s">
        <v>41</v>
      </c>
      <c r="AA144" s="195" t="s">
        <v>725</v>
      </c>
      <c r="AB144" s="183">
        <f t="shared" si="185"/>
        <v>68</v>
      </c>
      <c r="AC144" s="184">
        <f t="shared" ref="AC144" si="212">IF(AND(L143=2,P144="Probabilidad",AB144&gt;=75),50,IF(AND(P144="Probabilidad",L143=2,AB144&gt;=50),37,IF(AND(P144="Probabilidad",L143=2,AB144&gt;=25),25,IF(AND(P144="Probabilidad",L143=2,AB144&gt;10),12,IF(AND(L143=1,P144="Probabilidad",AB144&gt;=75),100,IF(AND(P144="Probabilidad",L143=1,AB144&gt;=50),75,IF(AND(P144="Probabilidad",L143=1,AB144&gt;=25),50,IF(AND(P144="Probabilidad",L143=1,AB144&gt;10),25,IF(AND(P144="Probabilidad",L143=3,AB144&gt;=75),33.3,IF(AND(P144="Probabilidad",L143=3,AB144,AB144&gt;=50),25,IF(AND(P144="Probabilidad",L143=3,AB144&gt;=25),17,IF(AND(P144="Probabilidad",L143=3,AB144&gt;10),8,0))))))))))))</f>
        <v>25</v>
      </c>
      <c r="AD144" s="184">
        <f t="shared" ref="AD144" si="213">IF(AND(L143=2,P144="Impacto",AB144&gt;=75),50,IF(AND(P144="Impacto",L143=2,AB144&gt;=50),37,IF(AND(P144="Impacto",L143=2,AB144&gt;=25),25,IF(AND(P144="Impacto",L143=2,AB144&gt;10),12,IF(AND(L143=1,P144="Impacto",AB144&gt;=75),100,IF(AND(P144="Impacto",L143=1,AB144&gt;=50),75,IF(AND(P144="Impacto",L143=1,AB144&gt;=25),50,IF(AND(P144="Impacto",L143=1,AB144&gt;10),25,IF(AND(P144="Impacto",L143=3,AB144&gt;=75),33.3,IF(AND(P144="Impacto",L143=3,AB144,AB144&gt;=50),25,IF(AND(P144="Impacto",L143=3,AB144&gt;=25),17,IF(AND(P144="Impacto",L143=3,AB144&gt;10),8,0))))))))))))</f>
        <v>0</v>
      </c>
      <c r="AE144" s="235"/>
      <c r="AF144" s="235"/>
      <c r="AG144" s="236"/>
      <c r="AH144" s="236"/>
      <c r="AI144" s="193"/>
      <c r="AJ144" s="237"/>
      <c r="AK144" s="237"/>
      <c r="AL144" s="238"/>
      <c r="AM144" s="233"/>
    </row>
    <row r="145" spans="1:39" ht="300" customHeight="1" x14ac:dyDescent="0.4">
      <c r="A145" s="191"/>
      <c r="B145" s="245"/>
      <c r="C145" s="244"/>
      <c r="D145" s="249"/>
      <c r="E145" s="244"/>
      <c r="F145" s="195" t="s">
        <v>693</v>
      </c>
      <c r="G145" s="249"/>
      <c r="H145" s="239"/>
      <c r="I145" s="240"/>
      <c r="J145" s="238"/>
      <c r="K145" s="185" t="s">
        <v>85</v>
      </c>
      <c r="L145" s="234"/>
      <c r="M145" s="195" t="s">
        <v>712</v>
      </c>
      <c r="N145" s="195" t="s">
        <v>713</v>
      </c>
      <c r="O145" s="195" t="s">
        <v>714</v>
      </c>
      <c r="P145" s="188" t="s">
        <v>22</v>
      </c>
      <c r="Q145" s="188" t="s">
        <v>41</v>
      </c>
      <c r="R145" s="189" t="s">
        <v>715</v>
      </c>
      <c r="S145" s="188" t="s">
        <v>41</v>
      </c>
      <c r="T145" s="189" t="s">
        <v>719</v>
      </c>
      <c r="U145" s="188" t="s">
        <v>41</v>
      </c>
      <c r="V145" s="188" t="s">
        <v>72</v>
      </c>
      <c r="W145" s="188" t="s">
        <v>101</v>
      </c>
      <c r="X145" s="190" t="s">
        <v>102</v>
      </c>
      <c r="Y145" s="189" t="s">
        <v>108</v>
      </c>
      <c r="Z145" s="188" t="s">
        <v>41</v>
      </c>
      <c r="AA145" s="195" t="s">
        <v>726</v>
      </c>
      <c r="AB145" s="183">
        <f t="shared" si="185"/>
        <v>100</v>
      </c>
      <c r="AC145" s="184">
        <f t="shared" ref="AC145" si="214">IF(AND(L143=2,P145="Probabilidad",AB145&gt;=75),50,IF(AND(P145="Probabilidad",L143=2,AB145&gt;=50),37,IF(AND(P145="Probabilidad",L143=2,AB145&gt;=25),25,IF(AND(P145="Probabilidad",L143=2,AB145&gt;10),12,IF(AND(L143=1,P145="Probabilidad",AB145&gt;=75),100,IF(AND(P145="Probabilidad",L143=1,AB145&gt;=50),75,IF(AND(P145="Probabilidad",L143=1,AB145&gt;=25),50,IF(AND(P145="Probabilidad",L143=1,AB145&gt;10),25,IF(AND(P145="Probabilidad",L143=3,AB145&gt;=75),33.3,IF(AND(P145="Probabilidad",L143=3,AB145,AB145&gt;=50),25,IF(AND(P145="Probabilidad",L143=3,AB145&gt;=25),17,IF(AND(P145="Probabilidad",L143=3,AB145&gt;10),8,0))))))))))))</f>
        <v>33.299999999999997</v>
      </c>
      <c r="AD145" s="184">
        <f t="shared" ref="AD145" si="215">IF(AND(L143=2,P145="Impacto",AB145&gt;=75),50,IF(AND(P145="Impacto",L143=2,AB145&gt;=50),37,IF(AND(P145="Impacto",L143=2,AB145&gt;=25),25,IF(AND(P145="Impacto",L143=2,AB145&gt;10),12,IF(AND(L143=1,P145="Impacto",AB145&gt;=75),100,IF(AND(P145="Impacto",L143=1,AB145&gt;=50),75,IF(AND(P145="Impacto",L143=1,AB145&gt;=25),50,IF(AND(P145="Impacto",L143=1,AB145&gt;10),25,IF(AND(P145="Impacto",L143=3,AB145&gt;=75),33.3,IF(AND(P145="Impacto",L143=3,AB145,AB145&gt;=50),25,IF(AND(P145="Impacto",L143=3,AB145&gt;=25),17,IF(AND(P145="Impacto",L143=3,AB145&gt;10),8,0))))))))))))</f>
        <v>0</v>
      </c>
      <c r="AE145" s="235"/>
      <c r="AF145" s="235"/>
      <c r="AG145" s="236"/>
      <c r="AH145" s="236"/>
      <c r="AI145" s="193"/>
      <c r="AJ145" s="237"/>
      <c r="AK145" s="237"/>
      <c r="AL145" s="238"/>
      <c r="AM145" s="233"/>
    </row>
    <row r="146" spans="1:39" ht="300" customHeight="1" x14ac:dyDescent="0.4">
      <c r="A146" s="191"/>
      <c r="B146" s="245">
        <v>43</v>
      </c>
      <c r="C146" s="241" t="s">
        <v>727</v>
      </c>
      <c r="D146" s="241" t="s">
        <v>728</v>
      </c>
      <c r="E146" s="244" t="s">
        <v>33</v>
      </c>
      <c r="F146" s="195" t="s">
        <v>729</v>
      </c>
      <c r="G146" s="241" t="s">
        <v>730</v>
      </c>
      <c r="H146" s="239" t="s">
        <v>15</v>
      </c>
      <c r="I146" s="240" t="s">
        <v>19</v>
      </c>
      <c r="J146" s="238" t="str">
        <f>IF(ISERROR(VLOOKUP(H146&amp;I146,Hoja1!$C$1:$F$25,4,0)),"",(VLOOKUP(H146&amp;I146,Hoja1!$C$1:$F$25,4,0)))</f>
        <v>Alto</v>
      </c>
      <c r="K146" s="185" t="s">
        <v>85</v>
      </c>
      <c r="L146" s="234">
        <v>2</v>
      </c>
      <c r="M146" s="195" t="s">
        <v>736</v>
      </c>
      <c r="N146" s="195" t="s">
        <v>737</v>
      </c>
      <c r="O146" s="195" t="s">
        <v>738</v>
      </c>
      <c r="P146" s="188" t="s">
        <v>22</v>
      </c>
      <c r="Q146" s="188" t="s">
        <v>42</v>
      </c>
      <c r="R146" s="188" t="str">
        <f t="shared" si="8"/>
        <v>N/A</v>
      </c>
      <c r="S146" s="188" t="s">
        <v>41</v>
      </c>
      <c r="T146" s="189" t="s">
        <v>745</v>
      </c>
      <c r="U146" s="188" t="s">
        <v>41</v>
      </c>
      <c r="V146" s="188" t="s">
        <v>72</v>
      </c>
      <c r="W146" s="188" t="s">
        <v>101</v>
      </c>
      <c r="X146" s="190" t="s">
        <v>102</v>
      </c>
      <c r="Y146" s="189" t="s">
        <v>108</v>
      </c>
      <c r="Z146" s="188" t="s">
        <v>41</v>
      </c>
      <c r="AA146" s="195" t="s">
        <v>746</v>
      </c>
      <c r="AB146" s="183">
        <f t="shared" ref="AB146:AB151" si="216">SUM(IF(Q146="Si",Q$15,0)+(IF(S146="Si",S$15,0))+IF(U146="Si",U$15,0)+IF(Z146="Si",Z$15,0))</f>
        <v>68</v>
      </c>
      <c r="AC146" s="184">
        <f t="shared" ref="AC146" si="217">IF(AND(L146=2,P146="Probabilidad",AB146&gt;=75),50,IF(AND(P146="Probabilidad",L146=2,AB146&gt;=50),37,IF(AND(P146="Probabilidad",L146=2,AB146&gt;=25),25,IF(AND(P146="Probabilidad",L146=2,AB146&gt;10),12,IF(AND(L146=1,P146="Probabilidad",AB146&gt;=75),100,IF(AND(P146="Probabilidad",L146=1,AB146&gt;=50),75,IF(AND(P146="Probabilidad",L146=1,AB146&gt;=25),50,IF(AND(P146="Probabilidad",L146=1,AB146&gt;10),25,IF(AND(P146="Probabilidad",L146=3,AB146&gt;=75),33.3,IF(AND(P146="Probabilidad",L146=3,AB146,AB146&gt;=50),25,IF(AND(P146="Probabilidad",L146=3,AB146&gt;=25),17,IF(AND(P146="Probabilidad",L146=3,AB146&gt;10),8,0))))))))))))</f>
        <v>37</v>
      </c>
      <c r="AD146" s="184">
        <f t="shared" ref="AD146" si="218">IF(AND(L146=2,P146="Impacto",AB146&gt;=75),50,IF(AND(P146="Impacto",L146=2,AB146&gt;=50),37,IF(AND(P146="Impacto",L146=2,AB146&gt;=25),25,IF(AND(P146="Impacto",L146=2,AB146&gt;10),12,IF(AND(L146=1,P146="Impacto",AB146&gt;=75),100,IF(AND(P146="Impacto",L146=1,AB146&gt;=50),75,IF(AND(P146="Impacto",L146=1,AB146&gt;=25),50,IF(AND(P146="Impacto",L146=1,AB146&gt;10),25,IF(AND(P146="Impacto",L146=3,AB146&gt;=75),33.3,IF(AND(P146="Impacto",L146=3,AB146,AB146&gt;=50),25,IF(AND(P146="Impacto",L146=3,AB146&gt;=25),17,IF(AND(P146="Impacto",L146=3,AB146&gt;10),8,0))))))))))))</f>
        <v>0</v>
      </c>
      <c r="AE146" s="235">
        <f t="shared" ref="AE146" si="219">SUM(AC146:AC148)</f>
        <v>74</v>
      </c>
      <c r="AF146" s="235">
        <f t="shared" ref="AF146" si="220">SUM(AD146:AD148)</f>
        <v>0</v>
      </c>
      <c r="AG146" s="236">
        <f t="shared" ref="AG146" si="221">IF(AE146&gt;75,2,IF(AE146&gt;=30,1,"-"))</f>
        <v>1</v>
      </c>
      <c r="AH146" s="236" t="str">
        <f t="shared" ref="AH146" si="222">IF(AF146&gt;75,2,IF(AF146&gt;=30,1,"-"))</f>
        <v>-</v>
      </c>
      <c r="AI146" s="193"/>
      <c r="AJ146" s="237" t="str">
        <f>IF(AND(AG146=2,H146="Casi seguro"),Hoja1!$J$5,IF(AND(AG146=2,H146="Posible"),Hoja1!$J$6,IF(AND(H146="Improbable",AG146=2),Hoja1!J93,IF(AND(AG146=1,H146="Casi seguro"),Hoja1!$J$4,IF(AND(AG146=1,H146="Posible"),Hoja1!$J$5,IF(AND(AG146=1,H146="Improbable"),Hoja1!$J$6,'FT-Mapa de riesgos'!H146))))))</f>
        <v>Improbable</v>
      </c>
      <c r="AK146" s="237" t="str">
        <f>IF(AND(AH146=2,I146="Catastrofico"),Hoja1!$K$5,IF(AND(AH146=2,I146="Mayor"),Hoja1!$K$6,IF(AND(AH146=2,I146="Moderado"),Hoja1!$K$7,IF(AND(AH146=1,I146="Catastrofico"),Hoja1!$K$4,IF(AND(AH146=1,I146="Mayor "),Hoja1!$K$5,IF(AND(AH146=1,I146="Moderado"),Hoja1!$K$6,IF(AND(AH146=2,I146="Menor"),Hoja1!$K$7,'FT-Mapa de riesgos'!I146)))))))</f>
        <v>Moderado</v>
      </c>
      <c r="AL146" s="238" t="str">
        <f>IF(ISERROR(VLOOKUP(AJ146&amp;AK146,Hoja1!$C$1:$F$25,4,0)),"",(VLOOKUP(AJ146&amp;AK146,Hoja1!$C$1:$F$25,4,0)))</f>
        <v>Moderado</v>
      </c>
      <c r="AM146" s="233"/>
    </row>
    <row r="147" spans="1:39" ht="300" customHeight="1" x14ac:dyDescent="0.4">
      <c r="A147" s="191"/>
      <c r="B147" s="245"/>
      <c r="C147" s="242"/>
      <c r="D147" s="242"/>
      <c r="E147" s="244"/>
      <c r="F147" s="195" t="s">
        <v>731</v>
      </c>
      <c r="G147" s="242"/>
      <c r="H147" s="239"/>
      <c r="I147" s="240"/>
      <c r="J147" s="238"/>
      <c r="K147" s="185" t="s">
        <v>85</v>
      </c>
      <c r="L147" s="234"/>
      <c r="M147" s="195" t="s">
        <v>739</v>
      </c>
      <c r="N147" s="195" t="s">
        <v>740</v>
      </c>
      <c r="O147" s="195" t="s">
        <v>741</v>
      </c>
      <c r="P147" s="188" t="s">
        <v>22</v>
      </c>
      <c r="Q147" s="188" t="s">
        <v>42</v>
      </c>
      <c r="R147" s="188" t="str">
        <f t="shared" si="8"/>
        <v>N/A</v>
      </c>
      <c r="S147" s="188" t="s">
        <v>41</v>
      </c>
      <c r="T147" s="189" t="s">
        <v>745</v>
      </c>
      <c r="U147" s="188" t="s">
        <v>41</v>
      </c>
      <c r="V147" s="188" t="s">
        <v>72</v>
      </c>
      <c r="W147" s="188" t="s">
        <v>101</v>
      </c>
      <c r="X147" s="190" t="s">
        <v>102</v>
      </c>
      <c r="Y147" s="189" t="s">
        <v>108</v>
      </c>
      <c r="Z147" s="188" t="s">
        <v>41</v>
      </c>
      <c r="AA147" s="195" t="s">
        <v>747</v>
      </c>
      <c r="AB147" s="183">
        <f t="shared" si="216"/>
        <v>68</v>
      </c>
      <c r="AC147" s="184">
        <f t="shared" ref="AC147" si="223">IF(AND(L146=2,P147="Probabilidad",AB147&gt;=75),50,IF(AND(P147="Probabilidad",L146=2,AB147&gt;=50),37,IF(AND(P147="Probabilidad",L146=2,AB147&gt;=25),25,IF(AND(P147="Probabilidad",L146=2,AB147&gt;10),12,IF(AND(L146=1,P147="Probabilidad",AB147&gt;=75),100,IF(AND(P147="Probabilidad",L146=1,AB147&gt;=50),75,IF(AND(P147="Probabilidad",L146=1,AB147&gt;=25),50,IF(AND(P147="Probabilidad",L146=1,AB147&gt;10),25,IF(AND(P147="Probabilidad",L146=3,AB147&gt;=75),33.3,IF(AND(P147="Probabilidad",L146=3,AB147,AB147&gt;=50),25,IF(AND(P147="Probabilidad",L146=3,AB147&gt;=25),17,IF(AND(P147="Probabilidad",L146=3,AB147&gt;10),8,0))))))))))))</f>
        <v>37</v>
      </c>
      <c r="AD147" s="184">
        <f t="shared" ref="AD147" si="224">IF(AND(L146=2,P147="Impacto",AB147&gt;=75),50,IF(AND(P147="Impacto",L146=2,AB147&gt;=50),37,IF(AND(P147="Impacto",L146=2,AB147&gt;=25),25,IF(AND(P147="Impacto",L146=2,AB147&gt;10),12,IF(AND(L146=1,P147="Impacto",AB147&gt;=75),100,IF(AND(P147="Impacto",L146=1,AB147&gt;=50),75,IF(AND(P147="Impacto",L146=1,AB147&gt;=25),50,IF(AND(P147="Impacto",L146=1,AB147&gt;10),25,IF(AND(P147="Impacto",L146=3,AB147&gt;=75),33.3,IF(AND(P147="Impacto",L146=3,AB147,AB147&gt;=50),25,IF(AND(P147="Impacto",L146=3,AB147&gt;=25),17,IF(AND(P147="Impacto",L146=3,AB147&gt;10),8,0))))))))))))</f>
        <v>0</v>
      </c>
      <c r="AE147" s="235"/>
      <c r="AF147" s="235"/>
      <c r="AG147" s="236"/>
      <c r="AH147" s="236"/>
      <c r="AI147" s="193"/>
      <c r="AJ147" s="237"/>
      <c r="AK147" s="237"/>
      <c r="AL147" s="238"/>
      <c r="AM147" s="233"/>
    </row>
    <row r="148" spans="1:39" ht="73.5" hidden="1" customHeight="1" x14ac:dyDescent="0.4">
      <c r="A148" s="191"/>
      <c r="B148" s="245"/>
      <c r="C148" s="243"/>
      <c r="D148" s="243"/>
      <c r="E148" s="244"/>
      <c r="F148" s="197"/>
      <c r="G148" s="243"/>
      <c r="H148" s="239"/>
      <c r="I148" s="240"/>
      <c r="J148" s="238"/>
      <c r="K148" s="187"/>
      <c r="L148" s="234"/>
      <c r="M148" s="212"/>
      <c r="N148" s="212"/>
      <c r="O148" s="212"/>
      <c r="P148" s="188"/>
      <c r="Q148" s="188"/>
      <c r="R148" s="188" t="str">
        <f t="shared" si="8"/>
        <v/>
      </c>
      <c r="S148" s="188"/>
      <c r="T148" s="188"/>
      <c r="U148" s="188"/>
      <c r="V148" s="188"/>
      <c r="W148" s="188"/>
      <c r="X148" s="190"/>
      <c r="Y148" s="188"/>
      <c r="Z148" s="188"/>
      <c r="AA148" s="188"/>
      <c r="AB148" s="183">
        <f t="shared" si="216"/>
        <v>0</v>
      </c>
      <c r="AC148" s="184">
        <f t="shared" ref="AC148" si="225">IF(AND(L146=2,P148="Probabilidad",AB148&gt;=75),50,IF(AND(P148="Probabilidad",L146=2,AB148&gt;=50),37,IF(AND(P148="Probabilidad",L146=2,AB148&gt;=25),25,IF(AND(P148="Probabilidad",L146=2,AB148&gt;10),12,IF(AND(L146=1,P148="Probabilidad",AB148&gt;=75),100,IF(AND(P148="Probabilidad",L146=1,AB148&gt;=50),75,IF(AND(P148="Probabilidad",L146=1,AB148&gt;=25),50,IF(AND(P148="Probabilidad",L146=1,AB148&gt;10),25,IF(AND(P148="Probabilidad",L146=3,AB148&gt;=75),33.3,IF(AND(P148="Probabilidad",L146=3,AB148,AB148&gt;=50),25,IF(AND(P148="Probabilidad",L146=3,AB148&gt;=25),17,IF(AND(P148="Probabilidad",L146=3,AB148&gt;10),8,0))))))))))))</f>
        <v>0</v>
      </c>
      <c r="AD148" s="184">
        <f t="shared" ref="AD148" si="226">IF(AND(L146=2,P148="Impacto",AB148&gt;=75),50,IF(AND(P148="Impacto",L146=2,AB148&gt;=50),37,IF(AND(P148="Impacto",L146=2,AB148&gt;=25),25,IF(AND(P148="Impacto",L146=2,AB148&gt;10),12,IF(AND(L146=1,P148="Impacto",AB148&gt;=75),100,IF(AND(P148="Impacto",L146=1,AB148&gt;=50),75,IF(AND(P148="Impacto",L146=1,AB148&gt;=25),50,IF(AND(P148="Impacto",L146=1,AB148&gt;10),25,IF(AND(P148="Impacto",L146=3,AB148&gt;=75),33.3,IF(AND(P148="Impacto",L146=3,AB148,AB148&gt;=50),25,IF(AND(P148="Impacto",L146=3,AB148&gt;=25),17,IF(AND(P148="Impacto",L146=3,AB148&gt;10),8,0))))))))))))</f>
        <v>0</v>
      </c>
      <c r="AE148" s="235"/>
      <c r="AF148" s="235"/>
      <c r="AG148" s="236"/>
      <c r="AH148" s="236"/>
      <c r="AI148" s="193"/>
      <c r="AJ148" s="237"/>
      <c r="AK148" s="237"/>
      <c r="AL148" s="238"/>
      <c r="AM148" s="233"/>
    </row>
    <row r="149" spans="1:39" ht="361.5" customHeight="1" x14ac:dyDescent="0.4">
      <c r="A149" s="191"/>
      <c r="B149" s="245">
        <v>44</v>
      </c>
      <c r="C149" s="241" t="s">
        <v>732</v>
      </c>
      <c r="D149" s="241" t="s">
        <v>733</v>
      </c>
      <c r="E149" s="244" t="s">
        <v>33</v>
      </c>
      <c r="F149" s="195" t="s">
        <v>734</v>
      </c>
      <c r="G149" s="199" t="s">
        <v>735</v>
      </c>
      <c r="H149" s="239" t="s">
        <v>14</v>
      </c>
      <c r="I149" s="240" t="s">
        <v>21</v>
      </c>
      <c r="J149" s="238" t="str">
        <f>IF(ISERROR(VLOOKUP(H149&amp;I149,Hoja1!$C$1:$F$25,4,0)),"",(VLOOKUP(H149&amp;I149,Hoja1!$C$1:$F$25,4,0)))</f>
        <v>Extremo</v>
      </c>
      <c r="K149" s="185" t="s">
        <v>85</v>
      </c>
      <c r="L149" s="234">
        <v>1</v>
      </c>
      <c r="M149" s="195" t="s">
        <v>742</v>
      </c>
      <c r="N149" s="195" t="s">
        <v>743</v>
      </c>
      <c r="O149" s="195" t="s">
        <v>744</v>
      </c>
      <c r="P149" s="188" t="s">
        <v>22</v>
      </c>
      <c r="Q149" s="188" t="s">
        <v>42</v>
      </c>
      <c r="R149" s="188" t="str">
        <f t="shared" si="8"/>
        <v>N/A</v>
      </c>
      <c r="S149" s="188" t="s">
        <v>41</v>
      </c>
      <c r="T149" s="189" t="s">
        <v>745</v>
      </c>
      <c r="U149" s="188" t="s">
        <v>41</v>
      </c>
      <c r="V149" s="188" t="s">
        <v>72</v>
      </c>
      <c r="W149" s="188" t="s">
        <v>101</v>
      </c>
      <c r="X149" s="190" t="s">
        <v>102</v>
      </c>
      <c r="Y149" s="189" t="s">
        <v>108</v>
      </c>
      <c r="Z149" s="188" t="s">
        <v>41</v>
      </c>
      <c r="AA149" s="195" t="s">
        <v>748</v>
      </c>
      <c r="AB149" s="183">
        <f t="shared" si="216"/>
        <v>68</v>
      </c>
      <c r="AC149" s="184">
        <f t="shared" ref="AC149" si="227">IF(AND(L149=2,P149="Probabilidad",AB149&gt;=75),50,IF(AND(P149="Probabilidad",L149=2,AB149&gt;=50),37,IF(AND(P149="Probabilidad",L149=2,AB149&gt;=25),25,IF(AND(P149="Probabilidad",L149=2,AB149&gt;10),12,IF(AND(L149=1,P149="Probabilidad",AB149&gt;=75),100,IF(AND(P149="Probabilidad",L149=1,AB149&gt;=50),75,IF(AND(P149="Probabilidad",L149=1,AB149&gt;=25),50,IF(AND(P149="Probabilidad",L149=1,AB149&gt;10),25,IF(AND(P149="Probabilidad",L149=3,AB149&gt;=75),33.3,IF(AND(P149="Probabilidad",L149=3,AB149,AB149&gt;=50),25,IF(AND(P149="Probabilidad",L149=3,AB149&gt;=25),17,IF(AND(P149="Probabilidad",L149=3,AB149&gt;10),8,0))))))))))))</f>
        <v>75</v>
      </c>
      <c r="AD149" s="184">
        <f t="shared" ref="AD149" si="228">IF(AND(L149=2,P149="Impacto",AB149&gt;=75),50,IF(AND(P149="Impacto",L149=2,AB149&gt;=50),37,IF(AND(P149="Impacto",L149=2,AB149&gt;=25),25,IF(AND(P149="Impacto",L149=2,AB149&gt;10),12,IF(AND(L149=1,P149="Impacto",AB149&gt;=75),100,IF(AND(P149="Impacto",L149=1,AB149&gt;=50),75,IF(AND(P149="Impacto",L149=1,AB149&gt;=25),50,IF(AND(P149="Impacto",L149=1,AB149&gt;10),25,IF(AND(P149="Impacto",L149=3,AB149&gt;=75),33.3,IF(AND(P149="Impacto",L149=3,AB149,AB149&gt;=50),25,IF(AND(P149="Impacto",L149=3,AB149&gt;=25),17,IF(AND(P149="Impacto",L149=3,AB149&gt;10),8,0))))))))))))</f>
        <v>0</v>
      </c>
      <c r="AE149" s="235">
        <f t="shared" ref="AE149" si="229">SUM(AC149:AC151)</f>
        <v>75</v>
      </c>
      <c r="AF149" s="235">
        <f t="shared" ref="AF149" si="230">SUM(AD149:AD151)</f>
        <v>0</v>
      </c>
      <c r="AG149" s="236">
        <f t="shared" ref="AG149" si="231">IF(AE149&gt;75,2,IF(AE149&gt;=30,1,"-"))</f>
        <v>1</v>
      </c>
      <c r="AH149" s="236" t="str">
        <f t="shared" ref="AH149" si="232">IF(AF149&gt;75,2,IF(AF149&gt;=30,1,"-"))</f>
        <v>-</v>
      </c>
      <c r="AI149" s="193"/>
      <c r="AJ149" s="237" t="str">
        <f>IF(AND(AG149=2,H149="Casi seguro"),Hoja1!$J$5,IF(AND(AG149=2,H149="Posible"),Hoja1!$J$6,IF(AND(H149="Improbable",AG149=2),Hoja1!J96,IF(AND(AG149=1,H149="Casi seguro"),Hoja1!$J$4,IF(AND(AG149=1,H149="Posible"),Hoja1!$J$5,IF(AND(AG149=1,H149="Improbable"),Hoja1!$J$6,'FT-Mapa de riesgos'!H149))))))</f>
        <v>Rara Vez</v>
      </c>
      <c r="AK149" s="237" t="str">
        <f>IF(AND(AH149=2,I149="Catastrofico"),Hoja1!$K$5,IF(AND(AH149=2,I149="Mayor"),Hoja1!$K$6,IF(AND(AH149=2,I149="Moderado"),Hoja1!$K$7,IF(AND(AH149=1,I149="Catastrofico"),Hoja1!$K$4,IF(AND(AH149=1,I149="Mayor "),Hoja1!$K$5,IF(AND(AH149=1,I149="Moderado"),Hoja1!$K$6,IF(AND(AH149=2,I149="Menor"),Hoja1!$K$7,'FT-Mapa de riesgos'!I149)))))))</f>
        <v>Catastrofico</v>
      </c>
      <c r="AL149" s="238" t="str">
        <f>IF(ISERROR(VLOOKUP(AJ149&amp;AK149,Hoja1!$C$1:$F$25,4,0)),"",(VLOOKUP(AJ149&amp;AK149,Hoja1!$C$1:$F$25,4,0)))</f>
        <v>Alto</v>
      </c>
      <c r="AM149" s="233"/>
    </row>
    <row r="150" spans="1:39" ht="73.5" hidden="1" customHeight="1" x14ac:dyDescent="0.4">
      <c r="A150" s="191"/>
      <c r="B150" s="245"/>
      <c r="C150" s="242"/>
      <c r="D150" s="242"/>
      <c r="E150" s="244"/>
      <c r="F150" s="197"/>
      <c r="G150" s="202"/>
      <c r="H150" s="239"/>
      <c r="I150" s="240"/>
      <c r="J150" s="238"/>
      <c r="K150" s="185"/>
      <c r="L150" s="234"/>
      <c r="M150" s="212"/>
      <c r="N150" s="212"/>
      <c r="O150" s="212"/>
      <c r="P150" s="188"/>
      <c r="Q150" s="188"/>
      <c r="R150" s="188" t="str">
        <f t="shared" si="8"/>
        <v/>
      </c>
      <c r="S150" s="188"/>
      <c r="T150" s="188"/>
      <c r="U150" s="188"/>
      <c r="V150" s="188"/>
      <c r="W150" s="188"/>
      <c r="X150" s="190"/>
      <c r="Y150" s="188"/>
      <c r="Z150" s="188"/>
      <c r="AA150" s="188"/>
      <c r="AB150" s="183">
        <f t="shared" si="216"/>
        <v>0</v>
      </c>
      <c r="AC150" s="184">
        <f t="shared" ref="AC150" si="233">IF(AND(L149=2,P150="Probabilidad",AB150&gt;=75),50,IF(AND(P150="Probabilidad",L149=2,AB150&gt;=50),37,IF(AND(P150="Probabilidad",L149=2,AB150&gt;=25),25,IF(AND(P150="Probabilidad",L149=2,AB150&gt;10),12,IF(AND(L149=1,P150="Probabilidad",AB150&gt;=75),100,IF(AND(P150="Probabilidad",L149=1,AB150&gt;=50),75,IF(AND(P150="Probabilidad",L149=1,AB150&gt;=25),50,IF(AND(P150="Probabilidad",L149=1,AB150&gt;10),25,IF(AND(P150="Probabilidad",L149=3,AB150&gt;=75),33.3,IF(AND(P150="Probabilidad",L149=3,AB150,AB150&gt;=50),25,IF(AND(P150="Probabilidad",L149=3,AB150&gt;=25),17,IF(AND(P150="Probabilidad",L149=3,AB150&gt;10),8,0))))))))))))</f>
        <v>0</v>
      </c>
      <c r="AD150" s="184">
        <f t="shared" ref="AD150" si="234">IF(AND(L149=2,P150="Impacto",AB150&gt;=75),50,IF(AND(P150="Impacto",L149=2,AB150&gt;=50),37,IF(AND(P150="Impacto",L149=2,AB150&gt;=25),25,IF(AND(P150="Impacto",L149=2,AB150&gt;10),12,IF(AND(L149=1,P150="Impacto",AB150&gt;=75),100,IF(AND(P150="Impacto",L149=1,AB150&gt;=50),75,IF(AND(P150="Impacto",L149=1,AB150&gt;=25),50,IF(AND(P150="Impacto",L149=1,AB150&gt;10),25,IF(AND(P150="Impacto",L149=3,AB150&gt;=75),33.3,IF(AND(P150="Impacto",L149=3,AB150,AB150&gt;=50),25,IF(AND(P150="Impacto",L149=3,AB150&gt;=25),17,IF(AND(P150="Impacto",L149=3,AB150&gt;10),8,0))))))))))))</f>
        <v>0</v>
      </c>
      <c r="AE150" s="235"/>
      <c r="AF150" s="235"/>
      <c r="AG150" s="236"/>
      <c r="AH150" s="236"/>
      <c r="AI150" s="193"/>
      <c r="AJ150" s="237"/>
      <c r="AK150" s="237"/>
      <c r="AL150" s="238"/>
      <c r="AM150" s="233"/>
    </row>
    <row r="151" spans="1:39" ht="73.5" hidden="1" customHeight="1" x14ac:dyDescent="0.4">
      <c r="A151" s="191"/>
      <c r="B151" s="245"/>
      <c r="C151" s="243"/>
      <c r="D151" s="243"/>
      <c r="E151" s="244"/>
      <c r="F151" s="197"/>
      <c r="G151" s="202"/>
      <c r="H151" s="239"/>
      <c r="I151" s="240"/>
      <c r="J151" s="238"/>
      <c r="K151" s="187"/>
      <c r="L151" s="234"/>
      <c r="M151" s="212"/>
      <c r="N151" s="212"/>
      <c r="O151" s="212"/>
      <c r="P151" s="188"/>
      <c r="Q151" s="188"/>
      <c r="R151" s="188" t="str">
        <f t="shared" si="8"/>
        <v/>
      </c>
      <c r="S151" s="188"/>
      <c r="T151" s="188"/>
      <c r="U151" s="188"/>
      <c r="V151" s="188"/>
      <c r="W151" s="188"/>
      <c r="X151" s="190"/>
      <c r="Y151" s="188"/>
      <c r="Z151" s="188"/>
      <c r="AA151" s="188"/>
      <c r="AB151" s="183">
        <f t="shared" si="216"/>
        <v>0</v>
      </c>
      <c r="AC151" s="184">
        <f t="shared" ref="AC151" si="235">IF(AND(L149=2,P151="Probabilidad",AB151&gt;=75),50,IF(AND(P151="Probabilidad",L149=2,AB151&gt;=50),37,IF(AND(P151="Probabilidad",L149=2,AB151&gt;=25),25,IF(AND(P151="Probabilidad",L149=2,AB151&gt;10),12,IF(AND(L149=1,P151="Probabilidad",AB151&gt;=75),100,IF(AND(P151="Probabilidad",L149=1,AB151&gt;=50),75,IF(AND(P151="Probabilidad",L149=1,AB151&gt;=25),50,IF(AND(P151="Probabilidad",L149=1,AB151&gt;10),25,IF(AND(P151="Probabilidad",L149=3,AB151&gt;=75),33.3,IF(AND(P151="Probabilidad",L149=3,AB151,AB151&gt;=50),25,IF(AND(P151="Probabilidad",L149=3,AB151&gt;=25),17,IF(AND(P151="Probabilidad",L149=3,AB151&gt;10),8,0))))))))))))</f>
        <v>0</v>
      </c>
      <c r="AD151" s="184">
        <f t="shared" ref="AD151" si="236">IF(AND(L149=2,P151="Impacto",AB151&gt;=75),50,IF(AND(P151="Impacto",L149=2,AB151&gt;=50),37,IF(AND(P151="Impacto",L149=2,AB151&gt;=25),25,IF(AND(P151="Impacto",L149=2,AB151&gt;10),12,IF(AND(L149=1,P151="Impacto",AB151&gt;=75),100,IF(AND(P151="Impacto",L149=1,AB151&gt;=50),75,IF(AND(P151="Impacto",L149=1,AB151&gt;=25),50,IF(AND(P151="Impacto",L149=1,AB151&gt;10),25,IF(AND(P151="Impacto",L149=3,AB151&gt;=75),33.3,IF(AND(P151="Impacto",L149=3,AB151,AB151&gt;=50),25,IF(AND(P151="Impacto",L149=3,AB151&gt;=25),17,IF(AND(P151="Impacto",L149=3,AB151&gt;10),8,0))))))))))))</f>
        <v>0</v>
      </c>
      <c r="AE151" s="235"/>
      <c r="AF151" s="235"/>
      <c r="AG151" s="236"/>
      <c r="AH151" s="236"/>
      <c r="AI151" s="193"/>
      <c r="AJ151" s="237"/>
      <c r="AK151" s="237"/>
      <c r="AL151" s="238"/>
      <c r="AM151" s="233"/>
    </row>
    <row r="152" spans="1:39" ht="356.25" customHeight="1" x14ac:dyDescent="0.4">
      <c r="A152" s="191"/>
      <c r="B152" s="245">
        <v>45</v>
      </c>
      <c r="C152" s="241" t="s">
        <v>749</v>
      </c>
      <c r="D152" s="241" t="s">
        <v>750</v>
      </c>
      <c r="E152" s="244" t="s">
        <v>35</v>
      </c>
      <c r="F152" s="195" t="s">
        <v>751</v>
      </c>
      <c r="G152" s="241" t="s">
        <v>735</v>
      </c>
      <c r="H152" s="239" t="s">
        <v>15</v>
      </c>
      <c r="I152" s="240" t="s">
        <v>20</v>
      </c>
      <c r="J152" s="238" t="str">
        <f>IF(ISERROR(VLOOKUP(H152&amp;I152,Hoja1!$C$1:$F$25,4,0)),"",(VLOOKUP(H152&amp;I152,Hoja1!$C$1:$F$25,4,0)))</f>
        <v>Extremo</v>
      </c>
      <c r="K152" s="185" t="s">
        <v>85</v>
      </c>
      <c r="L152" s="234">
        <v>1</v>
      </c>
      <c r="M152" s="195" t="s">
        <v>758</v>
      </c>
      <c r="N152" s="195" t="s">
        <v>759</v>
      </c>
      <c r="O152" s="195" t="s">
        <v>760</v>
      </c>
      <c r="P152" s="188" t="s">
        <v>22</v>
      </c>
      <c r="Q152" s="188" t="s">
        <v>42</v>
      </c>
      <c r="R152" s="188" t="str">
        <f t="shared" si="8"/>
        <v>N/A</v>
      </c>
      <c r="S152" s="188" t="s">
        <v>41</v>
      </c>
      <c r="T152" s="189" t="s">
        <v>745</v>
      </c>
      <c r="U152" s="188" t="s">
        <v>41</v>
      </c>
      <c r="V152" s="188" t="s">
        <v>72</v>
      </c>
      <c r="W152" s="188" t="s">
        <v>101</v>
      </c>
      <c r="X152" s="190" t="s">
        <v>102</v>
      </c>
      <c r="Y152" s="189" t="s">
        <v>108</v>
      </c>
      <c r="Z152" s="188" t="s">
        <v>41</v>
      </c>
      <c r="AA152" s="195" t="s">
        <v>770</v>
      </c>
      <c r="AB152" s="183">
        <f t="shared" ref="AB152:AB157" si="237">SUM(IF(Q152="Si",Q$15,0)+(IF(S152="Si",S$15,0))+IF(U152="Si",U$15,0)+IF(Z152="Si",Z$15,0))</f>
        <v>68</v>
      </c>
      <c r="AC152" s="184">
        <f t="shared" ref="AC152" si="238">IF(AND(L152=2,P152="Probabilidad",AB152&gt;=75),50,IF(AND(P152="Probabilidad",L152=2,AB152&gt;=50),37,IF(AND(P152="Probabilidad",L152=2,AB152&gt;=25),25,IF(AND(P152="Probabilidad",L152=2,AB152&gt;10),12,IF(AND(L152=1,P152="Probabilidad",AB152&gt;=75),100,IF(AND(P152="Probabilidad",L152=1,AB152&gt;=50),75,IF(AND(P152="Probabilidad",L152=1,AB152&gt;=25),50,IF(AND(P152="Probabilidad",L152=1,AB152&gt;10),25,IF(AND(P152="Probabilidad",L152=3,AB152&gt;=75),33.3,IF(AND(P152="Probabilidad",L152=3,AB152,AB152&gt;=50),25,IF(AND(P152="Probabilidad",L152=3,AB152&gt;=25),17,IF(AND(P152="Probabilidad",L152=3,AB152&gt;10),8,0))))))))))))</f>
        <v>75</v>
      </c>
      <c r="AD152" s="184">
        <f t="shared" ref="AD152" si="239">IF(AND(L152=2,P152="Impacto",AB152&gt;=75),50,IF(AND(P152="Impacto",L152=2,AB152&gt;=50),37,IF(AND(P152="Impacto",L152=2,AB152&gt;=25),25,IF(AND(P152="Impacto",L152=2,AB152&gt;10),12,IF(AND(L152=1,P152="Impacto",AB152&gt;=75),100,IF(AND(P152="Impacto",L152=1,AB152&gt;=50),75,IF(AND(P152="Impacto",L152=1,AB152&gt;=25),50,IF(AND(P152="Impacto",L152=1,AB152&gt;10),25,IF(AND(P152="Impacto",L152=3,AB152&gt;=75),33.3,IF(AND(P152="Impacto",L152=3,AB152,AB152&gt;=50),25,IF(AND(P152="Impacto",L152=3,AB152&gt;=25),17,IF(AND(P152="Impacto",L152=3,AB152&gt;10),8,0))))))))))))</f>
        <v>0</v>
      </c>
      <c r="AE152" s="235">
        <f t="shared" ref="AE152" si="240">SUM(AC152:AC154)</f>
        <v>75</v>
      </c>
      <c r="AF152" s="235">
        <f t="shared" ref="AF152" si="241">SUM(AD152:AD154)</f>
        <v>0</v>
      </c>
      <c r="AG152" s="236">
        <f t="shared" ref="AG152" si="242">IF(AE152&gt;75,2,IF(AE152&gt;=30,1,"-"))</f>
        <v>1</v>
      </c>
      <c r="AH152" s="236" t="str">
        <f t="shared" ref="AH152" si="243">IF(AF152&gt;75,2,IF(AF152&gt;=30,1,"-"))</f>
        <v>-</v>
      </c>
      <c r="AI152" s="193"/>
      <c r="AJ152" s="237" t="str">
        <f>IF(AND(AG152=2,H152="Casi seguro"),Hoja1!$J$5,IF(AND(AG152=2,H152="Posible"),Hoja1!$J$6,IF(AND(H152="Improbable",AG152=2),Hoja1!J99,IF(AND(AG152=1,H152="Casi seguro"),Hoja1!$J$4,IF(AND(AG152=1,H152="Posible"),Hoja1!$J$5,IF(AND(AG152=1,H152="Improbable"),Hoja1!$J$6,'FT-Mapa de riesgos'!H152))))))</f>
        <v>Improbable</v>
      </c>
      <c r="AK152" s="237" t="str">
        <f>IF(AND(AH152=2,I152="Catastrofico"),Hoja1!$K$5,IF(AND(AH152=2,I152="Mayor"),Hoja1!$K$6,IF(AND(AH152=2,I152="Moderado"),Hoja1!$K$7,IF(AND(AH152=1,I152="Catastrofico"),Hoja1!$K$4,IF(AND(AH152=1,I152="Mayor "),Hoja1!$K$5,IF(AND(AH152=1,I152="Moderado"),Hoja1!$K$6,IF(AND(AH152=2,I152="Menor"),Hoja1!$K$7,'FT-Mapa de riesgos'!I152)))))))</f>
        <v xml:space="preserve">Mayor </v>
      </c>
      <c r="AL152" s="238" t="str">
        <f>IF(ISERROR(VLOOKUP(AJ152&amp;AK152,Hoja1!$C$1:$F$25,4,0)),"",(VLOOKUP(AJ152&amp;AK152,Hoja1!$C$1:$F$25,4,0)))</f>
        <v>Alto</v>
      </c>
      <c r="AM152" s="233"/>
    </row>
    <row r="153" spans="1:39" ht="73.5" hidden="1" customHeight="1" x14ac:dyDescent="0.4">
      <c r="A153" s="191"/>
      <c r="B153" s="245"/>
      <c r="C153" s="242"/>
      <c r="D153" s="242"/>
      <c r="E153" s="244"/>
      <c r="F153" s="197"/>
      <c r="G153" s="242"/>
      <c r="H153" s="239"/>
      <c r="I153" s="240"/>
      <c r="J153" s="238"/>
      <c r="K153" s="185"/>
      <c r="L153" s="234"/>
      <c r="M153" s="212"/>
      <c r="N153" s="212"/>
      <c r="O153" s="212"/>
      <c r="P153" s="188"/>
      <c r="Q153" s="188"/>
      <c r="R153" s="188" t="str">
        <f t="shared" si="8"/>
        <v/>
      </c>
      <c r="S153" s="188"/>
      <c r="T153" s="188"/>
      <c r="U153" s="188"/>
      <c r="V153" s="188"/>
      <c r="W153" s="188"/>
      <c r="X153" s="190"/>
      <c r="Y153" s="188"/>
      <c r="Z153" s="188"/>
      <c r="AA153" s="188"/>
      <c r="AB153" s="183">
        <f t="shared" si="237"/>
        <v>0</v>
      </c>
      <c r="AC153" s="184">
        <f t="shared" ref="AC153" si="244">IF(AND(L152=2,P153="Probabilidad",AB153&gt;=75),50,IF(AND(P153="Probabilidad",L152=2,AB153&gt;=50),37,IF(AND(P153="Probabilidad",L152=2,AB153&gt;=25),25,IF(AND(P153="Probabilidad",L152=2,AB153&gt;10),12,IF(AND(L152=1,P153="Probabilidad",AB153&gt;=75),100,IF(AND(P153="Probabilidad",L152=1,AB153&gt;=50),75,IF(AND(P153="Probabilidad",L152=1,AB153&gt;=25),50,IF(AND(P153="Probabilidad",L152=1,AB153&gt;10),25,IF(AND(P153="Probabilidad",L152=3,AB153&gt;=75),33.3,IF(AND(P153="Probabilidad",L152=3,AB153,AB153&gt;=50),25,IF(AND(P153="Probabilidad",L152=3,AB153&gt;=25),17,IF(AND(P153="Probabilidad",L152=3,AB153&gt;10),8,0))))))))))))</f>
        <v>0</v>
      </c>
      <c r="AD153" s="184">
        <f t="shared" ref="AD153" si="245">IF(AND(L152=2,P153="Impacto",AB153&gt;=75),50,IF(AND(P153="Impacto",L152=2,AB153&gt;=50),37,IF(AND(P153="Impacto",L152=2,AB153&gt;=25),25,IF(AND(P153="Impacto",L152=2,AB153&gt;10),12,IF(AND(L152=1,P153="Impacto",AB153&gt;=75),100,IF(AND(P153="Impacto",L152=1,AB153&gt;=50),75,IF(AND(P153="Impacto",L152=1,AB153&gt;=25),50,IF(AND(P153="Impacto",L152=1,AB153&gt;10),25,IF(AND(P153="Impacto",L152=3,AB153&gt;=75),33.3,IF(AND(P153="Impacto",L152=3,AB153,AB153&gt;=50),25,IF(AND(P153="Impacto",L152=3,AB153&gt;=25),17,IF(AND(P153="Impacto",L152=3,AB153&gt;10),8,0))))))))))))</f>
        <v>0</v>
      </c>
      <c r="AE153" s="235"/>
      <c r="AF153" s="235"/>
      <c r="AG153" s="236"/>
      <c r="AH153" s="236"/>
      <c r="AI153" s="193"/>
      <c r="AJ153" s="237"/>
      <c r="AK153" s="237"/>
      <c r="AL153" s="238"/>
      <c r="AM153" s="231"/>
    </row>
    <row r="154" spans="1:39" ht="73.5" hidden="1" customHeight="1" x14ac:dyDescent="0.4">
      <c r="A154" s="191"/>
      <c r="B154" s="245"/>
      <c r="C154" s="243"/>
      <c r="D154" s="243"/>
      <c r="E154" s="244"/>
      <c r="F154" s="197"/>
      <c r="G154" s="243"/>
      <c r="H154" s="239"/>
      <c r="I154" s="240"/>
      <c r="J154" s="238"/>
      <c r="K154" s="187"/>
      <c r="L154" s="234"/>
      <c r="M154" s="212"/>
      <c r="N154" s="212"/>
      <c r="O154" s="212"/>
      <c r="P154" s="188"/>
      <c r="Q154" s="188"/>
      <c r="R154" s="188"/>
      <c r="S154" s="188"/>
      <c r="T154" s="188"/>
      <c r="U154" s="188"/>
      <c r="V154" s="188"/>
      <c r="W154" s="188"/>
      <c r="X154" s="190"/>
      <c r="Y154" s="188"/>
      <c r="Z154" s="188"/>
      <c r="AA154" s="188"/>
      <c r="AB154" s="183">
        <f t="shared" si="237"/>
        <v>0</v>
      </c>
      <c r="AC154" s="184">
        <f t="shared" ref="AC154" si="246">IF(AND(L152=2,P154="Probabilidad",AB154&gt;=75),50,IF(AND(P154="Probabilidad",L152=2,AB154&gt;=50),37,IF(AND(P154="Probabilidad",L152=2,AB154&gt;=25),25,IF(AND(P154="Probabilidad",L152=2,AB154&gt;10),12,IF(AND(L152=1,P154="Probabilidad",AB154&gt;=75),100,IF(AND(P154="Probabilidad",L152=1,AB154&gt;=50),75,IF(AND(P154="Probabilidad",L152=1,AB154&gt;=25),50,IF(AND(P154="Probabilidad",L152=1,AB154&gt;10),25,IF(AND(P154="Probabilidad",L152=3,AB154&gt;=75),33.3,IF(AND(P154="Probabilidad",L152=3,AB154,AB154&gt;=50),25,IF(AND(P154="Probabilidad",L152=3,AB154&gt;=25),17,IF(AND(P154="Probabilidad",L152=3,AB154&gt;10),8,0))))))))))))</f>
        <v>0</v>
      </c>
      <c r="AD154" s="184">
        <f t="shared" ref="AD154" si="247">IF(AND(L152=2,P154="Impacto",AB154&gt;=75),50,IF(AND(P154="Impacto",L152=2,AB154&gt;=50),37,IF(AND(P154="Impacto",L152=2,AB154&gt;=25),25,IF(AND(P154="Impacto",L152=2,AB154&gt;10),12,IF(AND(L152=1,P154="Impacto",AB154&gt;=75),100,IF(AND(P154="Impacto",L152=1,AB154&gt;=50),75,IF(AND(P154="Impacto",L152=1,AB154&gt;=25),50,IF(AND(P154="Impacto",L152=1,AB154&gt;10),25,IF(AND(P154="Impacto",L152=3,AB154&gt;=75),33.3,IF(AND(P154="Impacto",L152=3,AB154,AB154&gt;=50),25,IF(AND(P154="Impacto",L152=3,AB154&gt;=25),17,IF(AND(P154="Impacto",L152=3,AB154&gt;10),8,0))))))))))))</f>
        <v>0</v>
      </c>
      <c r="AE154" s="235"/>
      <c r="AF154" s="235"/>
      <c r="AG154" s="236"/>
      <c r="AH154" s="236"/>
      <c r="AI154" s="193"/>
      <c r="AJ154" s="237"/>
      <c r="AK154" s="237"/>
      <c r="AL154" s="238"/>
      <c r="AM154" s="231"/>
    </row>
    <row r="155" spans="1:39" ht="219.95" customHeight="1" x14ac:dyDescent="0.4">
      <c r="A155" s="191"/>
      <c r="B155" s="245">
        <v>46</v>
      </c>
      <c r="C155" s="241" t="s">
        <v>752</v>
      </c>
      <c r="D155" s="241" t="s">
        <v>753</v>
      </c>
      <c r="E155" s="244" t="s">
        <v>33</v>
      </c>
      <c r="F155" s="195" t="s">
        <v>754</v>
      </c>
      <c r="G155" s="246" t="s">
        <v>755</v>
      </c>
      <c r="H155" s="239" t="s">
        <v>14</v>
      </c>
      <c r="I155" s="240" t="s">
        <v>19</v>
      </c>
      <c r="J155" s="238" t="str">
        <f>IF(ISERROR(VLOOKUP(H155&amp;I155,Hoja1!$C$1:$F$25,4,0)),"",(VLOOKUP(H155&amp;I155,Hoja1!$C$1:$F$25,4,0)))</f>
        <v>Moderado</v>
      </c>
      <c r="K155" s="185" t="s">
        <v>85</v>
      </c>
      <c r="L155" s="234">
        <v>3</v>
      </c>
      <c r="M155" s="195" t="s">
        <v>761</v>
      </c>
      <c r="N155" s="195" t="s">
        <v>762</v>
      </c>
      <c r="O155" s="195" t="s">
        <v>763</v>
      </c>
      <c r="P155" s="188" t="s">
        <v>22</v>
      </c>
      <c r="Q155" s="188" t="s">
        <v>41</v>
      </c>
      <c r="R155" s="189" t="s">
        <v>767</v>
      </c>
      <c r="S155" s="188" t="s">
        <v>41</v>
      </c>
      <c r="T155" s="189" t="s">
        <v>745</v>
      </c>
      <c r="U155" s="188" t="s">
        <v>41</v>
      </c>
      <c r="V155" s="188" t="s">
        <v>72</v>
      </c>
      <c r="W155" s="188" t="s">
        <v>101</v>
      </c>
      <c r="X155" s="190" t="s">
        <v>102</v>
      </c>
      <c r="Y155" s="189" t="s">
        <v>108</v>
      </c>
      <c r="Z155" s="188" t="s">
        <v>41</v>
      </c>
      <c r="AA155" s="195" t="s">
        <v>771</v>
      </c>
      <c r="AB155" s="183">
        <f t="shared" si="237"/>
        <v>100</v>
      </c>
      <c r="AC155" s="184">
        <f t="shared" ref="AC155" si="248">IF(AND(L155=2,P155="Probabilidad",AB155&gt;=75),50,IF(AND(P155="Probabilidad",L155=2,AB155&gt;=50),37,IF(AND(P155="Probabilidad",L155=2,AB155&gt;=25),25,IF(AND(P155="Probabilidad",L155=2,AB155&gt;10),12,IF(AND(L155=1,P155="Probabilidad",AB155&gt;=75),100,IF(AND(P155="Probabilidad",L155=1,AB155&gt;=50),75,IF(AND(P155="Probabilidad",L155=1,AB155&gt;=25),50,IF(AND(P155="Probabilidad",L155=1,AB155&gt;10),25,IF(AND(P155="Probabilidad",L155=3,AB155&gt;=75),33.3,IF(AND(P155="Probabilidad",L155=3,AB155,AB155&gt;=50),25,IF(AND(P155="Probabilidad",L155=3,AB155&gt;=25),17,IF(AND(P155="Probabilidad",L155=3,AB155&gt;10),8,0))))))))))))</f>
        <v>33.299999999999997</v>
      </c>
      <c r="AD155" s="184">
        <f t="shared" ref="AD155" si="249">IF(AND(L155=2,P155="Impacto",AB155&gt;=75),50,IF(AND(P155="Impacto",L155=2,AB155&gt;=50),37,IF(AND(P155="Impacto",L155=2,AB155&gt;=25),25,IF(AND(P155="Impacto",L155=2,AB155&gt;10),12,IF(AND(L155=1,P155="Impacto",AB155&gt;=75),100,IF(AND(P155="Impacto",L155=1,AB155&gt;=50),75,IF(AND(P155="Impacto",L155=1,AB155&gt;=25),50,IF(AND(P155="Impacto",L155=1,AB155&gt;10),25,IF(AND(P155="Impacto",L155=3,AB155&gt;=75),33.3,IF(AND(P155="Impacto",L155=3,AB155,AB155&gt;=50),25,IF(AND(P155="Impacto",L155=3,AB155&gt;=25),17,IF(AND(P155="Impacto",L155=3,AB155&gt;10),8,0))))))))))))</f>
        <v>0</v>
      </c>
      <c r="AE155" s="235">
        <f t="shared" ref="AE155" si="250">SUM(AC155:AC157)</f>
        <v>99.899999999999991</v>
      </c>
      <c r="AF155" s="235">
        <f t="shared" ref="AF155" si="251">SUM(AD155:AD157)</f>
        <v>0</v>
      </c>
      <c r="AG155" s="236">
        <f t="shared" ref="AG155" si="252">IF(AE155&gt;75,2,IF(AE155&gt;=30,1,"-"))</f>
        <v>2</v>
      </c>
      <c r="AH155" s="236" t="str">
        <f t="shared" ref="AH155" si="253">IF(AF155&gt;75,2,IF(AF155&gt;=30,1,"-"))</f>
        <v>-</v>
      </c>
      <c r="AI155" s="193"/>
      <c r="AJ155" s="237" t="s">
        <v>13</v>
      </c>
      <c r="AK155" s="237" t="str">
        <f>IF(AND(AH155=2,I155="Catastrofico"),Hoja1!$K$5,IF(AND(AH155=2,I155="Mayor"),Hoja1!$K$6,IF(AND(AH155=2,I155="Moderado"),Hoja1!$K$7,IF(AND(AH155=1,I155="Catastrofico"),Hoja1!$K$4,IF(AND(AH155=1,I155="Mayor "),Hoja1!$K$5,IF(AND(AH155=1,I155="Moderado"),Hoja1!$K$6,IF(AND(AH155=2,I155="Menor"),Hoja1!$K$7,'FT-Mapa de riesgos'!I155)))))))</f>
        <v>Moderado</v>
      </c>
      <c r="AL155" s="238" t="str">
        <f>IF(ISERROR(VLOOKUP(AJ155&amp;AK155,Hoja1!$C$1:$F$25,4,0)),"",(VLOOKUP(AJ155&amp;AK155,Hoja1!$C$1:$F$25,4,0)))</f>
        <v>Moderado</v>
      </c>
      <c r="AM155" s="233" t="s">
        <v>176</v>
      </c>
    </row>
    <row r="156" spans="1:39" ht="219.95" customHeight="1" x14ac:dyDescent="0.4">
      <c r="A156" s="191"/>
      <c r="B156" s="245"/>
      <c r="C156" s="242"/>
      <c r="D156" s="242"/>
      <c r="E156" s="244"/>
      <c r="F156" s="195" t="s">
        <v>756</v>
      </c>
      <c r="G156" s="247"/>
      <c r="H156" s="239"/>
      <c r="I156" s="240"/>
      <c r="J156" s="238"/>
      <c r="K156" s="185" t="s">
        <v>85</v>
      </c>
      <c r="L156" s="234"/>
      <c r="M156" s="195" t="s">
        <v>764</v>
      </c>
      <c r="N156" s="195" t="s">
        <v>765</v>
      </c>
      <c r="O156" s="195" t="s">
        <v>763</v>
      </c>
      <c r="P156" s="188" t="s">
        <v>22</v>
      </c>
      <c r="Q156" s="188" t="s">
        <v>41</v>
      </c>
      <c r="R156" s="189" t="s">
        <v>768</v>
      </c>
      <c r="S156" s="188" t="s">
        <v>41</v>
      </c>
      <c r="T156" s="189" t="s">
        <v>769</v>
      </c>
      <c r="U156" s="188" t="s">
        <v>41</v>
      </c>
      <c r="V156" s="188" t="s">
        <v>72</v>
      </c>
      <c r="W156" s="188" t="s">
        <v>101</v>
      </c>
      <c r="X156" s="190" t="s">
        <v>102</v>
      </c>
      <c r="Y156" s="189" t="s">
        <v>108</v>
      </c>
      <c r="Z156" s="188" t="s">
        <v>41</v>
      </c>
      <c r="AA156" s="195" t="s">
        <v>772</v>
      </c>
      <c r="AB156" s="183">
        <f t="shared" si="237"/>
        <v>100</v>
      </c>
      <c r="AC156" s="184">
        <f t="shared" ref="AC156" si="254">IF(AND(L155=2,P156="Probabilidad",AB156&gt;=75),50,IF(AND(P156="Probabilidad",L155=2,AB156&gt;=50),37,IF(AND(P156="Probabilidad",L155=2,AB156&gt;=25),25,IF(AND(P156="Probabilidad",L155=2,AB156&gt;10),12,IF(AND(L155=1,P156="Probabilidad",AB156&gt;=75),100,IF(AND(P156="Probabilidad",L155=1,AB156&gt;=50),75,IF(AND(P156="Probabilidad",L155=1,AB156&gt;=25),50,IF(AND(P156="Probabilidad",L155=1,AB156&gt;10),25,IF(AND(P156="Probabilidad",L155=3,AB156&gt;=75),33.3,IF(AND(P156="Probabilidad",L155=3,AB156,AB156&gt;=50),25,IF(AND(P156="Probabilidad",L155=3,AB156&gt;=25),17,IF(AND(P156="Probabilidad",L155=3,AB156&gt;10),8,0))))))))))))</f>
        <v>33.299999999999997</v>
      </c>
      <c r="AD156" s="184">
        <f t="shared" ref="AD156" si="255">IF(AND(L155=2,P156="Impacto",AB156&gt;=75),50,IF(AND(P156="Impacto",L155=2,AB156&gt;=50),37,IF(AND(P156="Impacto",L155=2,AB156&gt;=25),25,IF(AND(P156="Impacto",L155=2,AB156&gt;10),12,IF(AND(L155=1,P156="Impacto",AB156&gt;=75),100,IF(AND(P156="Impacto",L155=1,AB156&gt;=50),75,IF(AND(P156="Impacto",L155=1,AB156&gt;=25),50,IF(AND(P156="Impacto",L155=1,AB156&gt;10),25,IF(AND(P156="Impacto",L155=3,AB156&gt;=75),33.3,IF(AND(P156="Impacto",L155=3,AB156,AB156&gt;=50),25,IF(AND(P156="Impacto",L155=3,AB156&gt;=25),17,IF(AND(P156="Impacto",L155=3,AB156&gt;10),8,0))))))))))))</f>
        <v>0</v>
      </c>
      <c r="AE156" s="235"/>
      <c r="AF156" s="235"/>
      <c r="AG156" s="236"/>
      <c r="AH156" s="236"/>
      <c r="AI156" s="193"/>
      <c r="AJ156" s="237"/>
      <c r="AK156" s="237"/>
      <c r="AL156" s="238"/>
      <c r="AM156" s="233"/>
    </row>
    <row r="157" spans="1:39" ht="219.95" customHeight="1" x14ac:dyDescent="0.4">
      <c r="A157" s="191"/>
      <c r="B157" s="245"/>
      <c r="C157" s="243"/>
      <c r="D157" s="243"/>
      <c r="E157" s="244"/>
      <c r="F157" s="195" t="s">
        <v>757</v>
      </c>
      <c r="G157" s="248"/>
      <c r="H157" s="239"/>
      <c r="I157" s="240"/>
      <c r="J157" s="238"/>
      <c r="K157" s="185" t="s">
        <v>85</v>
      </c>
      <c r="L157" s="234"/>
      <c r="M157" s="195" t="s">
        <v>766</v>
      </c>
      <c r="N157" s="195" t="s">
        <v>765</v>
      </c>
      <c r="O157" s="195" t="s">
        <v>763</v>
      </c>
      <c r="P157" s="188" t="s">
        <v>22</v>
      </c>
      <c r="Q157" s="188" t="s">
        <v>41</v>
      </c>
      <c r="R157" s="189" t="s">
        <v>767</v>
      </c>
      <c r="S157" s="188" t="s">
        <v>41</v>
      </c>
      <c r="T157" s="189" t="s">
        <v>745</v>
      </c>
      <c r="U157" s="188" t="s">
        <v>41</v>
      </c>
      <c r="V157" s="188" t="s">
        <v>72</v>
      </c>
      <c r="W157" s="188" t="s">
        <v>101</v>
      </c>
      <c r="X157" s="190" t="s">
        <v>102</v>
      </c>
      <c r="Y157" s="189" t="s">
        <v>108</v>
      </c>
      <c r="Z157" s="188" t="s">
        <v>41</v>
      </c>
      <c r="AA157" s="195" t="s">
        <v>771</v>
      </c>
      <c r="AB157" s="183">
        <f t="shared" si="237"/>
        <v>100</v>
      </c>
      <c r="AC157" s="184">
        <f t="shared" ref="AC157" si="256">IF(AND(L155=2,P157="Probabilidad",AB157&gt;=75),50,IF(AND(P157="Probabilidad",L155=2,AB157&gt;=50),37,IF(AND(P157="Probabilidad",L155=2,AB157&gt;=25),25,IF(AND(P157="Probabilidad",L155=2,AB157&gt;10),12,IF(AND(L155=1,P157="Probabilidad",AB157&gt;=75),100,IF(AND(P157="Probabilidad",L155=1,AB157&gt;=50),75,IF(AND(P157="Probabilidad",L155=1,AB157&gt;=25),50,IF(AND(P157="Probabilidad",L155=1,AB157&gt;10),25,IF(AND(P157="Probabilidad",L155=3,AB157&gt;=75),33.3,IF(AND(P157="Probabilidad",L155=3,AB157,AB157&gt;=50),25,IF(AND(P157="Probabilidad",L155=3,AB157&gt;=25),17,IF(AND(P157="Probabilidad",L155=3,AB157&gt;10),8,0))))))))))))</f>
        <v>33.299999999999997</v>
      </c>
      <c r="AD157" s="184">
        <f t="shared" ref="AD157" si="257">IF(AND(L155=2,P157="Impacto",AB157&gt;=75),50,IF(AND(P157="Impacto",L155=2,AB157&gt;=50),37,IF(AND(P157="Impacto",L155=2,AB157&gt;=25),25,IF(AND(P157="Impacto",L155=2,AB157&gt;10),12,IF(AND(L155=1,P157="Impacto",AB157&gt;=75),100,IF(AND(P157="Impacto",L155=1,AB157&gt;=50),75,IF(AND(P157="Impacto",L155=1,AB157&gt;=25),50,IF(AND(P157="Impacto",L155=1,AB157&gt;10),25,IF(AND(P157="Impacto",L155=3,AB157&gt;=75),33.3,IF(AND(P157="Impacto",L155=3,AB157,AB157&gt;=50),25,IF(AND(P157="Impacto",L155=3,AB157&gt;=25),17,IF(AND(P157="Impacto",L155=3,AB157&gt;10),8,0))))))))))))</f>
        <v>0</v>
      </c>
      <c r="AE157" s="235"/>
      <c r="AF157" s="235"/>
      <c r="AG157" s="236"/>
      <c r="AH157" s="236"/>
      <c r="AI157" s="193"/>
      <c r="AJ157" s="237"/>
      <c r="AK157" s="237"/>
      <c r="AL157" s="238"/>
      <c r="AM157" s="233"/>
    </row>
    <row r="158" spans="1:39" ht="219.95" customHeight="1" x14ac:dyDescent="0.4">
      <c r="A158" s="191"/>
      <c r="B158" s="245">
        <v>47</v>
      </c>
      <c r="C158" s="241" t="s">
        <v>773</v>
      </c>
      <c r="D158" s="241" t="s">
        <v>774</v>
      </c>
      <c r="E158" s="244" t="s">
        <v>79</v>
      </c>
      <c r="F158" s="195" t="s">
        <v>775</v>
      </c>
      <c r="G158" s="246" t="s">
        <v>776</v>
      </c>
      <c r="H158" s="239" t="s">
        <v>15</v>
      </c>
      <c r="I158" s="240" t="s">
        <v>19</v>
      </c>
      <c r="J158" s="238" t="str">
        <f>IF(ISERROR(VLOOKUP(H158&amp;I158,Hoja1!$C$1:$F$25,4,0)),"",(VLOOKUP(H158&amp;I158,Hoja1!$C$1:$F$25,4,0)))</f>
        <v>Alto</v>
      </c>
      <c r="K158" s="185" t="s">
        <v>85</v>
      </c>
      <c r="L158" s="234">
        <v>2</v>
      </c>
      <c r="M158" s="195" t="s">
        <v>787</v>
      </c>
      <c r="N158" s="195" t="s">
        <v>788</v>
      </c>
      <c r="O158" s="195" t="s">
        <v>789</v>
      </c>
      <c r="P158" s="188" t="s">
        <v>22</v>
      </c>
      <c r="Q158" s="188" t="s">
        <v>42</v>
      </c>
      <c r="R158" s="188" t="str">
        <f t="shared" si="8"/>
        <v>N/A</v>
      </c>
      <c r="S158" s="188" t="s">
        <v>41</v>
      </c>
      <c r="T158" s="189" t="s">
        <v>802</v>
      </c>
      <c r="U158" s="188" t="s">
        <v>41</v>
      </c>
      <c r="V158" s="188" t="s">
        <v>152</v>
      </c>
      <c r="W158" s="189" t="s">
        <v>167</v>
      </c>
      <c r="X158" s="190" t="s">
        <v>167</v>
      </c>
      <c r="Y158" s="189" t="s">
        <v>108</v>
      </c>
      <c r="Z158" s="188" t="s">
        <v>41</v>
      </c>
      <c r="AA158" s="195" t="s">
        <v>807</v>
      </c>
      <c r="AB158" s="183">
        <f t="shared" ref="AB158:AB172" si="258">SUM(IF(Q158="Si",Q$15,0)+(IF(S158="Si",S$15,0))+IF(U158="Si",U$15,0)+IF(Z158="Si",Z$15,0))</f>
        <v>68</v>
      </c>
      <c r="AC158" s="184">
        <f t="shared" ref="AC158" si="259">IF(AND(L158=2,P158="Probabilidad",AB158&gt;=75),50,IF(AND(P158="Probabilidad",L158=2,AB158&gt;=50),37,IF(AND(P158="Probabilidad",L158=2,AB158&gt;=25),25,IF(AND(P158="Probabilidad",L158=2,AB158&gt;10),12,IF(AND(L158=1,P158="Probabilidad",AB158&gt;=75),100,IF(AND(P158="Probabilidad",L158=1,AB158&gt;=50),75,IF(AND(P158="Probabilidad",L158=1,AB158&gt;=25),50,IF(AND(P158="Probabilidad",L158=1,AB158&gt;10),25,IF(AND(P158="Probabilidad",L158=3,AB158&gt;=75),33.3,IF(AND(P158="Probabilidad",L158=3,AB158,AB158&gt;=50),25,IF(AND(P158="Probabilidad",L158=3,AB158&gt;=25),17,IF(AND(P158="Probabilidad",L158=3,AB158&gt;10),8,0))))))))))))</f>
        <v>37</v>
      </c>
      <c r="AD158" s="184">
        <f t="shared" ref="AD158" si="260">IF(AND(L158=2,P158="Impacto",AB158&gt;=75),50,IF(AND(P158="Impacto",L158=2,AB158&gt;=50),37,IF(AND(P158="Impacto",L158=2,AB158&gt;=25),25,IF(AND(P158="Impacto",L158=2,AB158&gt;10),12,IF(AND(L158=1,P158="Impacto",AB158&gt;=75),100,IF(AND(P158="Impacto",L158=1,AB158&gt;=50),75,IF(AND(P158="Impacto",L158=1,AB158&gt;=25),50,IF(AND(P158="Impacto",L158=1,AB158&gt;10),25,IF(AND(P158="Impacto",L158=3,AB158&gt;=75),33.3,IF(AND(P158="Impacto",L158=3,AB158,AB158&gt;=50),25,IF(AND(P158="Impacto",L158=3,AB158&gt;=25),17,IF(AND(P158="Impacto",L158=3,AB158&gt;10),8,0))))))))))))</f>
        <v>0</v>
      </c>
      <c r="AE158" s="235">
        <f t="shared" ref="AE158" si="261">SUM(AC158:AC160)</f>
        <v>74</v>
      </c>
      <c r="AF158" s="235">
        <f t="shared" ref="AF158" si="262">SUM(AD158:AD160)</f>
        <v>0</v>
      </c>
      <c r="AG158" s="236">
        <f t="shared" ref="AG158" si="263">IF(AE158&gt;75,2,IF(AE158&gt;=30,1,"-"))</f>
        <v>1</v>
      </c>
      <c r="AH158" s="236" t="str">
        <f t="shared" ref="AH158" si="264">IF(AF158&gt;75,2,IF(AF158&gt;=30,1,"-"))</f>
        <v>-</v>
      </c>
      <c r="AI158" s="193"/>
      <c r="AJ158" s="237" t="str">
        <f>IF(AND(AG158=2,H158="Casi seguro"),Hoja1!$J$5,IF(AND(AG158=2,H158="Posible"),Hoja1!$J$6,IF(AND(H158="Improbable",AG158=2),Hoja1!J105,IF(AND(AG158=1,H158="Casi seguro"),Hoja1!$J$4,IF(AND(AG158=1,H158="Posible"),Hoja1!$J$5,IF(AND(AG158=1,H158="Improbable"),Hoja1!$J$6,'FT-Mapa de riesgos'!H158))))))</f>
        <v>Improbable</v>
      </c>
      <c r="AK158" s="237" t="str">
        <f>IF(AND(AH158=2,I158="Catastrofico"),Hoja1!$K$5,IF(AND(AH158=2,I158="Mayor"),Hoja1!$K$6,IF(AND(AH158=2,I158="Moderado"),Hoja1!$K$7,IF(AND(AH158=1,I158="Catastrofico"),Hoja1!$K$4,IF(AND(AH158=1,I158="Mayor "),Hoja1!$K$5,IF(AND(AH158=1,I158="Moderado"),Hoja1!$K$6,IF(AND(AH158=2,I158="Menor"),Hoja1!$K$7,'FT-Mapa de riesgos'!I158)))))))</f>
        <v>Moderado</v>
      </c>
      <c r="AL158" s="238" t="str">
        <f>IF(ISERROR(VLOOKUP(AJ158&amp;AK158,Hoja1!$C$1:$F$25,4,0)),"",(VLOOKUP(AJ158&amp;AK158,Hoja1!$C$1:$F$25,4,0)))</f>
        <v>Moderado</v>
      </c>
      <c r="AM158" s="233"/>
    </row>
    <row r="159" spans="1:39" ht="219.95" customHeight="1" x14ac:dyDescent="0.4">
      <c r="A159" s="191"/>
      <c r="B159" s="245"/>
      <c r="C159" s="242"/>
      <c r="D159" s="242"/>
      <c r="E159" s="244"/>
      <c r="F159" s="195" t="s">
        <v>777</v>
      </c>
      <c r="G159" s="247"/>
      <c r="H159" s="239"/>
      <c r="I159" s="240"/>
      <c r="J159" s="238"/>
      <c r="K159" s="185" t="s">
        <v>85</v>
      </c>
      <c r="L159" s="234"/>
      <c r="M159" s="195" t="s">
        <v>790</v>
      </c>
      <c r="N159" s="195" t="s">
        <v>791</v>
      </c>
      <c r="O159" s="195" t="s">
        <v>792</v>
      </c>
      <c r="P159" s="188" t="s">
        <v>22</v>
      </c>
      <c r="Q159" s="188" t="s">
        <v>42</v>
      </c>
      <c r="R159" s="188" t="str">
        <f t="shared" si="8"/>
        <v>N/A</v>
      </c>
      <c r="S159" s="188" t="s">
        <v>41</v>
      </c>
      <c r="T159" s="189" t="s">
        <v>802</v>
      </c>
      <c r="U159" s="188" t="s">
        <v>41</v>
      </c>
      <c r="V159" s="188" t="s">
        <v>73</v>
      </c>
      <c r="W159" s="188" t="s">
        <v>101</v>
      </c>
      <c r="X159" s="190" t="s">
        <v>102</v>
      </c>
      <c r="Y159" s="189" t="s">
        <v>108</v>
      </c>
      <c r="Z159" s="188" t="s">
        <v>41</v>
      </c>
      <c r="AA159" s="195" t="s">
        <v>808</v>
      </c>
      <c r="AB159" s="183">
        <f t="shared" si="258"/>
        <v>68</v>
      </c>
      <c r="AC159" s="184">
        <f t="shared" ref="AC159" si="265">IF(AND(L158=2,P159="Probabilidad",AB159&gt;=75),50,IF(AND(P159="Probabilidad",L158=2,AB159&gt;=50),37,IF(AND(P159="Probabilidad",L158=2,AB159&gt;=25),25,IF(AND(P159="Probabilidad",L158=2,AB159&gt;10),12,IF(AND(L158=1,P159="Probabilidad",AB159&gt;=75),100,IF(AND(P159="Probabilidad",L158=1,AB159&gt;=50),75,IF(AND(P159="Probabilidad",L158=1,AB159&gt;=25),50,IF(AND(P159="Probabilidad",L158=1,AB159&gt;10),25,IF(AND(P159="Probabilidad",L158=3,AB159&gt;=75),33.3,IF(AND(P159="Probabilidad",L158=3,AB159,AB159&gt;=50),25,IF(AND(P159="Probabilidad",L158=3,AB159&gt;=25),17,IF(AND(P159="Probabilidad",L158=3,AB159&gt;10),8,0))))))))))))</f>
        <v>37</v>
      </c>
      <c r="AD159" s="184">
        <f t="shared" ref="AD159" si="266">IF(AND(L158=2,P159="Impacto",AB159&gt;=75),50,IF(AND(P159="Impacto",L158=2,AB159&gt;=50),37,IF(AND(P159="Impacto",L158=2,AB159&gt;=25),25,IF(AND(P159="Impacto",L158=2,AB159&gt;10),12,IF(AND(L158=1,P159="Impacto",AB159&gt;=75),100,IF(AND(P159="Impacto",L158=1,AB159&gt;=50),75,IF(AND(P159="Impacto",L158=1,AB159&gt;=25),50,IF(AND(P159="Impacto",L158=1,AB159&gt;10),25,IF(AND(P159="Impacto",L158=3,AB159&gt;=75),33.3,IF(AND(P159="Impacto",L158=3,AB159,AB159&gt;=50),25,IF(AND(P159="Impacto",L158=3,AB159&gt;=25),17,IF(AND(P159="Impacto",L158=3,AB159&gt;10),8,0))))))))))))</f>
        <v>0</v>
      </c>
      <c r="AE159" s="235"/>
      <c r="AF159" s="235"/>
      <c r="AG159" s="236"/>
      <c r="AH159" s="236"/>
      <c r="AI159" s="193"/>
      <c r="AJ159" s="237"/>
      <c r="AK159" s="237"/>
      <c r="AL159" s="238"/>
      <c r="AM159" s="233"/>
    </row>
    <row r="160" spans="1:39" ht="73.5" hidden="1" customHeight="1" x14ac:dyDescent="0.4">
      <c r="A160" s="191"/>
      <c r="B160" s="245"/>
      <c r="C160" s="243"/>
      <c r="D160" s="243"/>
      <c r="E160" s="244"/>
      <c r="F160" s="195"/>
      <c r="G160" s="248"/>
      <c r="H160" s="239"/>
      <c r="I160" s="240"/>
      <c r="J160" s="238"/>
      <c r="K160" s="187"/>
      <c r="L160" s="234"/>
      <c r="M160" s="195"/>
      <c r="N160" s="195"/>
      <c r="O160" s="195"/>
      <c r="P160" s="188"/>
      <c r="Q160" s="188"/>
      <c r="R160" s="188" t="str">
        <f t="shared" si="8"/>
        <v/>
      </c>
      <c r="S160" s="188"/>
      <c r="T160" s="189"/>
      <c r="U160" s="188"/>
      <c r="V160" s="188"/>
      <c r="W160" s="188"/>
      <c r="X160" s="190"/>
      <c r="Y160" s="188"/>
      <c r="Z160" s="188"/>
      <c r="AA160" s="195"/>
      <c r="AB160" s="183">
        <f t="shared" si="258"/>
        <v>0</v>
      </c>
      <c r="AC160" s="184">
        <f t="shared" ref="AC160" si="267">IF(AND(L158=2,P160="Probabilidad",AB160&gt;=75),50,IF(AND(P160="Probabilidad",L158=2,AB160&gt;=50),37,IF(AND(P160="Probabilidad",L158=2,AB160&gt;=25),25,IF(AND(P160="Probabilidad",L158=2,AB160&gt;10),12,IF(AND(L158=1,P160="Probabilidad",AB160&gt;=75),100,IF(AND(P160="Probabilidad",L158=1,AB160&gt;=50),75,IF(AND(P160="Probabilidad",L158=1,AB160&gt;=25),50,IF(AND(P160="Probabilidad",L158=1,AB160&gt;10),25,IF(AND(P160="Probabilidad",L158=3,AB160&gt;=75),33.3,IF(AND(P160="Probabilidad",L158=3,AB160,AB160&gt;=50),25,IF(AND(P160="Probabilidad",L158=3,AB160&gt;=25),17,IF(AND(P160="Probabilidad",L158=3,AB160&gt;10),8,0))))))))))))</f>
        <v>0</v>
      </c>
      <c r="AD160" s="184">
        <f t="shared" ref="AD160" si="268">IF(AND(L158=2,P160="Impacto",AB160&gt;=75),50,IF(AND(P160="Impacto",L158=2,AB160&gt;=50),37,IF(AND(P160="Impacto",L158=2,AB160&gt;=25),25,IF(AND(P160="Impacto",L158=2,AB160&gt;10),12,IF(AND(L158=1,P160="Impacto",AB160&gt;=75),100,IF(AND(P160="Impacto",L158=1,AB160&gt;=50),75,IF(AND(P160="Impacto",L158=1,AB160&gt;=25),50,IF(AND(P160="Impacto",L158=1,AB160&gt;10),25,IF(AND(P160="Impacto",L158=3,AB160&gt;=75),33.3,IF(AND(P160="Impacto",L158=3,AB160,AB160&gt;=50),25,IF(AND(P160="Impacto",L158=3,AB160&gt;=25),17,IF(AND(P160="Impacto",L158=3,AB160&gt;10),8,0))))))))))))</f>
        <v>0</v>
      </c>
      <c r="AE160" s="235"/>
      <c r="AF160" s="235"/>
      <c r="AG160" s="236"/>
      <c r="AH160" s="236"/>
      <c r="AI160" s="193"/>
      <c r="AJ160" s="237"/>
      <c r="AK160" s="237"/>
      <c r="AL160" s="238"/>
      <c r="AM160" s="233"/>
    </row>
    <row r="161" spans="1:39" ht="219.95" customHeight="1" x14ac:dyDescent="0.4">
      <c r="A161" s="191"/>
      <c r="B161" s="245">
        <v>48</v>
      </c>
      <c r="C161" s="241" t="s">
        <v>778</v>
      </c>
      <c r="D161" s="241" t="s">
        <v>779</v>
      </c>
      <c r="E161" s="244" t="s">
        <v>79</v>
      </c>
      <c r="F161" s="195" t="s">
        <v>780</v>
      </c>
      <c r="G161" s="246" t="s">
        <v>781</v>
      </c>
      <c r="H161" s="239" t="s">
        <v>13</v>
      </c>
      <c r="I161" s="240" t="s">
        <v>20</v>
      </c>
      <c r="J161" s="238" t="str">
        <f>IF(ISERROR(VLOOKUP(H161&amp;I161,Hoja1!$C$1:$F$25,4,0)),"",(VLOOKUP(H161&amp;I161,Hoja1!$C$1:$F$25,4,0)))</f>
        <v>Alto</v>
      </c>
      <c r="K161" s="185" t="s">
        <v>85</v>
      </c>
      <c r="L161" s="234">
        <v>2</v>
      </c>
      <c r="M161" s="195" t="s">
        <v>793</v>
      </c>
      <c r="N161" s="195" t="s">
        <v>794</v>
      </c>
      <c r="O161" s="195" t="s">
        <v>795</v>
      </c>
      <c r="P161" s="188" t="s">
        <v>22</v>
      </c>
      <c r="Q161" s="188" t="s">
        <v>42</v>
      </c>
      <c r="R161" s="188" t="str">
        <f t="shared" si="8"/>
        <v>N/A</v>
      </c>
      <c r="S161" s="188" t="s">
        <v>41</v>
      </c>
      <c r="T161" s="189" t="s">
        <v>803</v>
      </c>
      <c r="U161" s="188" t="s">
        <v>41</v>
      </c>
      <c r="V161" s="188" t="s">
        <v>72</v>
      </c>
      <c r="W161" s="188" t="s">
        <v>101</v>
      </c>
      <c r="X161" s="190" t="s">
        <v>102</v>
      </c>
      <c r="Y161" s="189" t="s">
        <v>108</v>
      </c>
      <c r="Z161" s="188" t="s">
        <v>41</v>
      </c>
      <c r="AA161" s="195" t="s">
        <v>805</v>
      </c>
      <c r="AB161" s="183">
        <f t="shared" si="258"/>
        <v>68</v>
      </c>
      <c r="AC161" s="184">
        <f t="shared" ref="AC161" si="269">IF(AND(L161=2,P161="Probabilidad",AB161&gt;=75),50,IF(AND(P161="Probabilidad",L161=2,AB161&gt;=50),37,IF(AND(P161="Probabilidad",L161=2,AB161&gt;=25),25,IF(AND(P161="Probabilidad",L161=2,AB161&gt;10),12,IF(AND(L161=1,P161="Probabilidad",AB161&gt;=75),100,IF(AND(P161="Probabilidad",L161=1,AB161&gt;=50),75,IF(AND(P161="Probabilidad",L161=1,AB161&gt;=25),50,IF(AND(P161="Probabilidad",L161=1,AB161&gt;10),25,IF(AND(P161="Probabilidad",L161=3,AB161&gt;=75),33.3,IF(AND(P161="Probabilidad",L161=3,AB161,AB161&gt;=50),25,IF(AND(P161="Probabilidad",L161=3,AB161&gt;=25),17,IF(AND(P161="Probabilidad",L161=3,AB161&gt;10),8,0))))))))))))</f>
        <v>37</v>
      </c>
      <c r="AD161" s="184">
        <f t="shared" ref="AD161" si="270">IF(AND(L161=2,P161="Impacto",AB161&gt;=75),50,IF(AND(P161="Impacto",L161=2,AB161&gt;=50),37,IF(AND(P161="Impacto",L161=2,AB161&gt;=25),25,IF(AND(P161="Impacto",L161=2,AB161&gt;10),12,IF(AND(L161=1,P161="Impacto",AB161&gt;=75),100,IF(AND(P161="Impacto",L161=1,AB161&gt;=50),75,IF(AND(P161="Impacto",L161=1,AB161&gt;=25),50,IF(AND(P161="Impacto",L161=1,AB161&gt;10),25,IF(AND(P161="Impacto",L161=3,AB161&gt;=75),33.3,IF(AND(P161="Impacto",L161=3,AB161,AB161&gt;=50),25,IF(AND(P161="Impacto",L161=3,AB161&gt;=25),17,IF(AND(P161="Impacto",L161=3,AB161&gt;10),8,0))))))))))))</f>
        <v>0</v>
      </c>
      <c r="AE161" s="235">
        <f t="shared" ref="AE161" si="271">SUM(AC161:AC163)</f>
        <v>74</v>
      </c>
      <c r="AF161" s="235">
        <f t="shared" ref="AF161" si="272">SUM(AD161:AD163)</f>
        <v>0</v>
      </c>
      <c r="AG161" s="236">
        <f t="shared" ref="AG161" si="273">IF(AE161&gt;75,2,IF(AE161&gt;=30,1,"-"))</f>
        <v>1</v>
      </c>
      <c r="AH161" s="236" t="str">
        <f t="shared" ref="AH161" si="274">IF(AF161&gt;75,2,IF(AF161&gt;=30,1,"-"))</f>
        <v>-</v>
      </c>
      <c r="AI161" s="193"/>
      <c r="AJ161" s="237" t="str">
        <f>IF(AND(AG161=2,H161="Casi seguro"),Hoja1!$J$5,IF(AND(AG161=2,H161="Posible"),Hoja1!$J$6,IF(AND(H161="Improbable",AG161=2),Hoja1!J108,IF(AND(AG161=1,H161="Casi seguro"),Hoja1!$J$4,IF(AND(AG161=1,H161="Posible"),Hoja1!$J$5,IF(AND(AG161=1,H161="Improbable"),Hoja1!$J$6,'FT-Mapa de riesgos'!H161))))))</f>
        <v>Rara vez</v>
      </c>
      <c r="AK161" s="237" t="str">
        <f>IF(AND(AH161=2,I161="Catastrofico"),Hoja1!$K$5,IF(AND(AH161=2,I161="Mayor"),Hoja1!$K$6,IF(AND(AH161=2,I161="Moderado"),Hoja1!$K$7,IF(AND(AH161=1,I161="Catastrofico"),Hoja1!$K$4,IF(AND(AH161=1,I161="Mayor "),Hoja1!$K$5,IF(AND(AH161=1,I161="Moderado"),Hoja1!$K$6,IF(AND(AH161=2,I161="Menor"),Hoja1!$K$7,'FT-Mapa de riesgos'!I161)))))))</f>
        <v xml:space="preserve">Mayor </v>
      </c>
      <c r="AL161" s="238" t="str">
        <f>IF(ISERROR(VLOOKUP(AJ161&amp;AK161,Hoja1!$C$1:$F$25,4,0)),"",(VLOOKUP(AJ161&amp;AK161,Hoja1!$C$1:$F$25,4,0)))</f>
        <v>Alto</v>
      </c>
      <c r="AM161" s="233"/>
    </row>
    <row r="162" spans="1:39" ht="219.95" customHeight="1" x14ac:dyDescent="0.4">
      <c r="A162" s="191"/>
      <c r="B162" s="245"/>
      <c r="C162" s="242"/>
      <c r="D162" s="242"/>
      <c r="E162" s="244"/>
      <c r="F162" s="195" t="s">
        <v>782</v>
      </c>
      <c r="G162" s="247"/>
      <c r="H162" s="239"/>
      <c r="I162" s="240"/>
      <c r="J162" s="238"/>
      <c r="K162" s="185" t="s">
        <v>85</v>
      </c>
      <c r="L162" s="234"/>
      <c r="M162" s="195" t="s">
        <v>796</v>
      </c>
      <c r="N162" s="195" t="s">
        <v>797</v>
      </c>
      <c r="O162" s="195" t="s">
        <v>798</v>
      </c>
      <c r="P162" s="188" t="s">
        <v>22</v>
      </c>
      <c r="Q162" s="188" t="s">
        <v>42</v>
      </c>
      <c r="R162" s="188" t="str">
        <f t="shared" si="8"/>
        <v>N/A</v>
      </c>
      <c r="S162" s="188" t="s">
        <v>41</v>
      </c>
      <c r="T162" s="189" t="s">
        <v>803</v>
      </c>
      <c r="U162" s="188" t="s">
        <v>41</v>
      </c>
      <c r="V162" s="188" t="s">
        <v>72</v>
      </c>
      <c r="W162" s="188" t="s">
        <v>101</v>
      </c>
      <c r="X162" s="190" t="s">
        <v>102</v>
      </c>
      <c r="Y162" s="189" t="s">
        <v>108</v>
      </c>
      <c r="Z162" s="188" t="s">
        <v>41</v>
      </c>
      <c r="AA162" s="195" t="s">
        <v>806</v>
      </c>
      <c r="AB162" s="183">
        <f t="shared" si="258"/>
        <v>68</v>
      </c>
      <c r="AC162" s="184">
        <f t="shared" ref="AC162" si="275">IF(AND(L161=2,P162="Probabilidad",AB162&gt;=75),50,IF(AND(P162="Probabilidad",L161=2,AB162&gt;=50),37,IF(AND(P162="Probabilidad",L161=2,AB162&gt;=25),25,IF(AND(P162="Probabilidad",L161=2,AB162&gt;10),12,IF(AND(L161=1,P162="Probabilidad",AB162&gt;=75),100,IF(AND(P162="Probabilidad",L161=1,AB162&gt;=50),75,IF(AND(P162="Probabilidad",L161=1,AB162&gt;=25),50,IF(AND(P162="Probabilidad",L161=1,AB162&gt;10),25,IF(AND(P162="Probabilidad",L161=3,AB162&gt;=75),33.3,IF(AND(P162="Probabilidad",L161=3,AB162,AB162&gt;=50),25,IF(AND(P162="Probabilidad",L161=3,AB162&gt;=25),17,IF(AND(P162="Probabilidad",L161=3,AB162&gt;10),8,0))))))))))))</f>
        <v>37</v>
      </c>
      <c r="AD162" s="184">
        <f t="shared" ref="AD162" si="276">IF(AND(L161=2,P162="Impacto",AB162&gt;=75),50,IF(AND(P162="Impacto",L161=2,AB162&gt;=50),37,IF(AND(P162="Impacto",L161=2,AB162&gt;=25),25,IF(AND(P162="Impacto",L161=2,AB162&gt;10),12,IF(AND(L161=1,P162="Impacto",AB162&gt;=75),100,IF(AND(P162="Impacto",L161=1,AB162&gt;=50),75,IF(AND(P162="Impacto",L161=1,AB162&gt;=25),50,IF(AND(P162="Impacto",L161=1,AB162&gt;10),25,IF(AND(P162="Impacto",L161=3,AB162&gt;=75),33.3,IF(AND(P162="Impacto",L161=3,AB162,AB162&gt;=50),25,IF(AND(P162="Impacto",L161=3,AB162&gt;=25),17,IF(AND(P162="Impacto",L161=3,AB162&gt;10),8,0))))))))))))</f>
        <v>0</v>
      </c>
      <c r="AE162" s="235"/>
      <c r="AF162" s="235"/>
      <c r="AG162" s="236"/>
      <c r="AH162" s="236"/>
      <c r="AI162" s="193"/>
      <c r="AJ162" s="237"/>
      <c r="AK162" s="237"/>
      <c r="AL162" s="238"/>
      <c r="AM162" s="233"/>
    </row>
    <row r="163" spans="1:39" ht="73.5" hidden="1" customHeight="1" x14ac:dyDescent="0.4">
      <c r="A163" s="191"/>
      <c r="B163" s="245"/>
      <c r="C163" s="243"/>
      <c r="D163" s="243"/>
      <c r="E163" s="244"/>
      <c r="F163" s="195"/>
      <c r="G163" s="248"/>
      <c r="H163" s="239"/>
      <c r="I163" s="240"/>
      <c r="J163" s="238"/>
      <c r="K163" s="187"/>
      <c r="L163" s="234"/>
      <c r="M163" s="195"/>
      <c r="N163" s="195"/>
      <c r="O163" s="195"/>
      <c r="P163" s="188"/>
      <c r="Q163" s="188"/>
      <c r="R163" s="188" t="str">
        <f t="shared" si="8"/>
        <v/>
      </c>
      <c r="S163" s="188"/>
      <c r="T163" s="189"/>
      <c r="U163" s="188"/>
      <c r="V163" s="188"/>
      <c r="W163" s="188"/>
      <c r="X163" s="190"/>
      <c r="Y163" s="188"/>
      <c r="Z163" s="188"/>
      <c r="AA163" s="195"/>
      <c r="AB163" s="183">
        <f t="shared" si="258"/>
        <v>0</v>
      </c>
      <c r="AC163" s="184">
        <f t="shared" ref="AC163" si="277">IF(AND(L161=2,P163="Probabilidad",AB163&gt;=75),50,IF(AND(P163="Probabilidad",L161=2,AB163&gt;=50),37,IF(AND(P163="Probabilidad",L161=2,AB163&gt;=25),25,IF(AND(P163="Probabilidad",L161=2,AB163&gt;10),12,IF(AND(L161=1,P163="Probabilidad",AB163&gt;=75),100,IF(AND(P163="Probabilidad",L161=1,AB163&gt;=50),75,IF(AND(P163="Probabilidad",L161=1,AB163&gt;=25),50,IF(AND(P163="Probabilidad",L161=1,AB163&gt;10),25,IF(AND(P163="Probabilidad",L161=3,AB163&gt;=75),33.3,IF(AND(P163="Probabilidad",L161=3,AB163,AB163&gt;=50),25,IF(AND(P163="Probabilidad",L161=3,AB163&gt;=25),17,IF(AND(P163="Probabilidad",L161=3,AB163&gt;10),8,0))))))))))))</f>
        <v>0</v>
      </c>
      <c r="AD163" s="184">
        <f t="shared" ref="AD163" si="278">IF(AND(L161=2,P163="Impacto",AB163&gt;=75),50,IF(AND(P163="Impacto",L161=2,AB163&gt;=50),37,IF(AND(P163="Impacto",L161=2,AB163&gt;=25),25,IF(AND(P163="Impacto",L161=2,AB163&gt;10),12,IF(AND(L161=1,P163="Impacto",AB163&gt;=75),100,IF(AND(P163="Impacto",L161=1,AB163&gt;=50),75,IF(AND(P163="Impacto",L161=1,AB163&gt;=25),50,IF(AND(P163="Impacto",L161=1,AB163&gt;10),25,IF(AND(P163="Impacto",L161=3,AB163&gt;=75),33.3,IF(AND(P163="Impacto",L161=3,AB163,AB163&gt;=50),25,IF(AND(P163="Impacto",L161=3,AB163&gt;=25),17,IF(AND(P163="Impacto",L161=3,AB163&gt;10),8,0))))))))))))</f>
        <v>0</v>
      </c>
      <c r="AE163" s="235"/>
      <c r="AF163" s="235"/>
      <c r="AG163" s="236"/>
      <c r="AH163" s="236"/>
      <c r="AI163" s="193"/>
      <c r="AJ163" s="237"/>
      <c r="AK163" s="237"/>
      <c r="AL163" s="238"/>
      <c r="AM163" s="233"/>
    </row>
    <row r="164" spans="1:39" ht="300" customHeight="1" x14ac:dyDescent="0.4">
      <c r="A164" s="191"/>
      <c r="B164" s="245">
        <v>49</v>
      </c>
      <c r="C164" s="241" t="s">
        <v>783</v>
      </c>
      <c r="D164" s="241" t="s">
        <v>784</v>
      </c>
      <c r="E164" s="244" t="s">
        <v>79</v>
      </c>
      <c r="F164" s="195" t="s">
        <v>785</v>
      </c>
      <c r="G164" s="246" t="s">
        <v>786</v>
      </c>
      <c r="H164" s="239" t="s">
        <v>15</v>
      </c>
      <c r="I164" s="240" t="s">
        <v>18</v>
      </c>
      <c r="J164" s="238" t="str">
        <f>IF(ISERROR(VLOOKUP(H164&amp;I164,Hoja1!$C$1:$F$25,4,0)),"",(VLOOKUP(H164&amp;I164,Hoja1!$C$1:$F$25,4,0)))</f>
        <v>Moderado</v>
      </c>
      <c r="K164" s="185" t="s">
        <v>85</v>
      </c>
      <c r="L164" s="234">
        <v>1</v>
      </c>
      <c r="M164" s="195" t="s">
        <v>799</v>
      </c>
      <c r="N164" s="195" t="s">
        <v>800</v>
      </c>
      <c r="O164" s="195" t="s">
        <v>801</v>
      </c>
      <c r="P164" s="188" t="s">
        <v>22</v>
      </c>
      <c r="Q164" s="188" t="s">
        <v>42</v>
      </c>
      <c r="R164" s="188" t="str">
        <f t="shared" si="8"/>
        <v>N/A</v>
      </c>
      <c r="S164" s="188" t="s">
        <v>41</v>
      </c>
      <c r="T164" s="189" t="s">
        <v>803</v>
      </c>
      <c r="U164" s="188" t="s">
        <v>41</v>
      </c>
      <c r="V164" s="188" t="s">
        <v>72</v>
      </c>
      <c r="W164" s="188" t="s">
        <v>101</v>
      </c>
      <c r="X164" s="190" t="s">
        <v>102</v>
      </c>
      <c r="Y164" s="189" t="s">
        <v>108</v>
      </c>
      <c r="Z164" s="188" t="s">
        <v>41</v>
      </c>
      <c r="AA164" s="195" t="s">
        <v>804</v>
      </c>
      <c r="AB164" s="183">
        <f t="shared" si="258"/>
        <v>68</v>
      </c>
      <c r="AC164" s="184">
        <f t="shared" ref="AC164" si="279">IF(AND(L164=2,P164="Probabilidad",AB164&gt;=75),50,IF(AND(P164="Probabilidad",L164=2,AB164&gt;=50),37,IF(AND(P164="Probabilidad",L164=2,AB164&gt;=25),25,IF(AND(P164="Probabilidad",L164=2,AB164&gt;10),12,IF(AND(L164=1,P164="Probabilidad",AB164&gt;=75),100,IF(AND(P164="Probabilidad",L164=1,AB164&gt;=50),75,IF(AND(P164="Probabilidad",L164=1,AB164&gt;=25),50,IF(AND(P164="Probabilidad",L164=1,AB164&gt;10),25,IF(AND(P164="Probabilidad",L164=3,AB164&gt;=75),33.3,IF(AND(P164="Probabilidad",L164=3,AB164,AB164&gt;=50),25,IF(AND(P164="Probabilidad",L164=3,AB164&gt;=25),17,IF(AND(P164="Probabilidad",L164=3,AB164&gt;10),8,0))))))))))))</f>
        <v>75</v>
      </c>
      <c r="AD164" s="184">
        <f t="shared" ref="AD164" si="280">IF(AND(L164=2,P164="Impacto",AB164&gt;=75),50,IF(AND(P164="Impacto",L164=2,AB164&gt;=50),37,IF(AND(P164="Impacto",L164=2,AB164&gt;=25),25,IF(AND(P164="Impacto",L164=2,AB164&gt;10),12,IF(AND(L164=1,P164="Impacto",AB164&gt;=75),100,IF(AND(P164="Impacto",L164=1,AB164&gt;=50),75,IF(AND(P164="Impacto",L164=1,AB164&gt;=25),50,IF(AND(P164="Impacto",L164=1,AB164&gt;10),25,IF(AND(P164="Impacto",L164=3,AB164&gt;=75),33.3,IF(AND(P164="Impacto",L164=3,AB164,AB164&gt;=50),25,IF(AND(P164="Impacto",L164=3,AB164&gt;=25),17,IF(AND(P164="Impacto",L164=3,AB164&gt;10),8,0))))))))))))</f>
        <v>0</v>
      </c>
      <c r="AE164" s="235">
        <f t="shared" ref="AE164" si="281">SUM(AC164:AC166)</f>
        <v>75</v>
      </c>
      <c r="AF164" s="235">
        <f t="shared" ref="AF164" si="282">SUM(AD164:AD166)</f>
        <v>0</v>
      </c>
      <c r="AG164" s="236">
        <f t="shared" ref="AG164" si="283">IF(AE164&gt;75,2,IF(AE164&gt;=30,1,"-"))</f>
        <v>1</v>
      </c>
      <c r="AH164" s="236" t="str">
        <f t="shared" ref="AH164" si="284">IF(AF164&gt;75,2,IF(AF164&gt;=30,1,"-"))</f>
        <v>-</v>
      </c>
      <c r="AI164" s="193"/>
      <c r="AJ164" s="237" t="str">
        <f>IF(AND(AG164=2,H164="Casi seguro"),Hoja1!$J$5,IF(AND(AG164=2,H164="Posible"),Hoja1!$J$6,IF(AND(H164="Improbable",AG164=2),Hoja1!J111,IF(AND(AG164=1,H164="Casi seguro"),Hoja1!$J$4,IF(AND(AG164=1,H164="Posible"),Hoja1!$J$5,IF(AND(AG164=1,H164="Improbable"),Hoja1!$J$6,'FT-Mapa de riesgos'!H164))))))</f>
        <v>Improbable</v>
      </c>
      <c r="AK164" s="237" t="str">
        <f>IF(AND(AH164=2,I164="Catastrofico"),Hoja1!$K$5,IF(AND(AH164=2,I164="Mayor"),Hoja1!$K$6,IF(AND(AH164=2,I164="Moderado"),Hoja1!$K$7,IF(AND(AH164=1,I164="Catastrofico"),Hoja1!$K$4,IF(AND(AH164=1,I164="Mayor "),Hoja1!$K$5,IF(AND(AH164=1,I164="Moderado"),Hoja1!$K$6,IF(AND(AH164=2,I164="Menor"),Hoja1!$K$7,'FT-Mapa de riesgos'!I164)))))))</f>
        <v>Menor</v>
      </c>
      <c r="AL164" s="238" t="str">
        <f>IF(ISERROR(VLOOKUP(AJ164&amp;AK164,Hoja1!$C$1:$F$25,4,0)),"",(VLOOKUP(AJ164&amp;AK164,Hoja1!$C$1:$F$25,4,0)))</f>
        <v>Bajo</v>
      </c>
      <c r="AM164" s="233"/>
    </row>
    <row r="165" spans="1:39" ht="73.5" hidden="1" customHeight="1" x14ac:dyDescent="0.4">
      <c r="A165" s="191"/>
      <c r="B165" s="245"/>
      <c r="C165" s="242"/>
      <c r="D165" s="242"/>
      <c r="E165" s="244"/>
      <c r="F165" s="195"/>
      <c r="G165" s="247"/>
      <c r="H165" s="239"/>
      <c r="I165" s="240"/>
      <c r="J165" s="238"/>
      <c r="K165" s="185"/>
      <c r="L165" s="234"/>
      <c r="M165" s="195"/>
      <c r="N165" s="195"/>
      <c r="O165" s="195"/>
      <c r="P165" s="188"/>
      <c r="Q165" s="188"/>
      <c r="R165" s="188" t="str">
        <f t="shared" si="8"/>
        <v/>
      </c>
      <c r="S165" s="188"/>
      <c r="T165" s="189"/>
      <c r="U165" s="188"/>
      <c r="V165" s="188"/>
      <c r="W165" s="188"/>
      <c r="X165" s="190"/>
      <c r="Y165" s="188"/>
      <c r="Z165" s="188"/>
      <c r="AA165" s="195"/>
      <c r="AB165" s="183">
        <f t="shared" si="258"/>
        <v>0</v>
      </c>
      <c r="AC165" s="184">
        <f t="shared" ref="AC165" si="285">IF(AND(L164=2,P165="Probabilidad",AB165&gt;=75),50,IF(AND(P165="Probabilidad",L164=2,AB165&gt;=50),37,IF(AND(P165="Probabilidad",L164=2,AB165&gt;=25),25,IF(AND(P165="Probabilidad",L164=2,AB165&gt;10),12,IF(AND(L164=1,P165="Probabilidad",AB165&gt;=75),100,IF(AND(P165="Probabilidad",L164=1,AB165&gt;=50),75,IF(AND(P165="Probabilidad",L164=1,AB165&gt;=25),50,IF(AND(P165="Probabilidad",L164=1,AB165&gt;10),25,IF(AND(P165="Probabilidad",L164=3,AB165&gt;=75),33.3,IF(AND(P165="Probabilidad",L164=3,AB165,AB165&gt;=50),25,IF(AND(P165="Probabilidad",L164=3,AB165&gt;=25),17,IF(AND(P165="Probabilidad",L164=3,AB165&gt;10),8,0))))))))))))</f>
        <v>0</v>
      </c>
      <c r="AD165" s="184">
        <f t="shared" ref="AD165" si="286">IF(AND(L164=2,P165="Impacto",AB165&gt;=75),50,IF(AND(P165="Impacto",L164=2,AB165&gt;=50),37,IF(AND(P165="Impacto",L164=2,AB165&gt;=25),25,IF(AND(P165="Impacto",L164=2,AB165&gt;10),12,IF(AND(L164=1,P165="Impacto",AB165&gt;=75),100,IF(AND(P165="Impacto",L164=1,AB165&gt;=50),75,IF(AND(P165="Impacto",L164=1,AB165&gt;=25),50,IF(AND(P165="Impacto",L164=1,AB165&gt;10),25,IF(AND(P165="Impacto",L164=3,AB165&gt;=75),33.3,IF(AND(P165="Impacto",L164=3,AB165,AB165&gt;=50),25,IF(AND(P165="Impacto",L164=3,AB165&gt;=25),17,IF(AND(P165="Impacto",L164=3,AB165&gt;10),8,0))))))))))))</f>
        <v>0</v>
      </c>
      <c r="AE165" s="235"/>
      <c r="AF165" s="235"/>
      <c r="AG165" s="236"/>
      <c r="AH165" s="236"/>
      <c r="AI165" s="193"/>
      <c r="AJ165" s="237"/>
      <c r="AK165" s="237"/>
      <c r="AL165" s="238"/>
      <c r="AM165" s="233"/>
    </row>
    <row r="166" spans="1:39" ht="73.5" hidden="1" customHeight="1" x14ac:dyDescent="0.4">
      <c r="A166" s="191"/>
      <c r="B166" s="245"/>
      <c r="C166" s="243"/>
      <c r="D166" s="243"/>
      <c r="E166" s="244"/>
      <c r="F166" s="195"/>
      <c r="G166" s="248"/>
      <c r="H166" s="239"/>
      <c r="I166" s="240"/>
      <c r="J166" s="238"/>
      <c r="K166" s="187"/>
      <c r="L166" s="234"/>
      <c r="M166" s="195"/>
      <c r="N166" s="195"/>
      <c r="O166" s="195"/>
      <c r="P166" s="188"/>
      <c r="Q166" s="188"/>
      <c r="R166" s="188" t="str">
        <f t="shared" si="8"/>
        <v/>
      </c>
      <c r="S166" s="188"/>
      <c r="T166" s="189"/>
      <c r="U166" s="188"/>
      <c r="V166" s="188"/>
      <c r="W166" s="188"/>
      <c r="X166" s="190"/>
      <c r="Y166" s="188"/>
      <c r="Z166" s="188"/>
      <c r="AA166" s="195"/>
      <c r="AB166" s="183">
        <f t="shared" si="258"/>
        <v>0</v>
      </c>
      <c r="AC166" s="184">
        <f t="shared" ref="AC166" si="287">IF(AND(L164=2,P166="Probabilidad",AB166&gt;=75),50,IF(AND(P166="Probabilidad",L164=2,AB166&gt;=50),37,IF(AND(P166="Probabilidad",L164=2,AB166&gt;=25),25,IF(AND(P166="Probabilidad",L164=2,AB166&gt;10),12,IF(AND(L164=1,P166="Probabilidad",AB166&gt;=75),100,IF(AND(P166="Probabilidad",L164=1,AB166&gt;=50),75,IF(AND(P166="Probabilidad",L164=1,AB166&gt;=25),50,IF(AND(P166="Probabilidad",L164=1,AB166&gt;10),25,IF(AND(P166="Probabilidad",L164=3,AB166&gt;=75),33.3,IF(AND(P166="Probabilidad",L164=3,AB166,AB166&gt;=50),25,IF(AND(P166="Probabilidad",L164=3,AB166&gt;=25),17,IF(AND(P166="Probabilidad",L164=3,AB166&gt;10),8,0))))))))))))</f>
        <v>0</v>
      </c>
      <c r="AD166" s="184">
        <f t="shared" ref="AD166" si="288">IF(AND(L164=2,P166="Impacto",AB166&gt;=75),50,IF(AND(P166="Impacto",L164=2,AB166&gt;=50),37,IF(AND(P166="Impacto",L164=2,AB166&gt;=25),25,IF(AND(P166="Impacto",L164=2,AB166&gt;10),12,IF(AND(L164=1,P166="Impacto",AB166&gt;=75),100,IF(AND(P166="Impacto",L164=1,AB166&gt;=50),75,IF(AND(P166="Impacto",L164=1,AB166&gt;=25),50,IF(AND(P166="Impacto",L164=1,AB166&gt;10),25,IF(AND(P166="Impacto",L164=3,AB166&gt;=75),33.3,IF(AND(P166="Impacto",L164=3,AB166,AB166&gt;=50),25,IF(AND(P166="Impacto",L164=3,AB166&gt;=25),17,IF(AND(P166="Impacto",L164=3,AB166&gt;10),8,0))))))))))))</f>
        <v>0</v>
      </c>
      <c r="AE166" s="235"/>
      <c r="AF166" s="235"/>
      <c r="AG166" s="236"/>
      <c r="AH166" s="236"/>
      <c r="AI166" s="193"/>
      <c r="AJ166" s="237"/>
      <c r="AK166" s="237"/>
      <c r="AL166" s="238"/>
      <c r="AM166" s="233"/>
    </row>
    <row r="167" spans="1:39" ht="219.95" customHeight="1" x14ac:dyDescent="0.4">
      <c r="A167" s="191"/>
      <c r="B167" s="245">
        <v>50</v>
      </c>
      <c r="C167" s="241" t="s">
        <v>809</v>
      </c>
      <c r="D167" s="241" t="s">
        <v>810</v>
      </c>
      <c r="E167" s="244" t="s">
        <v>32</v>
      </c>
      <c r="F167" s="195" t="s">
        <v>811</v>
      </c>
      <c r="G167" s="246" t="s">
        <v>812</v>
      </c>
      <c r="H167" s="239" t="s">
        <v>15</v>
      </c>
      <c r="I167" s="240" t="s">
        <v>20</v>
      </c>
      <c r="J167" s="238" t="str">
        <f>IF(ISERROR(VLOOKUP(H167&amp;I167,Hoja1!$C$1:$F$25,4,0)),"",(VLOOKUP(H167&amp;I167,Hoja1!$C$1:$F$25,4,0)))</f>
        <v>Extremo</v>
      </c>
      <c r="K167" s="185" t="s">
        <v>85</v>
      </c>
      <c r="L167" s="234">
        <v>3</v>
      </c>
      <c r="M167" s="195" t="s">
        <v>820</v>
      </c>
      <c r="N167" s="195" t="s">
        <v>821</v>
      </c>
      <c r="O167" s="195" t="s">
        <v>822</v>
      </c>
      <c r="P167" s="188" t="s">
        <v>22</v>
      </c>
      <c r="Q167" s="188" t="s">
        <v>42</v>
      </c>
      <c r="R167" s="188" t="str">
        <f t="shared" si="8"/>
        <v>N/A</v>
      </c>
      <c r="S167" s="188" t="s">
        <v>41</v>
      </c>
      <c r="T167" s="189" t="s">
        <v>836</v>
      </c>
      <c r="U167" s="188" t="s">
        <v>41</v>
      </c>
      <c r="V167" s="188" t="s">
        <v>73</v>
      </c>
      <c r="W167" s="188" t="s">
        <v>101</v>
      </c>
      <c r="X167" s="190" t="s">
        <v>102</v>
      </c>
      <c r="Y167" s="189" t="s">
        <v>108</v>
      </c>
      <c r="Z167" s="188" t="s">
        <v>41</v>
      </c>
      <c r="AA167" s="195" t="s">
        <v>838</v>
      </c>
      <c r="AB167" s="183">
        <f t="shared" si="258"/>
        <v>68</v>
      </c>
      <c r="AC167" s="184">
        <f t="shared" ref="AC167" si="289">IF(AND(L167=2,P167="Probabilidad",AB167&gt;=75),50,IF(AND(P167="Probabilidad",L167=2,AB167&gt;=50),37,IF(AND(P167="Probabilidad",L167=2,AB167&gt;=25),25,IF(AND(P167="Probabilidad",L167=2,AB167&gt;10),12,IF(AND(L167=1,P167="Probabilidad",AB167&gt;=75),100,IF(AND(P167="Probabilidad",L167=1,AB167&gt;=50),75,IF(AND(P167="Probabilidad",L167=1,AB167&gt;=25),50,IF(AND(P167="Probabilidad",L167=1,AB167&gt;10),25,IF(AND(P167="Probabilidad",L167=3,AB167&gt;=75),33.3,IF(AND(P167="Probabilidad",L167=3,AB167,AB167&gt;=50),25,IF(AND(P167="Probabilidad",L167=3,AB167&gt;=25),17,IF(AND(P167="Probabilidad",L167=3,AB167&gt;10),8,0))))))))))))</f>
        <v>25</v>
      </c>
      <c r="AD167" s="184">
        <f t="shared" ref="AD167" si="290">IF(AND(L167=2,P167="Impacto",AB167&gt;=75),50,IF(AND(P167="Impacto",L167=2,AB167&gt;=50),37,IF(AND(P167="Impacto",L167=2,AB167&gt;=25),25,IF(AND(P167="Impacto",L167=2,AB167&gt;10),12,IF(AND(L167=1,P167="Impacto",AB167&gt;=75),100,IF(AND(P167="Impacto",L167=1,AB167&gt;=50),75,IF(AND(P167="Impacto",L167=1,AB167&gt;=25),50,IF(AND(P167="Impacto",L167=1,AB167&gt;10),25,IF(AND(P167="Impacto",L167=3,AB167&gt;=75),33.3,IF(AND(P167="Impacto",L167=3,AB167,AB167&gt;=50),25,IF(AND(P167="Impacto",L167=3,AB167&gt;=25),17,IF(AND(P167="Impacto",L167=3,AB167&gt;10),8,0))))))))))))</f>
        <v>0</v>
      </c>
      <c r="AE167" s="235">
        <f t="shared" ref="AE167" si="291">SUM(AC167:AC169)</f>
        <v>58.3</v>
      </c>
      <c r="AF167" s="235">
        <f t="shared" ref="AF167" si="292">SUM(AD167:AD169)</f>
        <v>25</v>
      </c>
      <c r="AG167" s="236">
        <f t="shared" ref="AG167" si="293">IF(AE167&gt;75,2,IF(AE167&gt;=30,1,"-"))</f>
        <v>1</v>
      </c>
      <c r="AH167" s="236" t="str">
        <f t="shared" ref="AH167" si="294">IF(AF167&gt;75,2,IF(AF167&gt;=30,1,"-"))</f>
        <v>-</v>
      </c>
      <c r="AI167" s="193"/>
      <c r="AJ167" s="237" t="str">
        <f>IF(AND(AG167=2,H167="Casi seguro"),Hoja1!$J$5,IF(AND(AG167=2,H167="Posible"),Hoja1!$J$6,IF(AND(H167="Improbable",AG167=2),Hoja1!J114,IF(AND(AG167=1,H167="Casi seguro"),Hoja1!$J$4,IF(AND(AG167=1,H167="Posible"),Hoja1!$J$5,IF(AND(AG167=1,H167="Improbable"),Hoja1!$J$6,'FT-Mapa de riesgos'!H167))))))</f>
        <v>Improbable</v>
      </c>
      <c r="AK167" s="237" t="str">
        <f>IF(AND(AH167=2,I167="Catastrofico"),Hoja1!$K$5,IF(AND(AH167=2,I167="Mayor"),Hoja1!$K$6,IF(AND(AH167=2,I167="Moderado"),Hoja1!$K$7,IF(AND(AH167=1,I167="Catastrofico"),Hoja1!$K$4,IF(AND(AH167=1,I167="Mayor "),Hoja1!$K$5,IF(AND(AH167=1,I167="Moderado"),Hoja1!$K$6,IF(AND(AH167=2,I167="Menor"),Hoja1!$K$7,'FT-Mapa de riesgos'!I167)))))))</f>
        <v xml:space="preserve">Mayor </v>
      </c>
      <c r="AL167" s="238" t="str">
        <f>IF(ISERROR(VLOOKUP(AJ167&amp;AK167,Hoja1!$C$1:$F$25,4,0)),"",(VLOOKUP(AJ167&amp;AK167,Hoja1!$C$1:$F$25,4,0)))</f>
        <v>Alto</v>
      </c>
      <c r="AM167" s="233"/>
    </row>
    <row r="168" spans="1:39" ht="219.95" customHeight="1" x14ac:dyDescent="0.4">
      <c r="A168" s="191"/>
      <c r="B168" s="245"/>
      <c r="C168" s="242"/>
      <c r="D168" s="242"/>
      <c r="E168" s="244"/>
      <c r="F168" s="195" t="s">
        <v>813</v>
      </c>
      <c r="G168" s="247"/>
      <c r="H168" s="239"/>
      <c r="I168" s="240"/>
      <c r="J168" s="238"/>
      <c r="K168" s="185" t="s">
        <v>85</v>
      </c>
      <c r="L168" s="234"/>
      <c r="M168" s="195" t="s">
        <v>823</v>
      </c>
      <c r="N168" s="195" t="s">
        <v>824</v>
      </c>
      <c r="O168" s="195" t="s">
        <v>825</v>
      </c>
      <c r="P168" s="188" t="s">
        <v>23</v>
      </c>
      <c r="Q168" s="188" t="s">
        <v>42</v>
      </c>
      <c r="R168" s="188" t="str">
        <f t="shared" si="8"/>
        <v>N/A</v>
      </c>
      <c r="S168" s="188" t="s">
        <v>41</v>
      </c>
      <c r="T168" s="189" t="s">
        <v>836</v>
      </c>
      <c r="U168" s="188" t="s">
        <v>41</v>
      </c>
      <c r="V168" s="188" t="s">
        <v>73</v>
      </c>
      <c r="W168" s="188" t="s">
        <v>101</v>
      </c>
      <c r="X168" s="190" t="s">
        <v>102</v>
      </c>
      <c r="Y168" s="189" t="s">
        <v>108</v>
      </c>
      <c r="Z168" s="188" t="s">
        <v>41</v>
      </c>
      <c r="AA168" s="195" t="s">
        <v>839</v>
      </c>
      <c r="AB168" s="183">
        <f t="shared" si="258"/>
        <v>68</v>
      </c>
      <c r="AC168" s="184">
        <f t="shared" ref="AC168" si="295">IF(AND(L167=2,P168="Probabilidad",AB168&gt;=75),50,IF(AND(P168="Probabilidad",L167=2,AB168&gt;=50),37,IF(AND(P168="Probabilidad",L167=2,AB168&gt;=25),25,IF(AND(P168="Probabilidad",L167=2,AB168&gt;10),12,IF(AND(L167=1,P168="Probabilidad",AB168&gt;=75),100,IF(AND(P168="Probabilidad",L167=1,AB168&gt;=50),75,IF(AND(P168="Probabilidad",L167=1,AB168&gt;=25),50,IF(AND(P168="Probabilidad",L167=1,AB168&gt;10),25,IF(AND(P168="Probabilidad",L167=3,AB168&gt;=75),33.3,IF(AND(P168="Probabilidad",L167=3,AB168,AB168&gt;=50),25,IF(AND(P168="Probabilidad",L167=3,AB168&gt;=25),17,IF(AND(P168="Probabilidad",L167=3,AB168&gt;10),8,0))))))))))))</f>
        <v>0</v>
      </c>
      <c r="AD168" s="184">
        <f t="shared" ref="AD168" si="296">IF(AND(L167=2,P168="Impacto",AB168&gt;=75),50,IF(AND(P168="Impacto",L167=2,AB168&gt;=50),37,IF(AND(P168="Impacto",L167=2,AB168&gt;=25),25,IF(AND(P168="Impacto",L167=2,AB168&gt;10),12,IF(AND(L167=1,P168="Impacto",AB168&gt;=75),100,IF(AND(P168="Impacto",L167=1,AB168&gt;=50),75,IF(AND(P168="Impacto",L167=1,AB168&gt;=25),50,IF(AND(P168="Impacto",L167=1,AB168&gt;10),25,IF(AND(P168="Impacto",L167=3,AB168&gt;=75),33.3,IF(AND(P168="Impacto",L167=3,AB168,AB168&gt;=50),25,IF(AND(P168="Impacto",L167=3,AB168&gt;=25),17,IF(AND(P168="Impacto",L167=3,AB168&gt;10),8,0))))))))))))</f>
        <v>25</v>
      </c>
      <c r="AE168" s="235"/>
      <c r="AF168" s="235"/>
      <c r="AG168" s="236"/>
      <c r="AH168" s="236"/>
      <c r="AI168" s="193"/>
      <c r="AJ168" s="237"/>
      <c r="AK168" s="237"/>
      <c r="AL168" s="238"/>
      <c r="AM168" s="233"/>
    </row>
    <row r="169" spans="1:39" ht="219.95" customHeight="1" x14ac:dyDescent="0.4">
      <c r="A169" s="191"/>
      <c r="B169" s="245"/>
      <c r="C169" s="243"/>
      <c r="D169" s="243"/>
      <c r="E169" s="244"/>
      <c r="F169" s="195" t="s">
        <v>814</v>
      </c>
      <c r="G169" s="248"/>
      <c r="H169" s="239"/>
      <c r="I169" s="240"/>
      <c r="J169" s="238"/>
      <c r="K169" s="185" t="s">
        <v>85</v>
      </c>
      <c r="L169" s="234"/>
      <c r="M169" s="195" t="s">
        <v>826</v>
      </c>
      <c r="N169" s="195" t="s">
        <v>827</v>
      </c>
      <c r="O169" s="195" t="s">
        <v>828</v>
      </c>
      <c r="P169" s="188" t="s">
        <v>22</v>
      </c>
      <c r="Q169" s="188" t="s">
        <v>41</v>
      </c>
      <c r="R169" s="189" t="s">
        <v>835</v>
      </c>
      <c r="S169" s="188" t="s">
        <v>41</v>
      </c>
      <c r="T169" s="189" t="s">
        <v>836</v>
      </c>
      <c r="U169" s="188" t="s">
        <v>41</v>
      </c>
      <c r="V169" s="188" t="s">
        <v>73</v>
      </c>
      <c r="W169" s="188" t="s">
        <v>101</v>
      </c>
      <c r="X169" s="190" t="s">
        <v>102</v>
      </c>
      <c r="Y169" s="189" t="s">
        <v>108</v>
      </c>
      <c r="Z169" s="188" t="s">
        <v>41</v>
      </c>
      <c r="AA169" s="195" t="s">
        <v>840</v>
      </c>
      <c r="AB169" s="183">
        <f t="shared" si="258"/>
        <v>100</v>
      </c>
      <c r="AC169" s="184">
        <f t="shared" ref="AC169" si="297">IF(AND(L167=2,P169="Probabilidad",AB169&gt;=75),50,IF(AND(P169="Probabilidad",L167=2,AB169&gt;=50),37,IF(AND(P169="Probabilidad",L167=2,AB169&gt;=25),25,IF(AND(P169="Probabilidad",L167=2,AB169&gt;10),12,IF(AND(L167=1,P169="Probabilidad",AB169&gt;=75),100,IF(AND(P169="Probabilidad",L167=1,AB169&gt;=50),75,IF(AND(P169="Probabilidad",L167=1,AB169&gt;=25),50,IF(AND(P169="Probabilidad",L167=1,AB169&gt;10),25,IF(AND(P169="Probabilidad",L167=3,AB169&gt;=75),33.3,IF(AND(P169="Probabilidad",L167=3,AB169,AB169&gt;=50),25,IF(AND(P169="Probabilidad",L167=3,AB169&gt;=25),17,IF(AND(P169="Probabilidad",L167=3,AB169&gt;10),8,0))))))))))))</f>
        <v>33.299999999999997</v>
      </c>
      <c r="AD169" s="184">
        <f t="shared" ref="AD169" si="298">IF(AND(L167=2,P169="Impacto",AB169&gt;=75),50,IF(AND(P169="Impacto",L167=2,AB169&gt;=50),37,IF(AND(P169="Impacto",L167=2,AB169&gt;=25),25,IF(AND(P169="Impacto",L167=2,AB169&gt;10),12,IF(AND(L167=1,P169="Impacto",AB169&gt;=75),100,IF(AND(P169="Impacto",L167=1,AB169&gt;=50),75,IF(AND(P169="Impacto",L167=1,AB169&gt;=25),50,IF(AND(P169="Impacto",L167=1,AB169&gt;10),25,IF(AND(P169="Impacto",L167=3,AB169&gt;=75),33.3,IF(AND(P169="Impacto",L167=3,AB169,AB169&gt;=50),25,IF(AND(P169="Impacto",L167=3,AB169&gt;=25),17,IF(AND(P169="Impacto",L167=3,AB169&gt;10),8,0))))))))))))</f>
        <v>0</v>
      </c>
      <c r="AE169" s="235"/>
      <c r="AF169" s="235"/>
      <c r="AG169" s="236"/>
      <c r="AH169" s="236"/>
      <c r="AI169" s="193"/>
      <c r="AJ169" s="237"/>
      <c r="AK169" s="237"/>
      <c r="AL169" s="238"/>
      <c r="AM169" s="233"/>
    </row>
    <row r="170" spans="1:39" ht="219.95" customHeight="1" x14ac:dyDescent="0.4">
      <c r="A170" s="191"/>
      <c r="B170" s="245">
        <v>51</v>
      </c>
      <c r="C170" s="241" t="s">
        <v>815</v>
      </c>
      <c r="D170" s="241" t="s">
        <v>816</v>
      </c>
      <c r="E170" s="244" t="s">
        <v>33</v>
      </c>
      <c r="F170" s="195" t="s">
        <v>817</v>
      </c>
      <c r="G170" s="246" t="s">
        <v>818</v>
      </c>
      <c r="H170" s="239" t="s">
        <v>13</v>
      </c>
      <c r="I170" s="240" t="s">
        <v>18</v>
      </c>
      <c r="J170" s="238" t="str">
        <f>IF(ISERROR(VLOOKUP(H170&amp;I170,Hoja1!$C$1:$F$25,4,0)),"",(VLOOKUP(H170&amp;I170,Hoja1!$C$1:$F$25,4,0)))</f>
        <v>Bajo</v>
      </c>
      <c r="K170" s="185" t="s">
        <v>85</v>
      </c>
      <c r="L170" s="234">
        <v>2</v>
      </c>
      <c r="M170" s="195" t="s">
        <v>829</v>
      </c>
      <c r="N170" s="195" t="s">
        <v>830</v>
      </c>
      <c r="O170" s="195" t="s">
        <v>831</v>
      </c>
      <c r="P170" s="188" t="s">
        <v>22</v>
      </c>
      <c r="Q170" s="188" t="s">
        <v>42</v>
      </c>
      <c r="R170" s="188" t="str">
        <f t="shared" si="8"/>
        <v>N/A</v>
      </c>
      <c r="S170" s="188" t="s">
        <v>41</v>
      </c>
      <c r="T170" s="189" t="s">
        <v>837</v>
      </c>
      <c r="U170" s="188" t="s">
        <v>41</v>
      </c>
      <c r="V170" s="188" t="s">
        <v>152</v>
      </c>
      <c r="W170" s="189" t="s">
        <v>167</v>
      </c>
      <c r="X170" s="190" t="s">
        <v>167</v>
      </c>
      <c r="Y170" s="189" t="s">
        <v>108</v>
      </c>
      <c r="Z170" s="188" t="s">
        <v>41</v>
      </c>
      <c r="AA170" s="195" t="s">
        <v>841</v>
      </c>
      <c r="AB170" s="183">
        <f t="shared" si="258"/>
        <v>68</v>
      </c>
      <c r="AC170" s="184">
        <f t="shared" ref="AC170" si="299">IF(AND(L170=2,P170="Probabilidad",AB170&gt;=75),50,IF(AND(P170="Probabilidad",L170=2,AB170&gt;=50),37,IF(AND(P170="Probabilidad",L170=2,AB170&gt;=25),25,IF(AND(P170="Probabilidad",L170=2,AB170&gt;10),12,IF(AND(L170=1,P170="Probabilidad",AB170&gt;=75),100,IF(AND(P170="Probabilidad",L170=1,AB170&gt;=50),75,IF(AND(P170="Probabilidad",L170=1,AB170&gt;=25),50,IF(AND(P170="Probabilidad",L170=1,AB170&gt;10),25,IF(AND(P170="Probabilidad",L170=3,AB170&gt;=75),33.3,IF(AND(P170="Probabilidad",L170=3,AB170,AB170&gt;=50),25,IF(AND(P170="Probabilidad",L170=3,AB170&gt;=25),17,IF(AND(P170="Probabilidad",L170=3,AB170&gt;10),8,0))))))))))))</f>
        <v>37</v>
      </c>
      <c r="AD170" s="184">
        <f t="shared" ref="AD170" si="300">IF(AND(L170=2,P170="Impacto",AB170&gt;=75),50,IF(AND(P170="Impacto",L170=2,AB170&gt;=50),37,IF(AND(P170="Impacto",L170=2,AB170&gt;=25),25,IF(AND(P170="Impacto",L170=2,AB170&gt;10),12,IF(AND(L170=1,P170="Impacto",AB170&gt;=75),100,IF(AND(P170="Impacto",L170=1,AB170&gt;=50),75,IF(AND(P170="Impacto",L170=1,AB170&gt;=25),50,IF(AND(P170="Impacto",L170=1,AB170&gt;10),25,IF(AND(P170="Impacto",L170=3,AB170&gt;=75),33.3,IF(AND(P170="Impacto",L170=3,AB170,AB170&gt;=50),25,IF(AND(P170="Impacto",L170=3,AB170&gt;=25),17,IF(AND(P170="Impacto",L170=3,AB170&gt;10),8,0))))))))))))</f>
        <v>0</v>
      </c>
      <c r="AE170" s="235">
        <f t="shared" ref="AE170" si="301">SUM(AC170:AC172)</f>
        <v>74</v>
      </c>
      <c r="AF170" s="235">
        <f t="shared" ref="AF170" si="302">SUM(AD170:AD172)</f>
        <v>0</v>
      </c>
      <c r="AG170" s="236">
        <f t="shared" ref="AG170" si="303">IF(AE170&gt;75,2,IF(AE170&gt;=30,1,"-"))</f>
        <v>1</v>
      </c>
      <c r="AH170" s="236" t="str">
        <f t="shared" ref="AH170" si="304">IF(AF170&gt;75,2,IF(AF170&gt;=30,1,"-"))</f>
        <v>-</v>
      </c>
      <c r="AI170" s="193"/>
      <c r="AJ170" s="237" t="str">
        <f>IF(AND(AG170=2,H170="Casi seguro"),Hoja1!$J$5,IF(AND(AG170=2,H170="Posible"),Hoja1!$J$6,IF(AND(H170="Improbable",AG170=2),Hoja1!J117,IF(AND(AG170=1,H170="Casi seguro"),Hoja1!$J$4,IF(AND(AG170=1,H170="Posible"),Hoja1!$J$5,IF(AND(AG170=1,H170="Improbable"),Hoja1!$J$6,'FT-Mapa de riesgos'!H170))))))</f>
        <v>Rara vez</v>
      </c>
      <c r="AK170" s="237" t="str">
        <f>IF(AND(AH170=2,I170="Catastrofico"),Hoja1!$K$5,IF(AND(AH170=2,I170="Mayor"),Hoja1!$K$6,IF(AND(AH170=2,I170="Moderado"),Hoja1!$K$7,IF(AND(AH170=1,I170="Catastrofico"),Hoja1!$K$4,IF(AND(AH170=1,I170="Mayor "),Hoja1!$K$5,IF(AND(AH170=1,I170="Moderado"),Hoja1!$K$6,IF(AND(AH170=2,I170="Menor"),Hoja1!$K$7,'FT-Mapa de riesgos'!I170)))))))</f>
        <v>Menor</v>
      </c>
      <c r="AL170" s="238" t="str">
        <f>IF(ISERROR(VLOOKUP(AJ170&amp;AK170,Hoja1!$C$1:$F$25,4,0)),"",(VLOOKUP(AJ170&amp;AK170,Hoja1!$C$1:$F$25,4,0)))</f>
        <v>Bajo</v>
      </c>
      <c r="AM170" s="233" t="s">
        <v>176</v>
      </c>
    </row>
    <row r="171" spans="1:39" ht="219.95" customHeight="1" x14ac:dyDescent="0.4">
      <c r="A171" s="191"/>
      <c r="B171" s="245"/>
      <c r="C171" s="242"/>
      <c r="D171" s="242"/>
      <c r="E171" s="244"/>
      <c r="F171" s="195" t="s">
        <v>819</v>
      </c>
      <c r="G171" s="247"/>
      <c r="H171" s="239"/>
      <c r="I171" s="240"/>
      <c r="J171" s="238"/>
      <c r="K171" s="185" t="s">
        <v>85</v>
      </c>
      <c r="L171" s="234"/>
      <c r="M171" s="195" t="s">
        <v>832</v>
      </c>
      <c r="N171" s="195" t="s">
        <v>833</v>
      </c>
      <c r="O171" s="195" t="s">
        <v>834</v>
      </c>
      <c r="P171" s="188" t="s">
        <v>22</v>
      </c>
      <c r="Q171" s="188" t="s">
        <v>42</v>
      </c>
      <c r="R171" s="188" t="str">
        <f t="shared" si="8"/>
        <v>N/A</v>
      </c>
      <c r="S171" s="188" t="s">
        <v>41</v>
      </c>
      <c r="T171" s="189" t="s">
        <v>837</v>
      </c>
      <c r="U171" s="188" t="s">
        <v>41</v>
      </c>
      <c r="V171" s="188" t="s">
        <v>72</v>
      </c>
      <c r="W171" s="188" t="s">
        <v>101</v>
      </c>
      <c r="X171" s="190" t="s">
        <v>102</v>
      </c>
      <c r="Y171" s="189" t="s">
        <v>108</v>
      </c>
      <c r="Z171" s="188" t="s">
        <v>41</v>
      </c>
      <c r="AA171" s="195" t="s">
        <v>842</v>
      </c>
      <c r="AB171" s="183">
        <f t="shared" si="258"/>
        <v>68</v>
      </c>
      <c r="AC171" s="184">
        <f t="shared" ref="AC171" si="305">IF(AND(L170=2,P171="Probabilidad",AB171&gt;=75),50,IF(AND(P171="Probabilidad",L170=2,AB171&gt;=50),37,IF(AND(P171="Probabilidad",L170=2,AB171&gt;=25),25,IF(AND(P171="Probabilidad",L170=2,AB171&gt;10),12,IF(AND(L170=1,P171="Probabilidad",AB171&gt;=75),100,IF(AND(P171="Probabilidad",L170=1,AB171&gt;=50),75,IF(AND(P171="Probabilidad",L170=1,AB171&gt;=25),50,IF(AND(P171="Probabilidad",L170=1,AB171&gt;10),25,IF(AND(P171="Probabilidad",L170=3,AB171&gt;=75),33.3,IF(AND(P171="Probabilidad",L170=3,AB171,AB171&gt;=50),25,IF(AND(P171="Probabilidad",L170=3,AB171&gt;=25),17,IF(AND(P171="Probabilidad",L170=3,AB171&gt;10),8,0))))))))))))</f>
        <v>37</v>
      </c>
      <c r="AD171" s="184">
        <f t="shared" ref="AD171" si="306">IF(AND(L170=2,P171="Impacto",AB171&gt;=75),50,IF(AND(P171="Impacto",L170=2,AB171&gt;=50),37,IF(AND(P171="Impacto",L170=2,AB171&gt;=25),25,IF(AND(P171="Impacto",L170=2,AB171&gt;10),12,IF(AND(L170=1,P171="Impacto",AB171&gt;=75),100,IF(AND(P171="Impacto",L170=1,AB171&gt;=50),75,IF(AND(P171="Impacto",L170=1,AB171&gt;=25),50,IF(AND(P171="Impacto",L170=1,AB171&gt;10),25,IF(AND(P171="Impacto",L170=3,AB171&gt;=75),33.3,IF(AND(P171="Impacto",L170=3,AB171,AB171&gt;=50),25,IF(AND(P171="Impacto",L170=3,AB171&gt;=25),17,IF(AND(P171="Impacto",L170=3,AB171&gt;10),8,0))))))))))))</f>
        <v>0</v>
      </c>
      <c r="AE171" s="235"/>
      <c r="AF171" s="235"/>
      <c r="AG171" s="236"/>
      <c r="AH171" s="236"/>
      <c r="AI171" s="193"/>
      <c r="AJ171" s="237"/>
      <c r="AK171" s="237"/>
      <c r="AL171" s="238"/>
      <c r="AM171" s="233"/>
    </row>
    <row r="172" spans="1:39" ht="73.5" hidden="1" customHeight="1" x14ac:dyDescent="0.4">
      <c r="A172" s="191"/>
      <c r="B172" s="245"/>
      <c r="C172" s="243"/>
      <c r="D172" s="243"/>
      <c r="E172" s="244"/>
      <c r="F172" s="195"/>
      <c r="G172" s="248"/>
      <c r="H172" s="239"/>
      <c r="I172" s="240"/>
      <c r="J172" s="238"/>
      <c r="K172" s="187"/>
      <c r="L172" s="234"/>
      <c r="M172" s="195"/>
      <c r="N172" s="195"/>
      <c r="O172" s="195"/>
      <c r="P172" s="188"/>
      <c r="Q172" s="188"/>
      <c r="R172" s="188" t="str">
        <f t="shared" si="8"/>
        <v/>
      </c>
      <c r="S172" s="188"/>
      <c r="T172" s="189"/>
      <c r="U172" s="188"/>
      <c r="V172" s="188"/>
      <c r="W172" s="188"/>
      <c r="X172" s="190"/>
      <c r="Y172" s="188"/>
      <c r="Z172" s="188"/>
      <c r="AA172" s="188"/>
      <c r="AB172" s="183">
        <f t="shared" si="258"/>
        <v>0</v>
      </c>
      <c r="AC172" s="184">
        <f t="shared" ref="AC172" si="307">IF(AND(L170=2,P172="Probabilidad",AB172&gt;=75),50,IF(AND(P172="Probabilidad",L170=2,AB172&gt;=50),37,IF(AND(P172="Probabilidad",L170=2,AB172&gt;=25),25,IF(AND(P172="Probabilidad",L170=2,AB172&gt;10),12,IF(AND(L170=1,P172="Probabilidad",AB172&gt;=75),100,IF(AND(P172="Probabilidad",L170=1,AB172&gt;=50),75,IF(AND(P172="Probabilidad",L170=1,AB172&gt;=25),50,IF(AND(P172="Probabilidad",L170=1,AB172&gt;10),25,IF(AND(P172="Probabilidad",L170=3,AB172&gt;=75),33.3,IF(AND(P172="Probabilidad",L170=3,AB172,AB172&gt;=50),25,IF(AND(P172="Probabilidad",L170=3,AB172&gt;=25),17,IF(AND(P172="Probabilidad",L170=3,AB172&gt;10),8,0))))))))))))</f>
        <v>0</v>
      </c>
      <c r="AD172" s="184">
        <f t="shared" ref="AD172" si="308">IF(AND(L170=2,P172="Impacto",AB172&gt;=75),50,IF(AND(P172="Impacto",L170=2,AB172&gt;=50),37,IF(AND(P172="Impacto",L170=2,AB172&gt;=25),25,IF(AND(P172="Impacto",L170=2,AB172&gt;10),12,IF(AND(L170=1,P172="Impacto",AB172&gt;=75),100,IF(AND(P172="Impacto",L170=1,AB172&gt;=50),75,IF(AND(P172="Impacto",L170=1,AB172&gt;=25),50,IF(AND(P172="Impacto",L170=1,AB172&gt;10),25,IF(AND(P172="Impacto",L170=3,AB172&gt;=75),33.3,IF(AND(P172="Impacto",L170=3,AB172,AB172&gt;=50),25,IF(AND(P172="Impacto",L170=3,AB172&gt;=25),17,IF(AND(P172="Impacto",L170=3,AB172&gt;10),8,0))))))))))))</f>
        <v>0</v>
      </c>
      <c r="AE172" s="235"/>
      <c r="AF172" s="235"/>
      <c r="AG172" s="236"/>
      <c r="AH172" s="236"/>
      <c r="AI172" s="193"/>
      <c r="AJ172" s="237"/>
      <c r="AK172" s="237"/>
      <c r="AL172" s="238"/>
      <c r="AM172" s="233"/>
    </row>
    <row r="173" spans="1:39" ht="219.95" customHeight="1" x14ac:dyDescent="0.4">
      <c r="A173" s="191"/>
      <c r="B173" s="245">
        <v>52</v>
      </c>
      <c r="C173" s="241" t="s">
        <v>843</v>
      </c>
      <c r="D173" s="241" t="s">
        <v>844</v>
      </c>
      <c r="E173" s="244" t="s">
        <v>36</v>
      </c>
      <c r="F173" s="195" t="s">
        <v>845</v>
      </c>
      <c r="G173" s="246" t="s">
        <v>846</v>
      </c>
      <c r="H173" s="239" t="s">
        <v>13</v>
      </c>
      <c r="I173" s="240" t="s">
        <v>21</v>
      </c>
      <c r="J173" s="238" t="str">
        <f>IF(ISERROR(VLOOKUP(H173&amp;I173,Hoja1!$C$1:$F$25,4,0)),"",(VLOOKUP(H173&amp;I173,Hoja1!$C$1:$F$25,4,0)))</f>
        <v>Alto</v>
      </c>
      <c r="K173" s="185" t="s">
        <v>85</v>
      </c>
      <c r="L173" s="234">
        <v>2</v>
      </c>
      <c r="M173" s="195" t="s">
        <v>857</v>
      </c>
      <c r="N173" s="195" t="s">
        <v>858</v>
      </c>
      <c r="O173" s="195" t="s">
        <v>859</v>
      </c>
      <c r="P173" s="188" t="s">
        <v>23</v>
      </c>
      <c r="Q173" s="188" t="s">
        <v>42</v>
      </c>
      <c r="R173" s="188" t="str">
        <f t="shared" si="8"/>
        <v>N/A</v>
      </c>
      <c r="S173" s="188" t="s">
        <v>41</v>
      </c>
      <c r="T173" s="189" t="s">
        <v>872</v>
      </c>
      <c r="U173" s="188" t="s">
        <v>41</v>
      </c>
      <c r="V173" s="188" t="s">
        <v>151</v>
      </c>
      <c r="W173" s="189" t="s">
        <v>167</v>
      </c>
      <c r="X173" s="190" t="s">
        <v>102</v>
      </c>
      <c r="Y173" s="189" t="s">
        <v>108</v>
      </c>
      <c r="Z173" s="188" t="s">
        <v>41</v>
      </c>
      <c r="AA173" s="195" t="s">
        <v>808</v>
      </c>
      <c r="AB173" s="183">
        <f t="shared" ref="AB173:AB187" si="309">SUM(IF(Q173="Si",Q$15,0)+(IF(S173="Si",S$15,0))+IF(U173="Si",U$15,0)+IF(Z173="Si",Z$15,0))</f>
        <v>68</v>
      </c>
      <c r="AC173" s="184">
        <f t="shared" ref="AC173" si="310">IF(AND(L173=2,P173="Probabilidad",AB173&gt;=75),50,IF(AND(P173="Probabilidad",L173=2,AB173&gt;=50),37,IF(AND(P173="Probabilidad",L173=2,AB173&gt;=25),25,IF(AND(P173="Probabilidad",L173=2,AB173&gt;10),12,IF(AND(L173=1,P173="Probabilidad",AB173&gt;=75),100,IF(AND(P173="Probabilidad",L173=1,AB173&gt;=50),75,IF(AND(P173="Probabilidad",L173=1,AB173&gt;=25),50,IF(AND(P173="Probabilidad",L173=1,AB173&gt;10),25,IF(AND(P173="Probabilidad",L173=3,AB173&gt;=75),33.3,IF(AND(P173="Probabilidad",L173=3,AB173,AB173&gt;=50),25,IF(AND(P173="Probabilidad",L173=3,AB173&gt;=25),17,IF(AND(P173="Probabilidad",L173=3,AB173&gt;10),8,0))))))))))))</f>
        <v>0</v>
      </c>
      <c r="AD173" s="184">
        <f t="shared" ref="AD173" si="311">IF(AND(L173=2,P173="Impacto",AB173&gt;=75),50,IF(AND(P173="Impacto",L173=2,AB173&gt;=50),37,IF(AND(P173="Impacto",L173=2,AB173&gt;=25),25,IF(AND(P173="Impacto",L173=2,AB173&gt;10),12,IF(AND(L173=1,P173="Impacto",AB173&gt;=75),100,IF(AND(P173="Impacto",L173=1,AB173&gt;=50),75,IF(AND(P173="Impacto",L173=1,AB173&gt;=25),50,IF(AND(P173="Impacto",L173=1,AB173&gt;10),25,IF(AND(P173="Impacto",L173=3,AB173&gt;=75),33.3,IF(AND(P173="Impacto",L173=3,AB173,AB173&gt;=50),25,IF(AND(P173="Impacto",L173=3,AB173&gt;=25),17,IF(AND(P173="Impacto",L173=3,AB173&gt;10),8,0))))))))))))</f>
        <v>37</v>
      </c>
      <c r="AE173" s="235">
        <f t="shared" ref="AE173" si="312">SUM(AC173:AC175)</f>
        <v>37</v>
      </c>
      <c r="AF173" s="235">
        <f t="shared" ref="AF173" si="313">SUM(AD173:AD175)</f>
        <v>37</v>
      </c>
      <c r="AG173" s="236">
        <f t="shared" ref="AG173" si="314">IF(AE173&gt;75,2,IF(AE173&gt;=30,1,"-"))</f>
        <v>1</v>
      </c>
      <c r="AH173" s="236">
        <f t="shared" ref="AH173" si="315">IF(AF173&gt;75,2,IF(AF173&gt;=30,1,"-"))</f>
        <v>1</v>
      </c>
      <c r="AI173" s="193"/>
      <c r="AJ173" s="237" t="str">
        <f>IF(AND(AG173=2,H173="Casi seguro"),Hoja1!$J$5,IF(AND(AG173=2,H173="Posible"),Hoja1!$J$6,IF(AND(H173="Improbable",AG173=2),Hoja1!J120,IF(AND(AG173=1,H173="Casi seguro"),Hoja1!$J$4,IF(AND(AG173=1,H173="Posible"),Hoja1!$J$5,IF(AND(AG173=1,H173="Improbable"),Hoja1!$J$6,'FT-Mapa de riesgos'!H173))))))</f>
        <v>Rara vez</v>
      </c>
      <c r="AK173" s="237" t="str">
        <f>IF(AND(AH173=2,I173="Catastrofico"),Hoja1!$K$5,IF(AND(AH173=2,I173="Mayor"),Hoja1!$K$6,IF(AND(AH173=2,I173="Moderado"),Hoja1!$K$7,IF(AND(AH173=1,I173="Catastrofico"),Hoja1!$K$4,IF(AND(AH173=1,I173="Mayor "),Hoja1!$K$5,IF(AND(AH173=1,I173="Moderado"),Hoja1!$K$6,IF(AND(AH173=2,I173="Menor"),Hoja1!$K$7,'FT-Mapa de riesgos'!I173)))))))</f>
        <v xml:space="preserve">Mayor </v>
      </c>
      <c r="AL173" s="238" t="str">
        <f>IF(ISERROR(VLOOKUP(AJ173&amp;AK173,Hoja1!$C$1:$F$25,4,0)),"",(VLOOKUP(AJ173&amp;AK173,Hoja1!$C$1:$F$25,4,0)))</f>
        <v>Alto</v>
      </c>
      <c r="AM173" s="233"/>
    </row>
    <row r="174" spans="1:39" ht="282" customHeight="1" x14ac:dyDescent="0.4">
      <c r="A174" s="191"/>
      <c r="B174" s="245"/>
      <c r="C174" s="242"/>
      <c r="D174" s="242"/>
      <c r="E174" s="244"/>
      <c r="F174" s="195" t="s">
        <v>847</v>
      </c>
      <c r="G174" s="247"/>
      <c r="H174" s="239"/>
      <c r="I174" s="240"/>
      <c r="J174" s="238"/>
      <c r="K174" s="185" t="s">
        <v>85</v>
      </c>
      <c r="L174" s="234"/>
      <c r="M174" s="195" t="s">
        <v>860</v>
      </c>
      <c r="N174" s="195" t="s">
        <v>861</v>
      </c>
      <c r="O174" s="195" t="s">
        <v>862</v>
      </c>
      <c r="P174" s="188" t="s">
        <v>22</v>
      </c>
      <c r="Q174" s="188" t="s">
        <v>42</v>
      </c>
      <c r="R174" s="188" t="str">
        <f t="shared" si="8"/>
        <v>N/A</v>
      </c>
      <c r="S174" s="188" t="s">
        <v>41</v>
      </c>
      <c r="T174" s="189" t="s">
        <v>872</v>
      </c>
      <c r="U174" s="188" t="s">
        <v>41</v>
      </c>
      <c r="V174" s="188" t="s">
        <v>151</v>
      </c>
      <c r="W174" s="189" t="s">
        <v>167</v>
      </c>
      <c r="X174" s="190" t="s">
        <v>102</v>
      </c>
      <c r="Y174" s="189" t="s">
        <v>108</v>
      </c>
      <c r="Z174" s="188" t="s">
        <v>41</v>
      </c>
      <c r="AA174" s="195" t="s">
        <v>875</v>
      </c>
      <c r="AB174" s="183">
        <f t="shared" si="309"/>
        <v>68</v>
      </c>
      <c r="AC174" s="184">
        <f t="shared" ref="AC174" si="316">IF(AND(L173=2,P174="Probabilidad",AB174&gt;=75),50,IF(AND(P174="Probabilidad",L173=2,AB174&gt;=50),37,IF(AND(P174="Probabilidad",L173=2,AB174&gt;=25),25,IF(AND(P174="Probabilidad",L173=2,AB174&gt;10),12,IF(AND(L173=1,P174="Probabilidad",AB174&gt;=75),100,IF(AND(P174="Probabilidad",L173=1,AB174&gt;=50),75,IF(AND(P174="Probabilidad",L173=1,AB174&gt;=25),50,IF(AND(P174="Probabilidad",L173=1,AB174&gt;10),25,IF(AND(P174="Probabilidad",L173=3,AB174&gt;=75),33.3,IF(AND(P174="Probabilidad",L173=3,AB174,AB174&gt;=50),25,IF(AND(P174="Probabilidad",L173=3,AB174&gt;=25),17,IF(AND(P174="Probabilidad",L173=3,AB174&gt;10),8,0))))))))))))</f>
        <v>37</v>
      </c>
      <c r="AD174" s="184">
        <f t="shared" ref="AD174" si="317">IF(AND(L173=2,P174="Impacto",AB174&gt;=75),50,IF(AND(P174="Impacto",L173=2,AB174&gt;=50),37,IF(AND(P174="Impacto",L173=2,AB174&gt;=25),25,IF(AND(P174="Impacto",L173=2,AB174&gt;10),12,IF(AND(L173=1,P174="Impacto",AB174&gt;=75),100,IF(AND(P174="Impacto",L173=1,AB174&gt;=50),75,IF(AND(P174="Impacto",L173=1,AB174&gt;=25),50,IF(AND(P174="Impacto",L173=1,AB174&gt;10),25,IF(AND(P174="Impacto",L173=3,AB174&gt;=75),33.3,IF(AND(P174="Impacto",L173=3,AB174,AB174&gt;=50),25,IF(AND(P174="Impacto",L173=3,AB174&gt;=25),17,IF(AND(P174="Impacto",L173=3,AB174&gt;10),8,0))))))))))))</f>
        <v>0</v>
      </c>
      <c r="AE174" s="235"/>
      <c r="AF174" s="235"/>
      <c r="AG174" s="236"/>
      <c r="AH174" s="236"/>
      <c r="AI174" s="193"/>
      <c r="AJ174" s="237"/>
      <c r="AK174" s="237"/>
      <c r="AL174" s="238"/>
      <c r="AM174" s="233"/>
    </row>
    <row r="175" spans="1:39" ht="73.5" hidden="1" customHeight="1" x14ac:dyDescent="0.4">
      <c r="A175" s="191"/>
      <c r="B175" s="245"/>
      <c r="C175" s="243"/>
      <c r="D175" s="243"/>
      <c r="E175" s="244"/>
      <c r="F175" s="195"/>
      <c r="G175" s="248"/>
      <c r="H175" s="239"/>
      <c r="I175" s="240"/>
      <c r="J175" s="238"/>
      <c r="K175" s="187"/>
      <c r="L175" s="234"/>
      <c r="M175" s="195"/>
      <c r="N175" s="195"/>
      <c r="O175" s="195"/>
      <c r="P175" s="188"/>
      <c r="Q175" s="188"/>
      <c r="R175" s="188" t="str">
        <f t="shared" si="8"/>
        <v/>
      </c>
      <c r="S175" s="188"/>
      <c r="T175" s="189"/>
      <c r="U175" s="188"/>
      <c r="V175" s="188"/>
      <c r="W175" s="188"/>
      <c r="X175" s="190"/>
      <c r="Y175" s="188"/>
      <c r="Z175" s="188"/>
      <c r="AA175" s="195"/>
      <c r="AB175" s="183">
        <f t="shared" si="309"/>
        <v>0</v>
      </c>
      <c r="AC175" s="184">
        <f t="shared" ref="AC175" si="318">IF(AND(L173=2,P175="Probabilidad",AB175&gt;=75),50,IF(AND(P175="Probabilidad",L173=2,AB175&gt;=50),37,IF(AND(P175="Probabilidad",L173=2,AB175&gt;=25),25,IF(AND(P175="Probabilidad",L173=2,AB175&gt;10),12,IF(AND(L173=1,P175="Probabilidad",AB175&gt;=75),100,IF(AND(P175="Probabilidad",L173=1,AB175&gt;=50),75,IF(AND(P175="Probabilidad",L173=1,AB175&gt;=25),50,IF(AND(P175="Probabilidad",L173=1,AB175&gt;10),25,IF(AND(P175="Probabilidad",L173=3,AB175&gt;=75),33.3,IF(AND(P175="Probabilidad",L173=3,AB175,AB175&gt;=50),25,IF(AND(P175="Probabilidad",L173=3,AB175&gt;=25),17,IF(AND(P175="Probabilidad",L173=3,AB175&gt;10),8,0))))))))))))</f>
        <v>0</v>
      </c>
      <c r="AD175" s="184">
        <f t="shared" ref="AD175" si="319">IF(AND(L173=2,P175="Impacto",AB175&gt;=75),50,IF(AND(P175="Impacto",L173=2,AB175&gt;=50),37,IF(AND(P175="Impacto",L173=2,AB175&gt;=25),25,IF(AND(P175="Impacto",L173=2,AB175&gt;10),12,IF(AND(L173=1,P175="Impacto",AB175&gt;=75),100,IF(AND(P175="Impacto",L173=1,AB175&gt;=50),75,IF(AND(P175="Impacto",L173=1,AB175&gt;=25),50,IF(AND(P175="Impacto",L173=1,AB175&gt;10),25,IF(AND(P175="Impacto",L173=3,AB175&gt;=75),33.3,IF(AND(P175="Impacto",L173=3,AB175,AB175&gt;=50),25,IF(AND(P175="Impacto",L173=3,AB175&gt;=25),17,IF(AND(P175="Impacto",L173=3,AB175&gt;10),8,0))))))))))))</f>
        <v>0</v>
      </c>
      <c r="AE175" s="235"/>
      <c r="AF175" s="235"/>
      <c r="AG175" s="236"/>
      <c r="AH175" s="236"/>
      <c r="AI175" s="193"/>
      <c r="AJ175" s="237"/>
      <c r="AK175" s="237"/>
      <c r="AL175" s="238"/>
      <c r="AM175" s="233"/>
    </row>
    <row r="176" spans="1:39" ht="219.95" customHeight="1" x14ac:dyDescent="0.4">
      <c r="A176" s="191"/>
      <c r="B176" s="245">
        <v>53</v>
      </c>
      <c r="C176" s="241" t="s">
        <v>848</v>
      </c>
      <c r="D176" s="241" t="s">
        <v>849</v>
      </c>
      <c r="E176" s="244" t="s">
        <v>35</v>
      </c>
      <c r="F176" s="195" t="s">
        <v>850</v>
      </c>
      <c r="G176" s="246" t="s">
        <v>851</v>
      </c>
      <c r="H176" s="239" t="s">
        <v>13</v>
      </c>
      <c r="I176" s="240" t="s">
        <v>19</v>
      </c>
      <c r="J176" s="238" t="str">
        <f>IF(ISERROR(VLOOKUP(H176&amp;I176,Hoja1!$C$1:$F$25,4,0)),"",(VLOOKUP(H176&amp;I176,Hoja1!$C$1:$F$25,4,0)))</f>
        <v>Moderado</v>
      </c>
      <c r="K176" s="185" t="s">
        <v>85</v>
      </c>
      <c r="L176" s="234">
        <v>2</v>
      </c>
      <c r="M176" s="195" t="s">
        <v>863</v>
      </c>
      <c r="N176" s="195" t="s">
        <v>864</v>
      </c>
      <c r="O176" s="195" t="s">
        <v>865</v>
      </c>
      <c r="P176" s="188" t="s">
        <v>22</v>
      </c>
      <c r="Q176" s="188" t="s">
        <v>42</v>
      </c>
      <c r="R176" s="188" t="str">
        <f t="shared" si="8"/>
        <v>N/A</v>
      </c>
      <c r="S176" s="188" t="s">
        <v>41</v>
      </c>
      <c r="T176" s="189" t="s">
        <v>873</v>
      </c>
      <c r="U176" s="188" t="s">
        <v>41</v>
      </c>
      <c r="V176" s="188" t="s">
        <v>152</v>
      </c>
      <c r="W176" s="188" t="s">
        <v>101</v>
      </c>
      <c r="X176" s="190" t="s">
        <v>167</v>
      </c>
      <c r="Y176" s="189" t="s">
        <v>167</v>
      </c>
      <c r="Z176" s="188" t="s">
        <v>41</v>
      </c>
      <c r="AA176" s="195" t="s">
        <v>876</v>
      </c>
      <c r="AB176" s="183">
        <f t="shared" si="309"/>
        <v>68</v>
      </c>
      <c r="AC176" s="184">
        <f t="shared" ref="AC176" si="320">IF(AND(L176=2,P176="Probabilidad",AB176&gt;=75),50,IF(AND(P176="Probabilidad",L176=2,AB176&gt;=50),37,IF(AND(P176="Probabilidad",L176=2,AB176&gt;=25),25,IF(AND(P176="Probabilidad",L176=2,AB176&gt;10),12,IF(AND(L176=1,P176="Probabilidad",AB176&gt;=75),100,IF(AND(P176="Probabilidad",L176=1,AB176&gt;=50),75,IF(AND(P176="Probabilidad",L176=1,AB176&gt;=25),50,IF(AND(P176="Probabilidad",L176=1,AB176&gt;10),25,IF(AND(P176="Probabilidad",L176=3,AB176&gt;=75),33.3,IF(AND(P176="Probabilidad",L176=3,AB176,AB176&gt;=50),25,IF(AND(P176="Probabilidad",L176=3,AB176&gt;=25),17,IF(AND(P176="Probabilidad",L176=3,AB176&gt;10),8,0))))))))))))</f>
        <v>37</v>
      </c>
      <c r="AD176" s="184">
        <f t="shared" ref="AD176" si="321">IF(AND(L176=2,P176="Impacto",AB176&gt;=75),50,IF(AND(P176="Impacto",L176=2,AB176&gt;=50),37,IF(AND(P176="Impacto",L176=2,AB176&gt;=25),25,IF(AND(P176="Impacto",L176=2,AB176&gt;10),12,IF(AND(L176=1,P176="Impacto",AB176&gt;=75),100,IF(AND(P176="Impacto",L176=1,AB176&gt;=50),75,IF(AND(P176="Impacto",L176=1,AB176&gt;=25),50,IF(AND(P176="Impacto",L176=1,AB176&gt;10),25,IF(AND(P176="Impacto",L176=3,AB176&gt;=75),33.3,IF(AND(P176="Impacto",L176=3,AB176,AB176&gt;=50),25,IF(AND(P176="Impacto",L176=3,AB176&gt;=25),17,IF(AND(P176="Impacto",L176=3,AB176&gt;10),8,0))))))))))))</f>
        <v>0</v>
      </c>
      <c r="AE176" s="235">
        <f t="shared" ref="AE176" si="322">SUM(AC176:AC178)</f>
        <v>74</v>
      </c>
      <c r="AF176" s="235">
        <f t="shared" ref="AF176" si="323">SUM(AD176:AD178)</f>
        <v>0</v>
      </c>
      <c r="AG176" s="236">
        <f t="shared" ref="AG176" si="324">IF(AE176&gt;75,2,IF(AE176&gt;=30,1,"-"))</f>
        <v>1</v>
      </c>
      <c r="AH176" s="236" t="str">
        <f t="shared" ref="AH176" si="325">IF(AF176&gt;75,2,IF(AF176&gt;=30,1,"-"))</f>
        <v>-</v>
      </c>
      <c r="AI176" s="193"/>
      <c r="AJ176" s="237" t="str">
        <f>IF(AND(AG176=2,H176="Casi seguro"),Hoja1!$J$5,IF(AND(AG176=2,H176="Posible"),Hoja1!$J$6,IF(AND(H176="Improbable",AG176=2),Hoja1!J123,IF(AND(AG176=1,H176="Casi seguro"),Hoja1!$J$4,IF(AND(AG176=1,H176="Posible"),Hoja1!$J$5,IF(AND(AG176=1,H176="Improbable"),Hoja1!$J$6,'FT-Mapa de riesgos'!H176))))))</f>
        <v>Rara vez</v>
      </c>
      <c r="AK176" s="237" t="str">
        <f>IF(AND(AH176=2,I176="Catastrofico"),Hoja1!$K$5,IF(AND(AH176=2,I176="Mayor"),Hoja1!$K$6,IF(AND(AH176=2,I176="Moderado"),Hoja1!$K$7,IF(AND(AH176=1,I176="Catastrofico"),Hoja1!$K$4,IF(AND(AH176=1,I176="Mayor "),Hoja1!$K$5,IF(AND(AH176=1,I176="Moderado"),Hoja1!$K$6,IF(AND(AH176=2,I176="Menor"),Hoja1!$K$7,'FT-Mapa de riesgos'!I176)))))))</f>
        <v>Moderado</v>
      </c>
      <c r="AL176" s="238" t="str">
        <f>IF(ISERROR(VLOOKUP(AJ176&amp;AK176,Hoja1!$C$1:$F$25,4,0)),"",(VLOOKUP(AJ176&amp;AK176,Hoja1!$C$1:$F$25,4,0)))</f>
        <v>Moderado</v>
      </c>
      <c r="AM176" s="233"/>
    </row>
    <row r="177" spans="1:39" ht="219.95" customHeight="1" x14ac:dyDescent="0.4">
      <c r="A177" s="191"/>
      <c r="B177" s="245"/>
      <c r="C177" s="242"/>
      <c r="D177" s="242"/>
      <c r="E177" s="244"/>
      <c r="F177" s="195" t="s">
        <v>852</v>
      </c>
      <c r="G177" s="247"/>
      <c r="H177" s="239"/>
      <c r="I177" s="240"/>
      <c r="J177" s="238"/>
      <c r="K177" s="185" t="s">
        <v>85</v>
      </c>
      <c r="L177" s="234"/>
      <c r="M177" s="195" t="s">
        <v>866</v>
      </c>
      <c r="N177" s="195" t="s">
        <v>867</v>
      </c>
      <c r="O177" s="195" t="s">
        <v>868</v>
      </c>
      <c r="P177" s="188" t="s">
        <v>22</v>
      </c>
      <c r="Q177" s="188" t="s">
        <v>42</v>
      </c>
      <c r="R177" s="188" t="str">
        <f t="shared" si="8"/>
        <v>N/A</v>
      </c>
      <c r="S177" s="188" t="s">
        <v>41</v>
      </c>
      <c r="T177" s="189" t="s">
        <v>873</v>
      </c>
      <c r="U177" s="188" t="s">
        <v>41</v>
      </c>
      <c r="V177" s="188" t="s">
        <v>73</v>
      </c>
      <c r="W177" s="188" t="s">
        <v>101</v>
      </c>
      <c r="X177" s="190" t="s">
        <v>102</v>
      </c>
      <c r="Y177" s="189" t="s">
        <v>108</v>
      </c>
      <c r="Z177" s="188" t="s">
        <v>41</v>
      </c>
      <c r="AA177" s="195" t="s">
        <v>877</v>
      </c>
      <c r="AB177" s="183">
        <f t="shared" si="309"/>
        <v>68</v>
      </c>
      <c r="AC177" s="184">
        <f t="shared" ref="AC177" si="326">IF(AND(L176=2,P177="Probabilidad",AB177&gt;=75),50,IF(AND(P177="Probabilidad",L176=2,AB177&gt;=50),37,IF(AND(P177="Probabilidad",L176=2,AB177&gt;=25),25,IF(AND(P177="Probabilidad",L176=2,AB177&gt;10),12,IF(AND(L176=1,P177="Probabilidad",AB177&gt;=75),100,IF(AND(P177="Probabilidad",L176=1,AB177&gt;=50),75,IF(AND(P177="Probabilidad",L176=1,AB177&gt;=25),50,IF(AND(P177="Probabilidad",L176=1,AB177&gt;10),25,IF(AND(P177="Probabilidad",L176=3,AB177&gt;=75),33.3,IF(AND(P177="Probabilidad",L176=3,AB177,AB177&gt;=50),25,IF(AND(P177="Probabilidad",L176=3,AB177&gt;=25),17,IF(AND(P177="Probabilidad",L176=3,AB177&gt;10),8,0))))))))))))</f>
        <v>37</v>
      </c>
      <c r="AD177" s="184">
        <f t="shared" ref="AD177" si="327">IF(AND(L176=2,P177="Impacto",AB177&gt;=75),50,IF(AND(P177="Impacto",L176=2,AB177&gt;=50),37,IF(AND(P177="Impacto",L176=2,AB177&gt;=25),25,IF(AND(P177="Impacto",L176=2,AB177&gt;10),12,IF(AND(L176=1,P177="Impacto",AB177&gt;=75),100,IF(AND(P177="Impacto",L176=1,AB177&gt;=50),75,IF(AND(P177="Impacto",L176=1,AB177&gt;=25),50,IF(AND(P177="Impacto",L176=1,AB177&gt;10),25,IF(AND(P177="Impacto",L176=3,AB177&gt;=75),33.3,IF(AND(P177="Impacto",L176=3,AB177,AB177&gt;=50),25,IF(AND(P177="Impacto",L176=3,AB177&gt;=25),17,IF(AND(P177="Impacto",L176=3,AB177&gt;10),8,0))))))))))))</f>
        <v>0</v>
      </c>
      <c r="AE177" s="235"/>
      <c r="AF177" s="235"/>
      <c r="AG177" s="236"/>
      <c r="AH177" s="236"/>
      <c r="AI177" s="193"/>
      <c r="AJ177" s="237"/>
      <c r="AK177" s="237"/>
      <c r="AL177" s="238"/>
      <c r="AM177" s="233"/>
    </row>
    <row r="178" spans="1:39" ht="73.5" hidden="1" customHeight="1" x14ac:dyDescent="0.4">
      <c r="A178" s="191"/>
      <c r="B178" s="245"/>
      <c r="C178" s="243"/>
      <c r="D178" s="243"/>
      <c r="E178" s="244"/>
      <c r="F178" s="195"/>
      <c r="G178" s="248"/>
      <c r="H178" s="239"/>
      <c r="I178" s="240"/>
      <c r="J178" s="238"/>
      <c r="K178" s="187"/>
      <c r="L178" s="234"/>
      <c r="M178" s="195"/>
      <c r="N178" s="195"/>
      <c r="O178" s="195"/>
      <c r="P178" s="188"/>
      <c r="Q178" s="188"/>
      <c r="R178" s="188" t="str">
        <f t="shared" si="8"/>
        <v/>
      </c>
      <c r="S178" s="188"/>
      <c r="T178" s="189"/>
      <c r="U178" s="188"/>
      <c r="V178" s="188"/>
      <c r="W178" s="188"/>
      <c r="X178" s="190"/>
      <c r="Y178" s="188"/>
      <c r="Z178" s="188"/>
      <c r="AA178" s="195"/>
      <c r="AB178" s="183">
        <f t="shared" si="309"/>
        <v>0</v>
      </c>
      <c r="AC178" s="184">
        <f t="shared" ref="AC178" si="328">IF(AND(L176=2,P178="Probabilidad",AB178&gt;=75),50,IF(AND(P178="Probabilidad",L176=2,AB178&gt;=50),37,IF(AND(P178="Probabilidad",L176=2,AB178&gt;=25),25,IF(AND(P178="Probabilidad",L176=2,AB178&gt;10),12,IF(AND(L176=1,P178="Probabilidad",AB178&gt;=75),100,IF(AND(P178="Probabilidad",L176=1,AB178&gt;=50),75,IF(AND(P178="Probabilidad",L176=1,AB178&gt;=25),50,IF(AND(P178="Probabilidad",L176=1,AB178&gt;10),25,IF(AND(P178="Probabilidad",L176=3,AB178&gt;=75),33.3,IF(AND(P178="Probabilidad",L176=3,AB178,AB178&gt;=50),25,IF(AND(P178="Probabilidad",L176=3,AB178&gt;=25),17,IF(AND(P178="Probabilidad",L176=3,AB178&gt;10),8,0))))))))))))</f>
        <v>0</v>
      </c>
      <c r="AD178" s="184">
        <f t="shared" ref="AD178" si="329">IF(AND(L176=2,P178="Impacto",AB178&gt;=75),50,IF(AND(P178="Impacto",L176=2,AB178&gt;=50),37,IF(AND(P178="Impacto",L176=2,AB178&gt;=25),25,IF(AND(P178="Impacto",L176=2,AB178&gt;10),12,IF(AND(L176=1,P178="Impacto",AB178&gt;=75),100,IF(AND(P178="Impacto",L176=1,AB178&gt;=50),75,IF(AND(P178="Impacto",L176=1,AB178&gt;=25),50,IF(AND(P178="Impacto",L176=1,AB178&gt;10),25,IF(AND(P178="Impacto",L176=3,AB178&gt;=75),33.3,IF(AND(P178="Impacto",L176=3,AB178,AB178&gt;=50),25,IF(AND(P178="Impacto",L176=3,AB178&gt;=25),17,IF(AND(P178="Impacto",L176=3,AB178&gt;10),8,0))))))))))))</f>
        <v>0</v>
      </c>
      <c r="AE178" s="235"/>
      <c r="AF178" s="235"/>
      <c r="AG178" s="236"/>
      <c r="AH178" s="236"/>
      <c r="AI178" s="193"/>
      <c r="AJ178" s="237"/>
      <c r="AK178" s="237"/>
      <c r="AL178" s="238"/>
      <c r="AM178" s="233"/>
    </row>
    <row r="179" spans="1:39" ht="300" customHeight="1" x14ac:dyDescent="0.4">
      <c r="A179" s="191"/>
      <c r="B179" s="245">
        <v>54</v>
      </c>
      <c r="C179" s="241" t="s">
        <v>853</v>
      </c>
      <c r="D179" s="241" t="s">
        <v>854</v>
      </c>
      <c r="E179" s="244" t="s">
        <v>79</v>
      </c>
      <c r="F179" s="195" t="s">
        <v>855</v>
      </c>
      <c r="G179" s="246" t="s">
        <v>856</v>
      </c>
      <c r="H179" s="239" t="s">
        <v>13</v>
      </c>
      <c r="I179" s="240" t="s">
        <v>19</v>
      </c>
      <c r="J179" s="238" t="str">
        <f>IF(ISERROR(VLOOKUP(H179&amp;I179,Hoja1!$C$1:$F$25,4,0)),"",(VLOOKUP(H179&amp;I179,Hoja1!$C$1:$F$25,4,0)))</f>
        <v>Moderado</v>
      </c>
      <c r="K179" s="185" t="s">
        <v>85</v>
      </c>
      <c r="L179" s="234">
        <v>1</v>
      </c>
      <c r="M179" s="195" t="s">
        <v>869</v>
      </c>
      <c r="N179" s="195" t="s">
        <v>870</v>
      </c>
      <c r="O179" s="195" t="s">
        <v>871</v>
      </c>
      <c r="P179" s="188" t="s">
        <v>22</v>
      </c>
      <c r="Q179" s="188" t="s">
        <v>42</v>
      </c>
      <c r="R179" s="188" t="str">
        <f t="shared" si="8"/>
        <v>N/A</v>
      </c>
      <c r="S179" s="188" t="s">
        <v>41</v>
      </c>
      <c r="T179" s="189" t="s">
        <v>874</v>
      </c>
      <c r="U179" s="188" t="s">
        <v>41</v>
      </c>
      <c r="V179" s="188" t="s">
        <v>73</v>
      </c>
      <c r="W179" s="188" t="s">
        <v>101</v>
      </c>
      <c r="X179" s="190" t="s">
        <v>102</v>
      </c>
      <c r="Y179" s="189" t="s">
        <v>108</v>
      </c>
      <c r="Z179" s="188" t="s">
        <v>41</v>
      </c>
      <c r="AA179" s="195" t="s">
        <v>878</v>
      </c>
      <c r="AB179" s="183">
        <f t="shared" si="309"/>
        <v>68</v>
      </c>
      <c r="AC179" s="184">
        <f t="shared" ref="AC179" si="330">IF(AND(L179=2,P179="Probabilidad",AB179&gt;=75),50,IF(AND(P179="Probabilidad",L179=2,AB179&gt;=50),37,IF(AND(P179="Probabilidad",L179=2,AB179&gt;=25),25,IF(AND(P179="Probabilidad",L179=2,AB179&gt;10),12,IF(AND(L179=1,P179="Probabilidad",AB179&gt;=75),100,IF(AND(P179="Probabilidad",L179=1,AB179&gt;=50),75,IF(AND(P179="Probabilidad",L179=1,AB179&gt;=25),50,IF(AND(P179="Probabilidad",L179=1,AB179&gt;10),25,IF(AND(P179="Probabilidad",L179=3,AB179&gt;=75),33.3,IF(AND(P179="Probabilidad",L179=3,AB179,AB179&gt;=50),25,IF(AND(P179="Probabilidad",L179=3,AB179&gt;=25),17,IF(AND(P179="Probabilidad",L179=3,AB179&gt;10),8,0))))))))))))</f>
        <v>75</v>
      </c>
      <c r="AD179" s="184">
        <f t="shared" ref="AD179" si="331">IF(AND(L179=2,P179="Impacto",AB179&gt;=75),50,IF(AND(P179="Impacto",L179=2,AB179&gt;=50),37,IF(AND(P179="Impacto",L179=2,AB179&gt;=25),25,IF(AND(P179="Impacto",L179=2,AB179&gt;10),12,IF(AND(L179=1,P179="Impacto",AB179&gt;=75),100,IF(AND(P179="Impacto",L179=1,AB179&gt;=50),75,IF(AND(P179="Impacto",L179=1,AB179&gt;=25),50,IF(AND(P179="Impacto",L179=1,AB179&gt;10),25,IF(AND(P179="Impacto",L179=3,AB179&gt;=75),33.3,IF(AND(P179="Impacto",L179=3,AB179,AB179&gt;=50),25,IF(AND(P179="Impacto",L179=3,AB179&gt;=25),17,IF(AND(P179="Impacto",L179=3,AB179&gt;10),8,0))))))))))))</f>
        <v>0</v>
      </c>
      <c r="AE179" s="235">
        <f t="shared" ref="AE179" si="332">SUM(AC179:AC181)</f>
        <v>75</v>
      </c>
      <c r="AF179" s="235">
        <f t="shared" ref="AF179" si="333">SUM(AD179:AD181)</f>
        <v>0</v>
      </c>
      <c r="AG179" s="236">
        <f t="shared" ref="AG179" si="334">IF(AE179&gt;75,2,IF(AE179&gt;=30,1,"-"))</f>
        <v>1</v>
      </c>
      <c r="AH179" s="236" t="str">
        <f t="shared" ref="AH179" si="335">IF(AF179&gt;75,2,IF(AF179&gt;=30,1,"-"))</f>
        <v>-</v>
      </c>
      <c r="AI179" s="193"/>
      <c r="AJ179" s="237" t="str">
        <f>IF(AND(AG179=2,H179="Casi seguro"),Hoja1!$J$5,IF(AND(AG179=2,H179="Posible"),Hoja1!$J$6,IF(AND(H179="Improbable",AG179=2),Hoja1!J126,IF(AND(AG179=1,H179="Casi seguro"),Hoja1!$J$4,IF(AND(AG179=1,H179="Posible"),Hoja1!$J$5,IF(AND(AG179=1,H179="Improbable"),Hoja1!$J$6,'FT-Mapa de riesgos'!H179))))))</f>
        <v>Rara vez</v>
      </c>
      <c r="AK179" s="237" t="str">
        <f>IF(AND(AH179=2,I179="Catastrofico"),Hoja1!$K$5,IF(AND(AH179=2,I179="Mayor"),Hoja1!$K$6,IF(AND(AH179=2,I179="Moderado"),Hoja1!$K$7,IF(AND(AH179=1,I179="Catastrofico"),Hoja1!$K$4,IF(AND(AH179=1,I179="Mayor "),Hoja1!$K$5,IF(AND(AH179=1,I179="Moderado"),Hoja1!$K$6,IF(AND(AH179=2,I179="Menor"),Hoja1!$K$7,'FT-Mapa de riesgos'!I179)))))))</f>
        <v>Moderado</v>
      </c>
      <c r="AL179" s="238" t="str">
        <f>IF(ISERROR(VLOOKUP(AJ179&amp;AK179,Hoja1!$C$1:$F$25,4,0)),"",(VLOOKUP(AJ179&amp;AK179,Hoja1!$C$1:$F$25,4,0)))</f>
        <v>Moderado</v>
      </c>
      <c r="AM179" s="233"/>
    </row>
    <row r="180" spans="1:39" ht="73.5" hidden="1" customHeight="1" x14ac:dyDescent="0.4">
      <c r="A180" s="191"/>
      <c r="B180" s="245"/>
      <c r="C180" s="242"/>
      <c r="D180" s="242"/>
      <c r="E180" s="244"/>
      <c r="F180" s="195"/>
      <c r="G180" s="247"/>
      <c r="H180" s="239"/>
      <c r="I180" s="240"/>
      <c r="J180" s="238"/>
      <c r="K180" s="185"/>
      <c r="L180" s="234"/>
      <c r="M180" s="195"/>
      <c r="N180" s="195"/>
      <c r="O180" s="195"/>
      <c r="P180" s="188"/>
      <c r="Q180" s="188"/>
      <c r="R180" s="188" t="str">
        <f t="shared" si="8"/>
        <v/>
      </c>
      <c r="S180" s="188"/>
      <c r="T180" s="188"/>
      <c r="U180" s="188"/>
      <c r="V180" s="188"/>
      <c r="W180" s="188"/>
      <c r="X180" s="190"/>
      <c r="Y180" s="188"/>
      <c r="Z180" s="188"/>
      <c r="AA180" s="188"/>
      <c r="AB180" s="183">
        <f t="shared" si="309"/>
        <v>0</v>
      </c>
      <c r="AC180" s="184">
        <f t="shared" ref="AC180" si="336">IF(AND(L179=2,P180="Probabilidad",AB180&gt;=75),50,IF(AND(P180="Probabilidad",L179=2,AB180&gt;=50),37,IF(AND(P180="Probabilidad",L179=2,AB180&gt;=25),25,IF(AND(P180="Probabilidad",L179=2,AB180&gt;10),12,IF(AND(L179=1,P180="Probabilidad",AB180&gt;=75),100,IF(AND(P180="Probabilidad",L179=1,AB180&gt;=50),75,IF(AND(P180="Probabilidad",L179=1,AB180&gt;=25),50,IF(AND(P180="Probabilidad",L179=1,AB180&gt;10),25,IF(AND(P180="Probabilidad",L179=3,AB180&gt;=75),33.3,IF(AND(P180="Probabilidad",L179=3,AB180,AB180&gt;=50),25,IF(AND(P180="Probabilidad",L179=3,AB180&gt;=25),17,IF(AND(P180="Probabilidad",L179=3,AB180&gt;10),8,0))))))))))))</f>
        <v>0</v>
      </c>
      <c r="AD180" s="184">
        <f t="shared" ref="AD180" si="337">IF(AND(L179=2,P180="Impacto",AB180&gt;=75),50,IF(AND(P180="Impacto",L179=2,AB180&gt;=50),37,IF(AND(P180="Impacto",L179=2,AB180&gt;=25),25,IF(AND(P180="Impacto",L179=2,AB180&gt;10),12,IF(AND(L179=1,P180="Impacto",AB180&gt;=75),100,IF(AND(P180="Impacto",L179=1,AB180&gt;=50),75,IF(AND(P180="Impacto",L179=1,AB180&gt;=25),50,IF(AND(P180="Impacto",L179=1,AB180&gt;10),25,IF(AND(P180="Impacto",L179=3,AB180&gt;=75),33.3,IF(AND(P180="Impacto",L179=3,AB180,AB180&gt;=50),25,IF(AND(P180="Impacto",L179=3,AB180&gt;=25),17,IF(AND(P180="Impacto",L179=3,AB180&gt;10),8,0))))))))))))</f>
        <v>0</v>
      </c>
      <c r="AE180" s="235"/>
      <c r="AF180" s="235"/>
      <c r="AG180" s="236"/>
      <c r="AH180" s="236"/>
      <c r="AI180" s="193"/>
      <c r="AJ180" s="237"/>
      <c r="AK180" s="237"/>
      <c r="AL180" s="238"/>
      <c r="AM180" s="233"/>
    </row>
    <row r="181" spans="1:39" ht="73.5" hidden="1" customHeight="1" x14ac:dyDescent="0.4">
      <c r="A181" s="191"/>
      <c r="B181" s="245"/>
      <c r="C181" s="243"/>
      <c r="D181" s="243"/>
      <c r="E181" s="244"/>
      <c r="F181" s="195"/>
      <c r="G181" s="248"/>
      <c r="H181" s="239"/>
      <c r="I181" s="240"/>
      <c r="J181" s="238"/>
      <c r="K181" s="187"/>
      <c r="L181" s="234"/>
      <c r="M181" s="195"/>
      <c r="N181" s="195"/>
      <c r="O181" s="195"/>
      <c r="P181" s="188"/>
      <c r="Q181" s="188"/>
      <c r="R181" s="188" t="str">
        <f t="shared" si="8"/>
        <v/>
      </c>
      <c r="S181" s="188"/>
      <c r="T181" s="188"/>
      <c r="U181" s="188"/>
      <c r="V181" s="188"/>
      <c r="W181" s="188"/>
      <c r="X181" s="190"/>
      <c r="Y181" s="188"/>
      <c r="Z181" s="188"/>
      <c r="AA181" s="188"/>
      <c r="AB181" s="183">
        <f t="shared" si="309"/>
        <v>0</v>
      </c>
      <c r="AC181" s="184">
        <f t="shared" ref="AC181" si="338">IF(AND(L179=2,P181="Probabilidad",AB181&gt;=75),50,IF(AND(P181="Probabilidad",L179=2,AB181&gt;=50),37,IF(AND(P181="Probabilidad",L179=2,AB181&gt;=25),25,IF(AND(P181="Probabilidad",L179=2,AB181&gt;10),12,IF(AND(L179=1,P181="Probabilidad",AB181&gt;=75),100,IF(AND(P181="Probabilidad",L179=1,AB181&gt;=50),75,IF(AND(P181="Probabilidad",L179=1,AB181&gt;=25),50,IF(AND(P181="Probabilidad",L179=1,AB181&gt;10),25,IF(AND(P181="Probabilidad",L179=3,AB181&gt;=75),33.3,IF(AND(P181="Probabilidad",L179=3,AB181,AB181&gt;=50),25,IF(AND(P181="Probabilidad",L179=3,AB181&gt;=25),17,IF(AND(P181="Probabilidad",L179=3,AB181&gt;10),8,0))))))))))))</f>
        <v>0</v>
      </c>
      <c r="AD181" s="184">
        <f t="shared" ref="AD181" si="339">IF(AND(L179=2,P181="Impacto",AB181&gt;=75),50,IF(AND(P181="Impacto",L179=2,AB181&gt;=50),37,IF(AND(P181="Impacto",L179=2,AB181&gt;=25),25,IF(AND(P181="Impacto",L179=2,AB181&gt;10),12,IF(AND(L179=1,P181="Impacto",AB181&gt;=75),100,IF(AND(P181="Impacto",L179=1,AB181&gt;=50),75,IF(AND(P181="Impacto",L179=1,AB181&gt;=25),50,IF(AND(P181="Impacto",L179=1,AB181&gt;10),25,IF(AND(P181="Impacto",L179=3,AB181&gt;=75),33.3,IF(AND(P181="Impacto",L179=3,AB181,AB181&gt;=50),25,IF(AND(P181="Impacto",L179=3,AB181&gt;=25),17,IF(AND(P181="Impacto",L179=3,AB181&gt;10),8,0))))))))))))</f>
        <v>0</v>
      </c>
      <c r="AE181" s="235"/>
      <c r="AF181" s="235"/>
      <c r="AG181" s="236"/>
      <c r="AH181" s="236"/>
      <c r="AI181" s="193"/>
      <c r="AJ181" s="237"/>
      <c r="AK181" s="237"/>
      <c r="AL181" s="238"/>
      <c r="AM181" s="233"/>
    </row>
    <row r="182" spans="1:39" ht="219.95" customHeight="1" x14ac:dyDescent="0.4">
      <c r="A182" s="191"/>
      <c r="B182" s="245">
        <v>55</v>
      </c>
      <c r="C182" s="241" t="s">
        <v>879</v>
      </c>
      <c r="D182" s="241" t="s">
        <v>880</v>
      </c>
      <c r="E182" s="244" t="s">
        <v>36</v>
      </c>
      <c r="F182" s="195" t="s">
        <v>881</v>
      </c>
      <c r="G182" s="241" t="s">
        <v>882</v>
      </c>
      <c r="H182" s="239" t="s">
        <v>14</v>
      </c>
      <c r="I182" s="240" t="s">
        <v>19</v>
      </c>
      <c r="J182" s="238" t="str">
        <f>IF(ISERROR(VLOOKUP(H182&amp;I182,Hoja1!$C$1:$F$25,4,0)),"",(VLOOKUP(H182&amp;I182,Hoja1!$C$1:$F$25,4,0)))</f>
        <v>Moderado</v>
      </c>
      <c r="K182" s="185" t="s">
        <v>85</v>
      </c>
      <c r="L182" s="234">
        <v>2</v>
      </c>
      <c r="M182" s="195" t="s">
        <v>884</v>
      </c>
      <c r="N182" s="195" t="s">
        <v>885</v>
      </c>
      <c r="O182" s="195" t="s">
        <v>834</v>
      </c>
      <c r="P182" s="188" t="s">
        <v>22</v>
      </c>
      <c r="Q182" s="188" t="s">
        <v>41</v>
      </c>
      <c r="R182" s="188" t="s">
        <v>884</v>
      </c>
      <c r="S182" s="188" t="s">
        <v>41</v>
      </c>
      <c r="T182" s="189" t="s">
        <v>889</v>
      </c>
      <c r="U182" s="188" t="s">
        <v>41</v>
      </c>
      <c r="V182" s="188" t="s">
        <v>72</v>
      </c>
      <c r="W182" s="188" t="s">
        <v>101</v>
      </c>
      <c r="X182" s="190" t="s">
        <v>102</v>
      </c>
      <c r="Y182" s="189" t="s">
        <v>108</v>
      </c>
      <c r="Z182" s="188" t="s">
        <v>41</v>
      </c>
      <c r="AA182" s="195" t="s">
        <v>890</v>
      </c>
      <c r="AB182" s="183">
        <f t="shared" si="309"/>
        <v>100</v>
      </c>
      <c r="AC182" s="184">
        <f t="shared" ref="AC182" si="340">IF(AND(L182=2,P182="Probabilidad",AB182&gt;=75),50,IF(AND(P182="Probabilidad",L182=2,AB182&gt;=50),37,IF(AND(P182="Probabilidad",L182=2,AB182&gt;=25),25,IF(AND(P182="Probabilidad",L182=2,AB182&gt;10),12,IF(AND(L182=1,P182="Probabilidad",AB182&gt;=75),100,IF(AND(P182="Probabilidad",L182=1,AB182&gt;=50),75,IF(AND(P182="Probabilidad",L182=1,AB182&gt;=25),50,IF(AND(P182="Probabilidad",L182=1,AB182&gt;10),25,IF(AND(P182="Probabilidad",L182=3,AB182&gt;=75),33.3,IF(AND(P182="Probabilidad",L182=3,AB182,AB182&gt;=50),25,IF(AND(P182="Probabilidad",L182=3,AB182&gt;=25),17,IF(AND(P182="Probabilidad",L182=3,AB182&gt;10),8,0))))))))))))</f>
        <v>50</v>
      </c>
      <c r="AD182" s="184">
        <f t="shared" ref="AD182" si="341">IF(AND(L182=2,P182="Impacto",AB182&gt;=75),50,IF(AND(P182="Impacto",L182=2,AB182&gt;=50),37,IF(AND(P182="Impacto",L182=2,AB182&gt;=25),25,IF(AND(P182="Impacto",L182=2,AB182&gt;10),12,IF(AND(L182=1,P182="Impacto",AB182&gt;=75),100,IF(AND(P182="Impacto",L182=1,AB182&gt;=50),75,IF(AND(P182="Impacto",L182=1,AB182&gt;=25),50,IF(AND(P182="Impacto",L182=1,AB182&gt;10),25,IF(AND(P182="Impacto",L182=3,AB182&gt;=75),33.3,IF(AND(P182="Impacto",L182=3,AB182,AB182&gt;=50),25,IF(AND(P182="Impacto",L182=3,AB182&gt;=25),17,IF(AND(P182="Impacto",L182=3,AB182&gt;10),8,0))))))))))))</f>
        <v>0</v>
      </c>
      <c r="AE182" s="235">
        <f t="shared" ref="AE182" si="342">SUM(AC182:AC184)</f>
        <v>87</v>
      </c>
      <c r="AF182" s="235">
        <f t="shared" ref="AF182" si="343">SUM(AD182:AD184)</f>
        <v>0</v>
      </c>
      <c r="AG182" s="236">
        <f t="shared" ref="AG182" si="344">IF(AE182&gt;75,2,IF(AE182&gt;=30,1,"-"))</f>
        <v>2</v>
      </c>
      <c r="AH182" s="236" t="str">
        <f t="shared" ref="AH182" si="345">IF(AF182&gt;75,2,IF(AF182&gt;=30,1,"-"))</f>
        <v>-</v>
      </c>
      <c r="AI182" s="193"/>
      <c r="AJ182" s="237" t="s">
        <v>13</v>
      </c>
      <c r="AK182" s="237" t="str">
        <f>IF(AND(AH182=2,I182="Catastrofico"),Hoja1!$K$5,IF(AND(AH182=2,I182="Mayor"),Hoja1!$K$6,IF(AND(AH182=2,I182="Moderado"),Hoja1!$K$7,IF(AND(AH182=1,I182="Catastrofico"),Hoja1!$K$4,IF(AND(AH182=1,I182="Mayor "),Hoja1!$K$5,IF(AND(AH182=1,I182="Moderado"),Hoja1!$K$6,IF(AND(AH182=2,I182="Menor"),Hoja1!$K$7,'FT-Mapa de riesgos'!I182)))))))</f>
        <v>Moderado</v>
      </c>
      <c r="AL182" s="238" t="str">
        <f>IF(ISERROR(VLOOKUP(AJ182&amp;AK182,Hoja1!$C$1:$F$25,4,0)),"",(VLOOKUP(AJ182&amp;AK182,Hoja1!$C$1:$F$25,4,0)))</f>
        <v>Moderado</v>
      </c>
      <c r="AM182" s="233"/>
    </row>
    <row r="183" spans="1:39" ht="300.75" customHeight="1" x14ac:dyDescent="0.4">
      <c r="A183" s="191"/>
      <c r="B183" s="245"/>
      <c r="C183" s="242"/>
      <c r="D183" s="242"/>
      <c r="E183" s="244"/>
      <c r="F183" s="195" t="s">
        <v>883</v>
      </c>
      <c r="G183" s="242"/>
      <c r="H183" s="239"/>
      <c r="I183" s="240"/>
      <c r="J183" s="238"/>
      <c r="K183" s="185" t="s">
        <v>85</v>
      </c>
      <c r="L183" s="234"/>
      <c r="M183" s="195" t="s">
        <v>886</v>
      </c>
      <c r="N183" s="195" t="s">
        <v>887</v>
      </c>
      <c r="O183" s="195" t="s">
        <v>888</v>
      </c>
      <c r="P183" s="188" t="s">
        <v>22</v>
      </c>
      <c r="Q183" s="188" t="s">
        <v>42</v>
      </c>
      <c r="R183" s="188" t="str">
        <f t="shared" si="8"/>
        <v>N/A</v>
      </c>
      <c r="S183" s="188" t="s">
        <v>41</v>
      </c>
      <c r="T183" s="189" t="s">
        <v>889</v>
      </c>
      <c r="U183" s="188" t="s">
        <v>41</v>
      </c>
      <c r="V183" s="188" t="s">
        <v>72</v>
      </c>
      <c r="W183" s="188" t="s">
        <v>101</v>
      </c>
      <c r="X183" s="190" t="s">
        <v>102</v>
      </c>
      <c r="Y183" s="189" t="s">
        <v>108</v>
      </c>
      <c r="Z183" s="188" t="s">
        <v>41</v>
      </c>
      <c r="AA183" s="195" t="s">
        <v>891</v>
      </c>
      <c r="AB183" s="183">
        <f t="shared" si="309"/>
        <v>68</v>
      </c>
      <c r="AC183" s="184">
        <f t="shared" ref="AC183" si="346">IF(AND(L182=2,P183="Probabilidad",AB183&gt;=75),50,IF(AND(P183="Probabilidad",L182=2,AB183&gt;=50),37,IF(AND(P183="Probabilidad",L182=2,AB183&gt;=25),25,IF(AND(P183="Probabilidad",L182=2,AB183&gt;10),12,IF(AND(L182=1,P183="Probabilidad",AB183&gt;=75),100,IF(AND(P183="Probabilidad",L182=1,AB183&gt;=50),75,IF(AND(P183="Probabilidad",L182=1,AB183&gt;=25),50,IF(AND(P183="Probabilidad",L182=1,AB183&gt;10),25,IF(AND(P183="Probabilidad",L182=3,AB183&gt;=75),33.3,IF(AND(P183="Probabilidad",L182=3,AB183,AB183&gt;=50),25,IF(AND(P183="Probabilidad",L182=3,AB183&gt;=25),17,IF(AND(P183="Probabilidad",L182=3,AB183&gt;10),8,0))))))))))))</f>
        <v>37</v>
      </c>
      <c r="AD183" s="184">
        <f t="shared" ref="AD183" si="347">IF(AND(L182=2,P183="Impacto",AB183&gt;=75),50,IF(AND(P183="Impacto",L182=2,AB183&gt;=50),37,IF(AND(P183="Impacto",L182=2,AB183&gt;=25),25,IF(AND(P183="Impacto",L182=2,AB183&gt;10),12,IF(AND(L182=1,P183="Impacto",AB183&gt;=75),100,IF(AND(P183="Impacto",L182=1,AB183&gt;=50),75,IF(AND(P183="Impacto",L182=1,AB183&gt;=25),50,IF(AND(P183="Impacto",L182=1,AB183&gt;10),25,IF(AND(P183="Impacto",L182=3,AB183&gt;=75),33.3,IF(AND(P183="Impacto",L182=3,AB183,AB183&gt;=50),25,IF(AND(P183="Impacto",L182=3,AB183&gt;=25),17,IF(AND(P183="Impacto",L182=3,AB183&gt;10),8,0))))))))))))</f>
        <v>0</v>
      </c>
      <c r="AE183" s="235"/>
      <c r="AF183" s="235"/>
      <c r="AG183" s="236"/>
      <c r="AH183" s="236"/>
      <c r="AI183" s="193"/>
      <c r="AJ183" s="237"/>
      <c r="AK183" s="237"/>
      <c r="AL183" s="238"/>
      <c r="AM183" s="233"/>
    </row>
    <row r="184" spans="1:39" ht="73.5" hidden="1" customHeight="1" x14ac:dyDescent="0.4">
      <c r="A184" s="191"/>
      <c r="B184" s="245"/>
      <c r="C184" s="243"/>
      <c r="D184" s="243"/>
      <c r="E184" s="244"/>
      <c r="F184" s="197"/>
      <c r="G184" s="243"/>
      <c r="H184" s="239"/>
      <c r="I184" s="240"/>
      <c r="J184" s="238"/>
      <c r="K184" s="187"/>
      <c r="L184" s="234"/>
      <c r="M184" s="195"/>
      <c r="N184" s="195"/>
      <c r="O184" s="195"/>
      <c r="P184" s="188"/>
      <c r="Q184" s="188"/>
      <c r="R184" s="188" t="str">
        <f t="shared" si="8"/>
        <v/>
      </c>
      <c r="S184" s="188"/>
      <c r="T184" s="188"/>
      <c r="U184" s="188"/>
      <c r="V184" s="188"/>
      <c r="W184" s="188"/>
      <c r="X184" s="190"/>
      <c r="Y184" s="188"/>
      <c r="Z184" s="188"/>
      <c r="AA184" s="188"/>
      <c r="AB184" s="183">
        <f t="shared" si="309"/>
        <v>0</v>
      </c>
      <c r="AC184" s="184">
        <f t="shared" ref="AC184" si="348">IF(AND(L182=2,P184="Probabilidad",AB184&gt;=75),50,IF(AND(P184="Probabilidad",L182=2,AB184&gt;=50),37,IF(AND(P184="Probabilidad",L182=2,AB184&gt;=25),25,IF(AND(P184="Probabilidad",L182=2,AB184&gt;10),12,IF(AND(L182=1,P184="Probabilidad",AB184&gt;=75),100,IF(AND(P184="Probabilidad",L182=1,AB184&gt;=50),75,IF(AND(P184="Probabilidad",L182=1,AB184&gt;=25),50,IF(AND(P184="Probabilidad",L182=1,AB184&gt;10),25,IF(AND(P184="Probabilidad",L182=3,AB184&gt;=75),33.3,IF(AND(P184="Probabilidad",L182=3,AB184,AB184&gt;=50),25,IF(AND(P184="Probabilidad",L182=3,AB184&gt;=25),17,IF(AND(P184="Probabilidad",L182=3,AB184&gt;10),8,0))))))))))))</f>
        <v>0</v>
      </c>
      <c r="AD184" s="184">
        <f t="shared" ref="AD184" si="349">IF(AND(L182=2,P184="Impacto",AB184&gt;=75),50,IF(AND(P184="Impacto",L182=2,AB184&gt;=50),37,IF(AND(P184="Impacto",L182=2,AB184&gt;=25),25,IF(AND(P184="Impacto",L182=2,AB184&gt;10),12,IF(AND(L182=1,P184="Impacto",AB184&gt;=75),100,IF(AND(P184="Impacto",L182=1,AB184&gt;=50),75,IF(AND(P184="Impacto",L182=1,AB184&gt;=25),50,IF(AND(P184="Impacto",L182=1,AB184&gt;10),25,IF(AND(P184="Impacto",L182=3,AB184&gt;=75),33.3,IF(AND(P184="Impacto",L182=3,AB184,AB184&gt;=50),25,IF(AND(P184="Impacto",L182=3,AB184&gt;=25),17,IF(AND(P184="Impacto",L182=3,AB184&gt;10),8,0))))))))))))</f>
        <v>0</v>
      </c>
      <c r="AE184" s="235"/>
      <c r="AF184" s="235"/>
      <c r="AG184" s="236"/>
      <c r="AH184" s="236"/>
      <c r="AI184" s="193"/>
      <c r="AJ184" s="237"/>
      <c r="AK184" s="237"/>
      <c r="AL184" s="238"/>
      <c r="AM184" s="231"/>
    </row>
    <row r="185" spans="1:39" ht="219.95" customHeight="1" x14ac:dyDescent="0.4">
      <c r="A185" s="191"/>
      <c r="B185" s="245">
        <v>56</v>
      </c>
      <c r="C185" s="241" t="s">
        <v>892</v>
      </c>
      <c r="D185" s="241" t="s">
        <v>893</v>
      </c>
      <c r="E185" s="244" t="s">
        <v>33</v>
      </c>
      <c r="F185" s="195" t="s">
        <v>894</v>
      </c>
      <c r="G185" s="241" t="s">
        <v>895</v>
      </c>
      <c r="H185" s="239" t="s">
        <v>14</v>
      </c>
      <c r="I185" s="240" t="s">
        <v>19</v>
      </c>
      <c r="J185" s="238" t="str">
        <f>IF(ISERROR(VLOOKUP(H185&amp;I185,Hoja1!$C$1:$F$25,4,0)),"",(VLOOKUP(H185&amp;I185,Hoja1!$C$1:$F$25,4,0)))</f>
        <v>Moderado</v>
      </c>
      <c r="K185" s="185" t="s">
        <v>85</v>
      </c>
      <c r="L185" s="234">
        <v>2</v>
      </c>
      <c r="M185" s="195" t="s">
        <v>897</v>
      </c>
      <c r="N185" s="195" t="s">
        <v>898</v>
      </c>
      <c r="O185" s="195" t="s">
        <v>834</v>
      </c>
      <c r="P185" s="188" t="s">
        <v>22</v>
      </c>
      <c r="Q185" s="188" t="s">
        <v>42</v>
      </c>
      <c r="R185" s="188" t="str">
        <f t="shared" si="8"/>
        <v>N/A</v>
      </c>
      <c r="S185" s="188" t="s">
        <v>41</v>
      </c>
      <c r="T185" s="189" t="s">
        <v>902</v>
      </c>
      <c r="U185" s="188" t="s">
        <v>41</v>
      </c>
      <c r="V185" s="188" t="s">
        <v>72</v>
      </c>
      <c r="W185" s="188" t="s">
        <v>101</v>
      </c>
      <c r="X185" s="190" t="s">
        <v>102</v>
      </c>
      <c r="Y185" s="189" t="s">
        <v>108</v>
      </c>
      <c r="Z185" s="188" t="s">
        <v>41</v>
      </c>
      <c r="AA185" s="189" t="s">
        <v>904</v>
      </c>
      <c r="AB185" s="183">
        <f t="shared" si="309"/>
        <v>68</v>
      </c>
      <c r="AC185" s="184">
        <f t="shared" ref="AC185" si="350">IF(AND(L185=2,P185="Probabilidad",AB185&gt;=75),50,IF(AND(P185="Probabilidad",L185=2,AB185&gt;=50),37,IF(AND(P185="Probabilidad",L185=2,AB185&gt;=25),25,IF(AND(P185="Probabilidad",L185=2,AB185&gt;10),12,IF(AND(L185=1,P185="Probabilidad",AB185&gt;=75),100,IF(AND(P185="Probabilidad",L185=1,AB185&gt;=50),75,IF(AND(P185="Probabilidad",L185=1,AB185&gt;=25),50,IF(AND(P185="Probabilidad",L185=1,AB185&gt;10),25,IF(AND(P185="Probabilidad",L185=3,AB185&gt;=75),33.3,IF(AND(P185="Probabilidad",L185=3,AB185,AB185&gt;=50),25,IF(AND(P185="Probabilidad",L185=3,AB185&gt;=25),17,IF(AND(P185="Probabilidad",L185=3,AB185&gt;10),8,0))))))))))))</f>
        <v>37</v>
      </c>
      <c r="AD185" s="184">
        <f t="shared" ref="AD185" si="351">IF(AND(L185=2,P185="Impacto",AB185&gt;=75),50,IF(AND(P185="Impacto",L185=2,AB185&gt;=50),37,IF(AND(P185="Impacto",L185=2,AB185&gt;=25),25,IF(AND(P185="Impacto",L185=2,AB185&gt;10),12,IF(AND(L185=1,P185="Impacto",AB185&gt;=75),100,IF(AND(P185="Impacto",L185=1,AB185&gt;=50),75,IF(AND(P185="Impacto",L185=1,AB185&gt;=25),50,IF(AND(P185="Impacto",L185=1,AB185&gt;10),25,IF(AND(P185="Impacto",L185=3,AB185&gt;=75),33.3,IF(AND(P185="Impacto",L185=3,AB185,AB185&gt;=50),25,IF(AND(P185="Impacto",L185=3,AB185&gt;=25),17,IF(AND(P185="Impacto",L185=3,AB185&gt;10),8,0))))))))))))</f>
        <v>0</v>
      </c>
      <c r="AE185" s="235">
        <f t="shared" ref="AE185" si="352">SUM(AC185:AC187)</f>
        <v>74</v>
      </c>
      <c r="AF185" s="235">
        <f t="shared" ref="AF185" si="353">SUM(AD185:AD187)</f>
        <v>0</v>
      </c>
      <c r="AG185" s="236">
        <f t="shared" ref="AG185" si="354">IF(AE185&gt;75,2,IF(AE185&gt;=30,1,"-"))</f>
        <v>1</v>
      </c>
      <c r="AH185" s="236" t="str">
        <f t="shared" ref="AH185" si="355">IF(AF185&gt;75,2,IF(AF185&gt;=30,1,"-"))</f>
        <v>-</v>
      </c>
      <c r="AI185" s="193"/>
      <c r="AJ185" s="237" t="str">
        <f>IF(AND(AG185=2,H185="Casi seguro"),Hoja1!$J$5,IF(AND(AG185=2,H185="Posible"),Hoja1!$J$6,IF(AND(H185="Improbable",AG185=2),Hoja1!J132,IF(AND(AG185=1,H185="Casi seguro"),Hoja1!$J$4,IF(AND(AG185=1,H185="Posible"),Hoja1!$J$5,IF(AND(AG185=1,H185="Improbable"),Hoja1!$J$6,'FT-Mapa de riesgos'!H185))))))</f>
        <v>Rara Vez</v>
      </c>
      <c r="AK185" s="237" t="str">
        <f>IF(AND(AH185=2,I185="Catastrofico"),Hoja1!$K$5,IF(AND(AH185=2,I185="Mayor"),Hoja1!$K$6,IF(AND(AH185=2,I185="Moderado"),Hoja1!$K$7,IF(AND(AH185=1,I185="Catastrofico"),Hoja1!$K$4,IF(AND(AH185=1,I185="Mayor "),Hoja1!$K$5,IF(AND(AH185=1,I185="Moderado"),Hoja1!$K$6,IF(AND(AH185=2,I185="Menor"),Hoja1!$K$7,'FT-Mapa de riesgos'!I185)))))))</f>
        <v>Moderado</v>
      </c>
      <c r="AL185" s="238" t="str">
        <f>IF(ISERROR(VLOOKUP(AJ185&amp;AK185,Hoja1!$C$1:$F$25,4,0)),"",(VLOOKUP(AJ185&amp;AK185,Hoja1!$C$1:$F$25,4,0)))</f>
        <v>Moderado</v>
      </c>
      <c r="AM185" s="233" t="s">
        <v>176</v>
      </c>
    </row>
    <row r="186" spans="1:39" ht="219.95" customHeight="1" x14ac:dyDescent="0.4">
      <c r="A186" s="191"/>
      <c r="B186" s="245"/>
      <c r="C186" s="242"/>
      <c r="D186" s="242"/>
      <c r="E186" s="244"/>
      <c r="F186" s="195" t="s">
        <v>896</v>
      </c>
      <c r="G186" s="242"/>
      <c r="H186" s="239"/>
      <c r="I186" s="240"/>
      <c r="J186" s="238"/>
      <c r="K186" s="185" t="s">
        <v>85</v>
      </c>
      <c r="L186" s="234"/>
      <c r="M186" s="195" t="s">
        <v>899</v>
      </c>
      <c r="N186" s="195" t="s">
        <v>900</v>
      </c>
      <c r="O186" s="195" t="s">
        <v>901</v>
      </c>
      <c r="P186" s="188" t="s">
        <v>22</v>
      </c>
      <c r="Q186" s="188" t="s">
        <v>42</v>
      </c>
      <c r="R186" s="188" t="str">
        <f t="shared" si="8"/>
        <v>N/A</v>
      </c>
      <c r="S186" s="188" t="s">
        <v>41</v>
      </c>
      <c r="T186" s="189" t="s">
        <v>903</v>
      </c>
      <c r="U186" s="188" t="s">
        <v>41</v>
      </c>
      <c r="V186" s="188" t="s">
        <v>72</v>
      </c>
      <c r="W186" s="188" t="s">
        <v>101</v>
      </c>
      <c r="X186" s="190" t="s">
        <v>102</v>
      </c>
      <c r="Y186" s="189" t="s">
        <v>108</v>
      </c>
      <c r="Z186" s="188" t="s">
        <v>41</v>
      </c>
      <c r="AA186" s="189" t="s">
        <v>905</v>
      </c>
      <c r="AB186" s="183">
        <f t="shared" si="309"/>
        <v>68</v>
      </c>
      <c r="AC186" s="184">
        <f t="shared" ref="AC186" si="356">IF(AND(L185=2,P186="Probabilidad",AB186&gt;=75),50,IF(AND(P186="Probabilidad",L185=2,AB186&gt;=50),37,IF(AND(P186="Probabilidad",L185=2,AB186&gt;=25),25,IF(AND(P186="Probabilidad",L185=2,AB186&gt;10),12,IF(AND(L185=1,P186="Probabilidad",AB186&gt;=75),100,IF(AND(P186="Probabilidad",L185=1,AB186&gt;=50),75,IF(AND(P186="Probabilidad",L185=1,AB186&gt;=25),50,IF(AND(P186="Probabilidad",L185=1,AB186&gt;10),25,IF(AND(P186="Probabilidad",L185=3,AB186&gt;=75),33.3,IF(AND(P186="Probabilidad",L185=3,AB186,AB186&gt;=50),25,IF(AND(P186="Probabilidad",L185=3,AB186&gt;=25),17,IF(AND(P186="Probabilidad",L185=3,AB186&gt;10),8,0))))))))))))</f>
        <v>37</v>
      </c>
      <c r="AD186" s="184">
        <f t="shared" ref="AD186" si="357">IF(AND(L185=2,P186="Impacto",AB186&gt;=75),50,IF(AND(P186="Impacto",L185=2,AB186&gt;=50),37,IF(AND(P186="Impacto",L185=2,AB186&gt;=25),25,IF(AND(P186="Impacto",L185=2,AB186&gt;10),12,IF(AND(L185=1,P186="Impacto",AB186&gt;=75),100,IF(AND(P186="Impacto",L185=1,AB186&gt;=50),75,IF(AND(P186="Impacto",L185=1,AB186&gt;=25),50,IF(AND(P186="Impacto",L185=1,AB186&gt;10),25,IF(AND(P186="Impacto",L185=3,AB186&gt;=75),33.3,IF(AND(P186="Impacto",L185=3,AB186,AB186&gt;=50),25,IF(AND(P186="Impacto",L185=3,AB186&gt;=25),17,IF(AND(P186="Impacto",L185=3,AB186&gt;10),8,0))))))))))))</f>
        <v>0</v>
      </c>
      <c r="AE186" s="235"/>
      <c r="AF186" s="235"/>
      <c r="AG186" s="236"/>
      <c r="AH186" s="236"/>
      <c r="AI186" s="193"/>
      <c r="AJ186" s="237"/>
      <c r="AK186" s="237"/>
      <c r="AL186" s="238"/>
      <c r="AM186" s="233"/>
    </row>
    <row r="187" spans="1:39" ht="73.5" hidden="1" customHeight="1" x14ac:dyDescent="0.4">
      <c r="A187" s="191"/>
      <c r="B187" s="245"/>
      <c r="C187" s="243"/>
      <c r="D187" s="243"/>
      <c r="E187" s="244"/>
      <c r="F187" s="197"/>
      <c r="G187" s="243"/>
      <c r="H187" s="239"/>
      <c r="I187" s="240"/>
      <c r="J187" s="238"/>
      <c r="K187" s="187"/>
      <c r="L187" s="234"/>
      <c r="M187" s="212"/>
      <c r="N187" s="212"/>
      <c r="O187" s="212"/>
      <c r="P187" s="188"/>
      <c r="Q187" s="188"/>
      <c r="R187" s="188" t="str">
        <f t="shared" si="8"/>
        <v/>
      </c>
      <c r="S187" s="188"/>
      <c r="T187" s="188"/>
      <c r="U187" s="188"/>
      <c r="V187" s="188"/>
      <c r="W187" s="188"/>
      <c r="X187" s="190"/>
      <c r="Y187" s="188"/>
      <c r="Z187" s="188"/>
      <c r="AA187" s="188"/>
      <c r="AB187" s="183">
        <f t="shared" si="309"/>
        <v>0</v>
      </c>
      <c r="AC187" s="184">
        <f t="shared" ref="AC187" si="358">IF(AND(L185=2,P187="Probabilidad",AB187&gt;=75),50,IF(AND(P187="Probabilidad",L185=2,AB187&gt;=50),37,IF(AND(P187="Probabilidad",L185=2,AB187&gt;=25),25,IF(AND(P187="Probabilidad",L185=2,AB187&gt;10),12,IF(AND(L185=1,P187="Probabilidad",AB187&gt;=75),100,IF(AND(P187="Probabilidad",L185=1,AB187&gt;=50),75,IF(AND(P187="Probabilidad",L185=1,AB187&gt;=25),50,IF(AND(P187="Probabilidad",L185=1,AB187&gt;10),25,IF(AND(P187="Probabilidad",L185=3,AB187&gt;=75),33.3,IF(AND(P187="Probabilidad",L185=3,AB187,AB187&gt;=50),25,IF(AND(P187="Probabilidad",L185=3,AB187&gt;=25),17,IF(AND(P187="Probabilidad",L185=3,AB187&gt;10),8,0))))))))))))</f>
        <v>0</v>
      </c>
      <c r="AD187" s="184">
        <f t="shared" ref="AD187" si="359">IF(AND(L185=2,P187="Impacto",AB187&gt;=75),50,IF(AND(P187="Impacto",L185=2,AB187&gt;=50),37,IF(AND(P187="Impacto",L185=2,AB187&gt;=25),25,IF(AND(P187="Impacto",L185=2,AB187&gt;10),12,IF(AND(L185=1,P187="Impacto",AB187&gt;=75),100,IF(AND(P187="Impacto",L185=1,AB187&gt;=50),75,IF(AND(P187="Impacto",L185=1,AB187&gt;=25),50,IF(AND(P187="Impacto",L185=1,AB187&gt;10),25,IF(AND(P187="Impacto",L185=3,AB187&gt;=75),33.3,IF(AND(P187="Impacto",L185=3,AB187,AB187&gt;=50),25,IF(AND(P187="Impacto",L185=3,AB187&gt;=25),17,IF(AND(P187="Impacto",L185=3,AB187&gt;10),8,0))))))))))))</f>
        <v>0</v>
      </c>
      <c r="AE187" s="235"/>
      <c r="AF187" s="235"/>
      <c r="AG187" s="236"/>
      <c r="AH187" s="236"/>
      <c r="AI187" s="193"/>
      <c r="AJ187" s="237"/>
      <c r="AK187" s="237"/>
      <c r="AL187" s="238"/>
      <c r="AM187" s="233"/>
    </row>
    <row r="188" spans="1:39" ht="276" customHeight="1" x14ac:dyDescent="0.4">
      <c r="A188" s="191"/>
      <c r="B188" s="245">
        <v>57</v>
      </c>
      <c r="C188" s="241" t="s">
        <v>906</v>
      </c>
      <c r="D188" s="241" t="s">
        <v>907</v>
      </c>
      <c r="E188" s="244" t="s">
        <v>36</v>
      </c>
      <c r="F188" s="195" t="s">
        <v>908</v>
      </c>
      <c r="G188" s="241" t="s">
        <v>909</v>
      </c>
      <c r="H188" s="239" t="s">
        <v>15</v>
      </c>
      <c r="I188" s="240" t="s">
        <v>19</v>
      </c>
      <c r="J188" s="238" t="str">
        <f>IF(ISERROR(VLOOKUP(H188&amp;I188,Hoja1!$C$1:$F$25,4,0)),"",(VLOOKUP(H188&amp;I188,Hoja1!$C$1:$F$25,4,0)))</f>
        <v>Alto</v>
      </c>
      <c r="K188" s="185" t="s">
        <v>85</v>
      </c>
      <c r="L188" s="234">
        <v>2</v>
      </c>
      <c r="M188" s="195" t="s">
        <v>915</v>
      </c>
      <c r="N188" s="195" t="s">
        <v>916</v>
      </c>
      <c r="O188" s="195" t="s">
        <v>831</v>
      </c>
      <c r="P188" s="188" t="s">
        <v>22</v>
      </c>
      <c r="Q188" s="188" t="s">
        <v>42</v>
      </c>
      <c r="R188" s="188" t="str">
        <f t="shared" si="8"/>
        <v>N/A</v>
      </c>
      <c r="S188" s="188" t="s">
        <v>41</v>
      </c>
      <c r="T188" s="189" t="s">
        <v>939</v>
      </c>
      <c r="U188" s="188" t="s">
        <v>41</v>
      </c>
      <c r="V188" s="188" t="s">
        <v>91</v>
      </c>
      <c r="W188" s="188" t="s">
        <v>101</v>
      </c>
      <c r="X188" s="190" t="s">
        <v>102</v>
      </c>
      <c r="Y188" s="189" t="s">
        <v>108</v>
      </c>
      <c r="Z188" s="188" t="s">
        <v>41</v>
      </c>
      <c r="AA188" s="195" t="s">
        <v>941</v>
      </c>
      <c r="AB188" s="183">
        <f t="shared" ref="AB188:AB196" si="360">SUM(IF(Q188="Si",Q$15,0)+(IF(S188="Si",S$15,0))+IF(U188="Si",U$15,0)+IF(Z188="Si",Z$15,0))</f>
        <v>68</v>
      </c>
      <c r="AC188" s="184">
        <f t="shared" ref="AC188" si="361">IF(AND(L188=2,P188="Probabilidad",AB188&gt;=75),50,IF(AND(P188="Probabilidad",L188=2,AB188&gt;=50),37,IF(AND(P188="Probabilidad",L188=2,AB188&gt;=25),25,IF(AND(P188="Probabilidad",L188=2,AB188&gt;10),12,IF(AND(L188=1,P188="Probabilidad",AB188&gt;=75),100,IF(AND(P188="Probabilidad",L188=1,AB188&gt;=50),75,IF(AND(P188="Probabilidad",L188=1,AB188&gt;=25),50,IF(AND(P188="Probabilidad",L188=1,AB188&gt;10),25,IF(AND(P188="Probabilidad",L188=3,AB188&gt;=75),33.3,IF(AND(P188="Probabilidad",L188=3,AB188,AB188&gt;=50),25,IF(AND(P188="Probabilidad",L188=3,AB188&gt;=25),17,IF(AND(P188="Probabilidad",L188=3,AB188&gt;10),8,0))))))))))))</f>
        <v>37</v>
      </c>
      <c r="AD188" s="184">
        <f t="shared" ref="AD188" si="362">IF(AND(L188=2,P188="Impacto",AB188&gt;=75),50,IF(AND(P188="Impacto",L188=2,AB188&gt;=50),37,IF(AND(P188="Impacto",L188=2,AB188&gt;=25),25,IF(AND(P188="Impacto",L188=2,AB188&gt;10),12,IF(AND(L188=1,P188="Impacto",AB188&gt;=75),100,IF(AND(P188="Impacto",L188=1,AB188&gt;=50),75,IF(AND(P188="Impacto",L188=1,AB188&gt;=25),50,IF(AND(P188="Impacto",L188=1,AB188&gt;10),25,IF(AND(P188="Impacto",L188=3,AB188&gt;=75),33.3,IF(AND(P188="Impacto",L188=3,AB188,AB188&gt;=50),25,IF(AND(P188="Impacto",L188=3,AB188&gt;=25),17,IF(AND(P188="Impacto",L188=3,AB188&gt;10),8,0))))))))))))</f>
        <v>0</v>
      </c>
      <c r="AE188" s="235">
        <f t="shared" ref="AE188" si="363">SUM(AC188:AC190)</f>
        <v>74</v>
      </c>
      <c r="AF188" s="235">
        <f t="shared" ref="AF188" si="364">SUM(AD188:AD190)</f>
        <v>0</v>
      </c>
      <c r="AG188" s="236">
        <f t="shared" ref="AG188" si="365">IF(AE188&gt;75,2,IF(AE188&gt;=30,1,"-"))</f>
        <v>1</v>
      </c>
      <c r="AH188" s="236" t="str">
        <f t="shared" ref="AH188" si="366">IF(AF188&gt;75,2,IF(AF188&gt;=30,1,"-"))</f>
        <v>-</v>
      </c>
      <c r="AI188" s="193"/>
      <c r="AJ188" s="237" t="str">
        <f>IF(AND(AG188=2,H188="Casi seguro"),Hoja1!$J$5,IF(AND(AG188=2,H188="Posible"),Hoja1!$J$6,IF(AND(H188="Improbable",AG188=2),Hoja1!J135,IF(AND(AG188=1,H188="Casi seguro"),Hoja1!$J$4,IF(AND(AG188=1,H188="Posible"),Hoja1!$J$5,IF(AND(AG188=1,H188="Improbable"),Hoja1!$J$6,'FT-Mapa de riesgos'!H188))))))</f>
        <v>Improbable</v>
      </c>
      <c r="AK188" s="237" t="str">
        <f>IF(AND(AH188=2,I188="Catastrofico"),Hoja1!$K$5,IF(AND(AH188=2,I188="Mayor"),Hoja1!$K$6,IF(AND(AH188=2,I188="Moderado"),Hoja1!$K$7,IF(AND(AH188=1,I188="Catastrofico"),Hoja1!$K$4,IF(AND(AH188=1,I188="Mayor "),Hoja1!$K$5,IF(AND(AH188=1,I188="Moderado"),Hoja1!$K$6,IF(AND(AH188=2,I188="Menor"),Hoja1!$K$7,'FT-Mapa de riesgos'!I188)))))))</f>
        <v>Moderado</v>
      </c>
      <c r="AL188" s="238" t="str">
        <f>IF(ISERROR(VLOOKUP(AJ188&amp;AK188,Hoja1!$C$1:$F$25,4,0)),"",(VLOOKUP(AJ188&amp;AK188,Hoja1!$C$1:$F$25,4,0)))</f>
        <v>Moderado</v>
      </c>
      <c r="AM188" s="233"/>
    </row>
    <row r="189" spans="1:39" ht="219.95" customHeight="1" x14ac:dyDescent="0.4">
      <c r="A189" s="191"/>
      <c r="B189" s="245"/>
      <c r="C189" s="242"/>
      <c r="D189" s="242"/>
      <c r="E189" s="244"/>
      <c r="F189" s="195" t="s">
        <v>910</v>
      </c>
      <c r="G189" s="242"/>
      <c r="H189" s="239"/>
      <c r="I189" s="240"/>
      <c r="J189" s="238"/>
      <c r="K189" s="185" t="s">
        <v>85</v>
      </c>
      <c r="L189" s="234"/>
      <c r="M189" s="195" t="s">
        <v>917</v>
      </c>
      <c r="N189" s="195" t="s">
        <v>918</v>
      </c>
      <c r="O189" s="195" t="s">
        <v>831</v>
      </c>
      <c r="P189" s="188" t="s">
        <v>22</v>
      </c>
      <c r="Q189" s="188" t="s">
        <v>42</v>
      </c>
      <c r="R189" s="188" t="str">
        <f t="shared" si="8"/>
        <v>N/A</v>
      </c>
      <c r="S189" s="188" t="s">
        <v>41</v>
      </c>
      <c r="T189" s="189" t="s">
        <v>940</v>
      </c>
      <c r="U189" s="188" t="s">
        <v>41</v>
      </c>
      <c r="V189" s="188" t="s">
        <v>72</v>
      </c>
      <c r="W189" s="188" t="s">
        <v>101</v>
      </c>
      <c r="X189" s="190" t="s">
        <v>102</v>
      </c>
      <c r="Y189" s="189" t="s">
        <v>108</v>
      </c>
      <c r="Z189" s="188" t="s">
        <v>41</v>
      </c>
      <c r="AA189" s="195" t="s">
        <v>942</v>
      </c>
      <c r="AB189" s="183">
        <f t="shared" si="360"/>
        <v>68</v>
      </c>
      <c r="AC189" s="184">
        <f t="shared" ref="AC189" si="367">IF(AND(L188=2,P189="Probabilidad",AB189&gt;=75),50,IF(AND(P189="Probabilidad",L188=2,AB189&gt;=50),37,IF(AND(P189="Probabilidad",L188=2,AB189&gt;=25),25,IF(AND(P189="Probabilidad",L188=2,AB189&gt;10),12,IF(AND(L188=1,P189="Probabilidad",AB189&gt;=75),100,IF(AND(P189="Probabilidad",L188=1,AB189&gt;=50),75,IF(AND(P189="Probabilidad",L188=1,AB189&gt;=25),50,IF(AND(P189="Probabilidad",L188=1,AB189&gt;10),25,IF(AND(P189="Probabilidad",L188=3,AB189&gt;=75),33.3,IF(AND(P189="Probabilidad",L188=3,AB189,AB189&gt;=50),25,IF(AND(P189="Probabilidad",L188=3,AB189&gt;=25),17,IF(AND(P189="Probabilidad",L188=3,AB189&gt;10),8,0))))))))))))</f>
        <v>37</v>
      </c>
      <c r="AD189" s="184">
        <f t="shared" ref="AD189" si="368">IF(AND(L188=2,P189="Impacto",AB189&gt;=75),50,IF(AND(P189="Impacto",L188=2,AB189&gt;=50),37,IF(AND(P189="Impacto",L188=2,AB189&gt;=25),25,IF(AND(P189="Impacto",L188=2,AB189&gt;10),12,IF(AND(L188=1,P189="Impacto",AB189&gt;=75),100,IF(AND(P189="Impacto",L188=1,AB189&gt;=50),75,IF(AND(P189="Impacto",L188=1,AB189&gt;=25),50,IF(AND(P189="Impacto",L188=1,AB189&gt;10),25,IF(AND(P189="Impacto",L188=3,AB189&gt;=75),33.3,IF(AND(P189="Impacto",L188=3,AB189,AB189&gt;=50),25,IF(AND(P189="Impacto",L188=3,AB189&gt;=25),17,IF(AND(P189="Impacto",L188=3,AB189&gt;10),8,0))))))))))))</f>
        <v>0</v>
      </c>
      <c r="AE189" s="235"/>
      <c r="AF189" s="235"/>
      <c r="AG189" s="236"/>
      <c r="AH189" s="236"/>
      <c r="AI189" s="193"/>
      <c r="AJ189" s="237"/>
      <c r="AK189" s="237"/>
      <c r="AL189" s="238"/>
      <c r="AM189" s="233"/>
    </row>
    <row r="190" spans="1:39" ht="73.5" hidden="1" customHeight="1" x14ac:dyDescent="0.4">
      <c r="A190" s="191"/>
      <c r="B190" s="245"/>
      <c r="C190" s="243"/>
      <c r="D190" s="243"/>
      <c r="E190" s="244"/>
      <c r="F190" s="197"/>
      <c r="G190" s="243"/>
      <c r="H190" s="239"/>
      <c r="I190" s="240"/>
      <c r="J190" s="238"/>
      <c r="K190" s="187"/>
      <c r="L190" s="234"/>
      <c r="M190" s="212"/>
      <c r="N190" s="212"/>
      <c r="O190" s="212"/>
      <c r="P190" s="188"/>
      <c r="Q190" s="188"/>
      <c r="R190" s="188" t="str">
        <f t="shared" si="8"/>
        <v/>
      </c>
      <c r="S190" s="188"/>
      <c r="T190" s="203"/>
      <c r="U190" s="188"/>
      <c r="V190" s="188"/>
      <c r="W190" s="188"/>
      <c r="X190" s="190"/>
      <c r="Y190" s="188"/>
      <c r="Z190" s="188"/>
      <c r="AA190" s="188"/>
      <c r="AB190" s="183">
        <f t="shared" si="360"/>
        <v>0</v>
      </c>
      <c r="AC190" s="184">
        <f t="shared" ref="AC190" si="369">IF(AND(L188=2,P190="Probabilidad",AB190&gt;=75),50,IF(AND(P190="Probabilidad",L188=2,AB190&gt;=50),37,IF(AND(P190="Probabilidad",L188=2,AB190&gt;=25),25,IF(AND(P190="Probabilidad",L188=2,AB190&gt;10),12,IF(AND(L188=1,P190="Probabilidad",AB190&gt;=75),100,IF(AND(P190="Probabilidad",L188=1,AB190&gt;=50),75,IF(AND(P190="Probabilidad",L188=1,AB190&gt;=25),50,IF(AND(P190="Probabilidad",L188=1,AB190&gt;10),25,IF(AND(P190="Probabilidad",L188=3,AB190&gt;=75),33.3,IF(AND(P190="Probabilidad",L188=3,AB190,AB190&gt;=50),25,IF(AND(P190="Probabilidad",L188=3,AB190&gt;=25),17,IF(AND(P190="Probabilidad",L188=3,AB190&gt;10),8,0))))))))))))</f>
        <v>0</v>
      </c>
      <c r="AD190" s="184">
        <f t="shared" ref="AD190" si="370">IF(AND(L188=2,P190="Impacto",AB190&gt;=75),50,IF(AND(P190="Impacto",L188=2,AB190&gt;=50),37,IF(AND(P190="Impacto",L188=2,AB190&gt;=25),25,IF(AND(P190="Impacto",L188=2,AB190&gt;10),12,IF(AND(L188=1,P190="Impacto",AB190&gt;=75),100,IF(AND(P190="Impacto",L188=1,AB190&gt;=50),75,IF(AND(P190="Impacto",L188=1,AB190&gt;=25),50,IF(AND(P190="Impacto",L188=1,AB190&gt;10),25,IF(AND(P190="Impacto",L188=3,AB190&gt;=75),33.3,IF(AND(P190="Impacto",L188=3,AB190,AB190&gt;=50),25,IF(AND(P190="Impacto",L188=3,AB190&gt;=25),17,IF(AND(P190="Impacto",L188=3,AB190&gt;10),8,0))))))))))))</f>
        <v>0</v>
      </c>
      <c r="AE190" s="235"/>
      <c r="AF190" s="235"/>
      <c r="AG190" s="236"/>
      <c r="AH190" s="236"/>
      <c r="AI190" s="193"/>
      <c r="AJ190" s="237"/>
      <c r="AK190" s="237"/>
      <c r="AL190" s="238"/>
      <c r="AM190" s="233"/>
    </row>
    <row r="191" spans="1:39" ht="219.95" customHeight="1" x14ac:dyDescent="0.4">
      <c r="A191" s="191"/>
      <c r="B191" s="245">
        <v>58</v>
      </c>
      <c r="C191" s="241" t="s">
        <v>911</v>
      </c>
      <c r="D191" s="241" t="s">
        <v>912</v>
      </c>
      <c r="E191" s="244" t="s">
        <v>36</v>
      </c>
      <c r="F191" s="195" t="s">
        <v>913</v>
      </c>
      <c r="G191" s="241" t="s">
        <v>914</v>
      </c>
      <c r="H191" s="239" t="s">
        <v>15</v>
      </c>
      <c r="I191" s="240" t="s">
        <v>19</v>
      </c>
      <c r="J191" s="238" t="str">
        <f>IF(ISERROR(VLOOKUP(H191&amp;I191,Hoja1!$C$1:$F$25,4,0)),"",(VLOOKUP(H191&amp;I191,Hoja1!$C$1:$F$25,4,0)))</f>
        <v>Alto</v>
      </c>
      <c r="K191" s="185" t="s">
        <v>85</v>
      </c>
      <c r="L191" s="234">
        <v>2</v>
      </c>
      <c r="M191" s="195" t="s">
        <v>919</v>
      </c>
      <c r="N191" s="195" t="s">
        <v>920</v>
      </c>
      <c r="O191" s="195" t="s">
        <v>921</v>
      </c>
      <c r="P191" s="188" t="s">
        <v>22</v>
      </c>
      <c r="Q191" s="188" t="s">
        <v>42</v>
      </c>
      <c r="R191" s="188" t="str">
        <f t="shared" si="8"/>
        <v>N/A</v>
      </c>
      <c r="S191" s="188" t="s">
        <v>41</v>
      </c>
      <c r="T191" s="189" t="s">
        <v>940</v>
      </c>
      <c r="U191" s="188" t="s">
        <v>41</v>
      </c>
      <c r="V191" s="188" t="s">
        <v>151</v>
      </c>
      <c r="W191" s="188" t="s">
        <v>101</v>
      </c>
      <c r="X191" s="190" t="s">
        <v>102</v>
      </c>
      <c r="Y191" s="189" t="s">
        <v>108</v>
      </c>
      <c r="Z191" s="188" t="s">
        <v>41</v>
      </c>
      <c r="AA191" s="195" t="s">
        <v>943</v>
      </c>
      <c r="AB191" s="183">
        <f t="shared" si="360"/>
        <v>68</v>
      </c>
      <c r="AC191" s="184">
        <f t="shared" ref="AC191" si="371">IF(AND(L191=2,P191="Probabilidad",AB191&gt;=75),50,IF(AND(P191="Probabilidad",L191=2,AB191&gt;=50),37,IF(AND(P191="Probabilidad",L191=2,AB191&gt;=25),25,IF(AND(P191="Probabilidad",L191=2,AB191&gt;10),12,IF(AND(L191=1,P191="Probabilidad",AB191&gt;=75),100,IF(AND(P191="Probabilidad",L191=1,AB191&gt;=50),75,IF(AND(P191="Probabilidad",L191=1,AB191&gt;=25),50,IF(AND(P191="Probabilidad",L191=1,AB191&gt;10),25,IF(AND(P191="Probabilidad",L191=3,AB191&gt;=75),33.3,IF(AND(P191="Probabilidad",L191=3,AB191,AB191&gt;=50),25,IF(AND(P191="Probabilidad",L191=3,AB191&gt;=25),17,IF(AND(P191="Probabilidad",L191=3,AB191&gt;10),8,0))))))))))))</f>
        <v>37</v>
      </c>
      <c r="AD191" s="184">
        <f t="shared" ref="AD191" si="372">IF(AND(L191=2,P191="Impacto",AB191&gt;=75),50,IF(AND(P191="Impacto",L191=2,AB191&gt;=50),37,IF(AND(P191="Impacto",L191=2,AB191&gt;=25),25,IF(AND(P191="Impacto",L191=2,AB191&gt;10),12,IF(AND(L191=1,P191="Impacto",AB191&gt;=75),100,IF(AND(P191="Impacto",L191=1,AB191&gt;=50),75,IF(AND(P191="Impacto",L191=1,AB191&gt;=25),50,IF(AND(P191="Impacto",L191=1,AB191&gt;10),25,IF(AND(P191="Impacto",L191=3,AB191&gt;=75),33.3,IF(AND(P191="Impacto",L191=3,AB191,AB191&gt;=50),25,IF(AND(P191="Impacto",L191=3,AB191&gt;=25),17,IF(AND(P191="Impacto",L191=3,AB191&gt;10),8,0))))))))))))</f>
        <v>0</v>
      </c>
      <c r="AE191" s="235">
        <f t="shared" ref="AE191" si="373">SUM(AC191:AC193)</f>
        <v>74</v>
      </c>
      <c r="AF191" s="235">
        <f t="shared" ref="AF191" si="374">SUM(AD191:AD193)</f>
        <v>0</v>
      </c>
      <c r="AG191" s="236">
        <f t="shared" ref="AG191" si="375">IF(AE191&gt;75,2,IF(AE191&gt;=30,1,"-"))</f>
        <v>1</v>
      </c>
      <c r="AH191" s="236" t="str">
        <f t="shared" ref="AH191" si="376">IF(AF191&gt;75,2,IF(AF191&gt;=30,1,"-"))</f>
        <v>-</v>
      </c>
      <c r="AI191" s="193"/>
      <c r="AJ191" s="237" t="str">
        <f>IF(AND(AG191=2,H191="Casi seguro"),Hoja1!$J$5,IF(AND(AG191=2,H191="Posible"),Hoja1!$J$6,IF(AND(H191="Improbable",AG191=2),Hoja1!J138,IF(AND(AG191=1,H191="Casi seguro"),Hoja1!$J$4,IF(AND(AG191=1,H191="Posible"),Hoja1!$J$5,IF(AND(AG191=1,H191="Improbable"),Hoja1!$J$6,'FT-Mapa de riesgos'!H191))))))</f>
        <v>Improbable</v>
      </c>
      <c r="AK191" s="237" t="str">
        <f>IF(AND(AH191=2,I191="Catastrofico"),Hoja1!$K$5,IF(AND(AH191=2,I191="Mayor"),Hoja1!$K$6,IF(AND(AH191=2,I191="Moderado"),Hoja1!$K$7,IF(AND(AH191=1,I191="Catastrofico"),Hoja1!$K$4,IF(AND(AH191=1,I191="Mayor "),Hoja1!$K$5,IF(AND(AH191=1,I191="Moderado"),Hoja1!$K$6,IF(AND(AH191=2,I191="Menor"),Hoja1!$K$7,'FT-Mapa de riesgos'!I191)))))))</f>
        <v>Moderado</v>
      </c>
      <c r="AL191" s="238" t="str">
        <f>IF(ISERROR(VLOOKUP(AJ191&amp;AK191,Hoja1!$C$1:$F$25,4,0)),"",(VLOOKUP(AJ191&amp;AK191,Hoja1!$C$1:$F$25,4,0)))</f>
        <v>Moderado</v>
      </c>
      <c r="AM191" s="233"/>
    </row>
    <row r="192" spans="1:39" ht="219.95" customHeight="1" x14ac:dyDescent="0.4">
      <c r="A192" s="191"/>
      <c r="B192" s="245"/>
      <c r="C192" s="242"/>
      <c r="D192" s="242"/>
      <c r="E192" s="244"/>
      <c r="F192" s="195" t="s">
        <v>910</v>
      </c>
      <c r="G192" s="242"/>
      <c r="H192" s="239"/>
      <c r="I192" s="240"/>
      <c r="J192" s="238"/>
      <c r="K192" s="185" t="s">
        <v>85</v>
      </c>
      <c r="L192" s="234"/>
      <c r="M192" s="195" t="s">
        <v>922</v>
      </c>
      <c r="N192" s="195" t="s">
        <v>923</v>
      </c>
      <c r="O192" s="195" t="s">
        <v>924</v>
      </c>
      <c r="P192" s="188" t="s">
        <v>22</v>
      </c>
      <c r="Q192" s="188" t="s">
        <v>42</v>
      </c>
      <c r="R192" s="188" t="str">
        <f t="shared" si="8"/>
        <v>N/A</v>
      </c>
      <c r="S192" s="188" t="s">
        <v>41</v>
      </c>
      <c r="T192" s="189" t="s">
        <v>940</v>
      </c>
      <c r="U192" s="188" t="s">
        <v>41</v>
      </c>
      <c r="V192" s="188" t="s">
        <v>152</v>
      </c>
      <c r="W192" s="189" t="s">
        <v>167</v>
      </c>
      <c r="X192" s="190" t="s">
        <v>167</v>
      </c>
      <c r="Y192" s="189" t="s">
        <v>108</v>
      </c>
      <c r="Z192" s="188" t="s">
        <v>41</v>
      </c>
      <c r="AA192" s="195" t="s">
        <v>944</v>
      </c>
      <c r="AB192" s="183">
        <f t="shared" si="360"/>
        <v>68</v>
      </c>
      <c r="AC192" s="184">
        <f t="shared" ref="AC192" si="377">IF(AND(L191=2,P192="Probabilidad",AB192&gt;=75),50,IF(AND(P192="Probabilidad",L191=2,AB192&gt;=50),37,IF(AND(P192="Probabilidad",L191=2,AB192&gt;=25),25,IF(AND(P192="Probabilidad",L191=2,AB192&gt;10),12,IF(AND(L191=1,P192="Probabilidad",AB192&gt;=75),100,IF(AND(P192="Probabilidad",L191=1,AB192&gt;=50),75,IF(AND(P192="Probabilidad",L191=1,AB192&gt;=25),50,IF(AND(P192="Probabilidad",L191=1,AB192&gt;10),25,IF(AND(P192="Probabilidad",L191=3,AB192&gt;=75),33.3,IF(AND(P192="Probabilidad",L191=3,AB192,AB192&gt;=50),25,IF(AND(P192="Probabilidad",L191=3,AB192&gt;=25),17,IF(AND(P192="Probabilidad",L191=3,AB192&gt;10),8,0))))))))))))</f>
        <v>37</v>
      </c>
      <c r="AD192" s="184">
        <f t="shared" ref="AD192" si="378">IF(AND(L191=2,P192="Impacto",AB192&gt;=75),50,IF(AND(P192="Impacto",L191=2,AB192&gt;=50),37,IF(AND(P192="Impacto",L191=2,AB192&gt;=25),25,IF(AND(P192="Impacto",L191=2,AB192&gt;10),12,IF(AND(L191=1,P192="Impacto",AB192&gt;=75),100,IF(AND(P192="Impacto",L191=1,AB192&gt;=50),75,IF(AND(P192="Impacto",L191=1,AB192&gt;=25),50,IF(AND(P192="Impacto",L191=1,AB192&gt;10),25,IF(AND(P192="Impacto",L191=3,AB192&gt;=75),33.3,IF(AND(P192="Impacto",L191=3,AB192,AB192&gt;=50),25,IF(AND(P192="Impacto",L191=3,AB192&gt;=25),17,IF(AND(P192="Impacto",L191=3,AB192&gt;10),8,0))))))))))))</f>
        <v>0</v>
      </c>
      <c r="AE192" s="235"/>
      <c r="AF192" s="235"/>
      <c r="AG192" s="236"/>
      <c r="AH192" s="236"/>
      <c r="AI192" s="193"/>
      <c r="AJ192" s="237"/>
      <c r="AK192" s="237"/>
      <c r="AL192" s="238"/>
      <c r="AM192" s="233"/>
    </row>
    <row r="193" spans="1:39" ht="73.5" hidden="1" customHeight="1" x14ac:dyDescent="0.4">
      <c r="A193" s="191"/>
      <c r="B193" s="245"/>
      <c r="C193" s="243"/>
      <c r="D193" s="243"/>
      <c r="E193" s="244"/>
      <c r="F193" s="197"/>
      <c r="G193" s="243"/>
      <c r="H193" s="239"/>
      <c r="I193" s="240"/>
      <c r="J193" s="238"/>
      <c r="K193" s="187"/>
      <c r="L193" s="234"/>
      <c r="M193" s="212"/>
      <c r="N193" s="212"/>
      <c r="O193" s="212"/>
      <c r="P193" s="188"/>
      <c r="Q193" s="188"/>
      <c r="R193" s="188" t="str">
        <f t="shared" si="8"/>
        <v/>
      </c>
      <c r="S193" s="188"/>
      <c r="T193" s="203"/>
      <c r="U193" s="188"/>
      <c r="V193" s="188"/>
      <c r="W193" s="188"/>
      <c r="X193" s="190"/>
      <c r="Y193" s="188"/>
      <c r="Z193" s="188"/>
      <c r="AA193" s="188"/>
      <c r="AB193" s="183">
        <f t="shared" si="360"/>
        <v>0</v>
      </c>
      <c r="AC193" s="184">
        <f t="shared" ref="AC193" si="379">IF(AND(L191=2,P193="Probabilidad",AB193&gt;=75),50,IF(AND(P193="Probabilidad",L191=2,AB193&gt;=50),37,IF(AND(P193="Probabilidad",L191=2,AB193&gt;=25),25,IF(AND(P193="Probabilidad",L191=2,AB193&gt;10),12,IF(AND(L191=1,P193="Probabilidad",AB193&gt;=75),100,IF(AND(P193="Probabilidad",L191=1,AB193&gt;=50),75,IF(AND(P193="Probabilidad",L191=1,AB193&gt;=25),50,IF(AND(P193="Probabilidad",L191=1,AB193&gt;10),25,IF(AND(P193="Probabilidad",L191=3,AB193&gt;=75),33.3,IF(AND(P193="Probabilidad",L191=3,AB193,AB193&gt;=50),25,IF(AND(P193="Probabilidad",L191=3,AB193&gt;=25),17,IF(AND(P193="Probabilidad",L191=3,AB193&gt;10),8,0))))))))))))</f>
        <v>0</v>
      </c>
      <c r="AD193" s="184">
        <f t="shared" ref="AD193" si="380">IF(AND(L191=2,P193="Impacto",AB193&gt;=75),50,IF(AND(P193="Impacto",L191=2,AB193&gt;=50),37,IF(AND(P193="Impacto",L191=2,AB193&gt;=25),25,IF(AND(P193="Impacto",L191=2,AB193&gt;10),12,IF(AND(L191=1,P193="Impacto",AB193&gt;=75),100,IF(AND(P193="Impacto",L191=1,AB193&gt;=50),75,IF(AND(P193="Impacto",L191=1,AB193&gt;=25),50,IF(AND(P193="Impacto",L191=1,AB193&gt;10),25,IF(AND(P193="Impacto",L191=3,AB193&gt;=75),33.3,IF(AND(P193="Impacto",L191=3,AB193,AB193&gt;=50),25,IF(AND(P193="Impacto",L191=3,AB193&gt;=25),17,IF(AND(P193="Impacto",L191=3,AB193&gt;10),8,0))))))))))))</f>
        <v>0</v>
      </c>
      <c r="AE193" s="235"/>
      <c r="AF193" s="235"/>
      <c r="AG193" s="236"/>
      <c r="AH193" s="236"/>
      <c r="AI193" s="193"/>
      <c r="AJ193" s="237"/>
      <c r="AK193" s="237"/>
      <c r="AL193" s="238"/>
      <c r="AM193" s="233"/>
    </row>
    <row r="194" spans="1:39" ht="219.95" customHeight="1" x14ac:dyDescent="0.4">
      <c r="A194" s="191"/>
      <c r="B194" s="245">
        <v>59</v>
      </c>
      <c r="C194" s="246" t="s">
        <v>925</v>
      </c>
      <c r="D194" s="246" t="s">
        <v>926</v>
      </c>
      <c r="E194" s="244" t="s">
        <v>32</v>
      </c>
      <c r="F194" s="195" t="s">
        <v>927</v>
      </c>
      <c r="G194" s="249" t="s">
        <v>928</v>
      </c>
      <c r="H194" s="239" t="s">
        <v>14</v>
      </c>
      <c r="I194" s="240" t="s">
        <v>21</v>
      </c>
      <c r="J194" s="238" t="str">
        <f>IF(ISERROR(VLOOKUP(H194&amp;I194,Hoja1!$C$1:$F$25,4,0)),"",(VLOOKUP(H194&amp;I194,Hoja1!$C$1:$F$25,4,0)))</f>
        <v>Extremo</v>
      </c>
      <c r="K194" s="185" t="s">
        <v>85</v>
      </c>
      <c r="L194" s="234">
        <v>3</v>
      </c>
      <c r="M194" s="195" t="s">
        <v>931</v>
      </c>
      <c r="N194" s="204" t="s">
        <v>932</v>
      </c>
      <c r="O194" s="195" t="s">
        <v>924</v>
      </c>
      <c r="P194" s="188" t="s">
        <v>22</v>
      </c>
      <c r="Q194" s="188" t="s">
        <v>42</v>
      </c>
      <c r="R194" s="188" t="str">
        <f t="shared" si="8"/>
        <v>N/A</v>
      </c>
      <c r="S194" s="188" t="s">
        <v>41</v>
      </c>
      <c r="T194" s="189" t="s">
        <v>940</v>
      </c>
      <c r="U194" s="188" t="s">
        <v>41</v>
      </c>
      <c r="V194" s="188" t="s">
        <v>152</v>
      </c>
      <c r="W194" s="189" t="s">
        <v>167</v>
      </c>
      <c r="X194" s="190" t="s">
        <v>167</v>
      </c>
      <c r="Y194" s="189" t="s">
        <v>108</v>
      </c>
      <c r="Z194" s="188" t="s">
        <v>41</v>
      </c>
      <c r="AA194" s="195" t="s">
        <v>945</v>
      </c>
      <c r="AB194" s="183">
        <f t="shared" si="360"/>
        <v>68</v>
      </c>
      <c r="AC194" s="184">
        <f t="shared" ref="AC194" si="381">IF(AND(L194=2,P194="Probabilidad",AB194&gt;=75),50,IF(AND(P194="Probabilidad",L194=2,AB194&gt;=50),37,IF(AND(P194="Probabilidad",L194=2,AB194&gt;=25),25,IF(AND(P194="Probabilidad",L194=2,AB194&gt;10),12,IF(AND(L194=1,P194="Probabilidad",AB194&gt;=75),100,IF(AND(P194="Probabilidad",L194=1,AB194&gt;=50),75,IF(AND(P194="Probabilidad",L194=1,AB194&gt;=25),50,IF(AND(P194="Probabilidad",L194=1,AB194&gt;10),25,IF(AND(P194="Probabilidad",L194=3,AB194&gt;=75),33.3,IF(AND(P194="Probabilidad",L194=3,AB194,AB194&gt;=50),25,IF(AND(P194="Probabilidad",L194=3,AB194&gt;=25),17,IF(AND(P194="Probabilidad",L194=3,AB194&gt;10),8,0))))))))))))</f>
        <v>25</v>
      </c>
      <c r="AD194" s="184">
        <f t="shared" ref="AD194" si="382">IF(AND(L194=2,P194="Impacto",AB194&gt;=75),50,IF(AND(P194="Impacto",L194=2,AB194&gt;=50),37,IF(AND(P194="Impacto",L194=2,AB194&gt;=25),25,IF(AND(P194="Impacto",L194=2,AB194&gt;10),12,IF(AND(L194=1,P194="Impacto",AB194&gt;=75),100,IF(AND(P194="Impacto",L194=1,AB194&gt;=50),75,IF(AND(P194="Impacto",L194=1,AB194&gt;=25),50,IF(AND(P194="Impacto",L194=1,AB194&gt;10),25,IF(AND(P194="Impacto",L194=3,AB194&gt;=75),33.3,IF(AND(P194="Impacto",L194=3,AB194,AB194&gt;=50),25,IF(AND(P194="Impacto",L194=3,AB194&gt;=25),17,IF(AND(P194="Impacto",L194=3,AB194&gt;10),8,0))))))))))))</f>
        <v>0</v>
      </c>
      <c r="AE194" s="235">
        <f t="shared" ref="AE194" si="383">SUM(AC194:AC196)</f>
        <v>75</v>
      </c>
      <c r="AF194" s="235">
        <f t="shared" ref="AF194" si="384">SUM(AD194:AD196)</f>
        <v>0</v>
      </c>
      <c r="AG194" s="236">
        <f t="shared" ref="AG194" si="385">IF(AE194&gt;75,2,IF(AE194&gt;=30,1,"-"))</f>
        <v>1</v>
      </c>
      <c r="AH194" s="236" t="str">
        <f t="shared" ref="AH194" si="386">IF(AF194&gt;75,2,IF(AF194&gt;=30,1,"-"))</f>
        <v>-</v>
      </c>
      <c r="AI194" s="193"/>
      <c r="AJ194" s="237" t="str">
        <f>IF(AND(AG194=2,H194="Casi seguro"),Hoja1!$J$5,IF(AND(AG194=2,H194="Posible"),Hoja1!$J$6,IF(AND(H194="Improbable",AG194=2),Hoja1!J141,IF(AND(AG194=1,H194="Casi seguro"),Hoja1!$J$4,IF(AND(AG194=1,H194="Posible"),Hoja1!$J$5,IF(AND(AG194=1,H194="Improbable"),Hoja1!$J$6,'FT-Mapa de riesgos'!H194))))))</f>
        <v>Rara Vez</v>
      </c>
      <c r="AK194" s="237" t="str">
        <f>IF(AND(AH194=2,I194="Catastrofico"),Hoja1!$K$5,IF(AND(AH194=2,I194="Mayor"),Hoja1!$K$6,IF(AND(AH194=2,I194="Moderado"),Hoja1!$K$7,IF(AND(AH194=1,I194="Catastrofico"),Hoja1!$K$4,IF(AND(AH194=1,I194="Mayor "),Hoja1!$K$5,IF(AND(AH194=1,I194="Moderado"),Hoja1!$K$6,IF(AND(AH194=2,I194="Menor"),Hoja1!$K$7,'FT-Mapa de riesgos'!I194)))))))</f>
        <v>Catastrofico</v>
      </c>
      <c r="AL194" s="238" t="str">
        <f>IF(ISERROR(VLOOKUP(AJ194&amp;AK194,Hoja1!$C$1:$F$25,4,0)),"",(VLOOKUP(AJ194&amp;AK194,Hoja1!$C$1:$F$25,4,0)))</f>
        <v>Alto</v>
      </c>
      <c r="AM194" s="233"/>
    </row>
    <row r="195" spans="1:39" ht="219.95" customHeight="1" x14ac:dyDescent="0.4">
      <c r="A195" s="191"/>
      <c r="B195" s="245"/>
      <c r="C195" s="247"/>
      <c r="D195" s="247"/>
      <c r="E195" s="244"/>
      <c r="F195" s="195" t="s">
        <v>929</v>
      </c>
      <c r="G195" s="249"/>
      <c r="H195" s="239"/>
      <c r="I195" s="240"/>
      <c r="J195" s="238"/>
      <c r="K195" s="185" t="s">
        <v>85</v>
      </c>
      <c r="L195" s="234"/>
      <c r="M195" s="195" t="s">
        <v>933</v>
      </c>
      <c r="N195" s="195" t="s">
        <v>934</v>
      </c>
      <c r="O195" s="195" t="s">
        <v>935</v>
      </c>
      <c r="P195" s="188" t="s">
        <v>22</v>
      </c>
      <c r="Q195" s="188" t="s">
        <v>42</v>
      </c>
      <c r="R195" s="188" t="str">
        <f t="shared" si="8"/>
        <v>N/A</v>
      </c>
      <c r="S195" s="188" t="s">
        <v>41</v>
      </c>
      <c r="T195" s="189" t="s">
        <v>940</v>
      </c>
      <c r="U195" s="188" t="s">
        <v>41</v>
      </c>
      <c r="V195" s="188" t="s">
        <v>152</v>
      </c>
      <c r="W195" s="189" t="s">
        <v>167</v>
      </c>
      <c r="X195" s="190" t="s">
        <v>167</v>
      </c>
      <c r="Y195" s="189" t="s">
        <v>108</v>
      </c>
      <c r="Z195" s="188" t="s">
        <v>41</v>
      </c>
      <c r="AA195" s="195" t="s">
        <v>945</v>
      </c>
      <c r="AB195" s="183">
        <f t="shared" si="360"/>
        <v>68</v>
      </c>
      <c r="AC195" s="184">
        <f t="shared" ref="AC195" si="387">IF(AND(L194=2,P195="Probabilidad",AB195&gt;=75),50,IF(AND(P195="Probabilidad",L194=2,AB195&gt;=50),37,IF(AND(P195="Probabilidad",L194=2,AB195&gt;=25),25,IF(AND(P195="Probabilidad",L194=2,AB195&gt;10),12,IF(AND(L194=1,P195="Probabilidad",AB195&gt;=75),100,IF(AND(P195="Probabilidad",L194=1,AB195&gt;=50),75,IF(AND(P195="Probabilidad",L194=1,AB195&gt;=25),50,IF(AND(P195="Probabilidad",L194=1,AB195&gt;10),25,IF(AND(P195="Probabilidad",L194=3,AB195&gt;=75),33.3,IF(AND(P195="Probabilidad",L194=3,AB195,AB195&gt;=50),25,IF(AND(P195="Probabilidad",L194=3,AB195&gt;=25),17,IF(AND(P195="Probabilidad",L194=3,AB195&gt;10),8,0))))))))))))</f>
        <v>25</v>
      </c>
      <c r="AD195" s="184">
        <f t="shared" ref="AD195" si="388">IF(AND(L194=2,P195="Impacto",AB195&gt;=75),50,IF(AND(P195="Impacto",L194=2,AB195&gt;=50),37,IF(AND(P195="Impacto",L194=2,AB195&gt;=25),25,IF(AND(P195="Impacto",L194=2,AB195&gt;10),12,IF(AND(L194=1,P195="Impacto",AB195&gt;=75),100,IF(AND(P195="Impacto",L194=1,AB195&gt;=50),75,IF(AND(P195="Impacto",L194=1,AB195&gt;=25),50,IF(AND(P195="Impacto",L194=1,AB195&gt;10),25,IF(AND(P195="Impacto",L194=3,AB195&gt;=75),33.3,IF(AND(P195="Impacto",L194=3,AB195,AB195&gt;=50),25,IF(AND(P195="Impacto",L194=3,AB195&gt;=25),17,IF(AND(P195="Impacto",L194=3,AB195&gt;10),8,0))))))))))))</f>
        <v>0</v>
      </c>
      <c r="AE195" s="235"/>
      <c r="AF195" s="235"/>
      <c r="AG195" s="236"/>
      <c r="AH195" s="236"/>
      <c r="AI195" s="193"/>
      <c r="AJ195" s="237"/>
      <c r="AK195" s="237"/>
      <c r="AL195" s="238"/>
      <c r="AM195" s="233"/>
    </row>
    <row r="196" spans="1:39" ht="219.95" customHeight="1" x14ac:dyDescent="0.4">
      <c r="A196" s="191"/>
      <c r="B196" s="245"/>
      <c r="C196" s="248"/>
      <c r="D196" s="248"/>
      <c r="E196" s="244"/>
      <c r="F196" s="204" t="s">
        <v>930</v>
      </c>
      <c r="G196" s="249"/>
      <c r="H196" s="239"/>
      <c r="I196" s="240"/>
      <c r="J196" s="238"/>
      <c r="K196" s="185" t="s">
        <v>85</v>
      </c>
      <c r="L196" s="234"/>
      <c r="M196" s="195" t="s">
        <v>936</v>
      </c>
      <c r="N196" s="195" t="s">
        <v>937</v>
      </c>
      <c r="O196" s="195" t="s">
        <v>938</v>
      </c>
      <c r="P196" s="188" t="s">
        <v>22</v>
      </c>
      <c r="Q196" s="188" t="s">
        <v>42</v>
      </c>
      <c r="R196" s="188" t="str">
        <f t="shared" si="8"/>
        <v>N/A</v>
      </c>
      <c r="S196" s="188" t="s">
        <v>41</v>
      </c>
      <c r="T196" s="189" t="s">
        <v>940</v>
      </c>
      <c r="U196" s="188" t="s">
        <v>41</v>
      </c>
      <c r="V196" s="188" t="s">
        <v>152</v>
      </c>
      <c r="W196" s="189" t="s">
        <v>167</v>
      </c>
      <c r="X196" s="190" t="s">
        <v>167</v>
      </c>
      <c r="Y196" s="189" t="s">
        <v>108</v>
      </c>
      <c r="Z196" s="188" t="s">
        <v>41</v>
      </c>
      <c r="AA196" s="195" t="s">
        <v>945</v>
      </c>
      <c r="AB196" s="183">
        <f t="shared" si="360"/>
        <v>68</v>
      </c>
      <c r="AC196" s="184">
        <f t="shared" ref="AC196" si="389">IF(AND(L194=2,P196="Probabilidad",AB196&gt;=75),50,IF(AND(P196="Probabilidad",L194=2,AB196&gt;=50),37,IF(AND(P196="Probabilidad",L194=2,AB196&gt;=25),25,IF(AND(P196="Probabilidad",L194=2,AB196&gt;10),12,IF(AND(L194=1,P196="Probabilidad",AB196&gt;=75),100,IF(AND(P196="Probabilidad",L194=1,AB196&gt;=50),75,IF(AND(P196="Probabilidad",L194=1,AB196&gt;=25),50,IF(AND(P196="Probabilidad",L194=1,AB196&gt;10),25,IF(AND(P196="Probabilidad",L194=3,AB196&gt;=75),33.3,IF(AND(P196="Probabilidad",L194=3,AB196,AB196&gt;=50),25,IF(AND(P196="Probabilidad",L194=3,AB196&gt;=25),17,IF(AND(P196="Probabilidad",L194=3,AB196&gt;10),8,0))))))))))))</f>
        <v>25</v>
      </c>
      <c r="AD196" s="184">
        <f t="shared" ref="AD196" si="390">IF(AND(L194=2,P196="Impacto",AB196&gt;=75),50,IF(AND(P196="Impacto",L194=2,AB196&gt;=50),37,IF(AND(P196="Impacto",L194=2,AB196&gt;=25),25,IF(AND(P196="Impacto",L194=2,AB196&gt;10),12,IF(AND(L194=1,P196="Impacto",AB196&gt;=75),100,IF(AND(P196="Impacto",L194=1,AB196&gt;=50),75,IF(AND(P196="Impacto",L194=1,AB196&gt;=25),50,IF(AND(P196="Impacto",L194=1,AB196&gt;10),25,IF(AND(P196="Impacto",L194=3,AB196&gt;=75),33.3,IF(AND(P196="Impacto",L194=3,AB196,AB196&gt;=50),25,IF(AND(P196="Impacto",L194=3,AB196&gt;=25),17,IF(AND(P196="Impacto",L194=3,AB196&gt;10),8,0))))))))))))</f>
        <v>0</v>
      </c>
      <c r="AE196" s="235"/>
      <c r="AF196" s="235"/>
      <c r="AG196" s="236"/>
      <c r="AH196" s="236"/>
      <c r="AI196" s="193"/>
      <c r="AJ196" s="237"/>
      <c r="AK196" s="237"/>
      <c r="AL196" s="238"/>
      <c r="AM196" s="233"/>
    </row>
    <row r="197" spans="1:39" ht="219.95" customHeight="1" x14ac:dyDescent="0.4">
      <c r="A197" s="191"/>
      <c r="B197" s="245">
        <v>60</v>
      </c>
      <c r="C197" s="246" t="s">
        <v>946</v>
      </c>
      <c r="D197" s="246" t="s">
        <v>947</v>
      </c>
      <c r="E197" s="244" t="s">
        <v>36</v>
      </c>
      <c r="F197" s="204" t="s">
        <v>948</v>
      </c>
      <c r="G197" s="249" t="s">
        <v>949</v>
      </c>
      <c r="H197" s="239" t="s">
        <v>15</v>
      </c>
      <c r="I197" s="240" t="s">
        <v>20</v>
      </c>
      <c r="J197" s="238" t="str">
        <f>IF(ISERROR(VLOOKUP(H197&amp;I197,Hoja1!$C$1:$F$25,4,0)),"",(VLOOKUP(H197&amp;I197,Hoja1!$C$1:$F$25,4,0)))</f>
        <v>Extremo</v>
      </c>
      <c r="K197" s="185" t="s">
        <v>85</v>
      </c>
      <c r="L197" s="234">
        <v>2</v>
      </c>
      <c r="M197" s="195" t="s">
        <v>962</v>
      </c>
      <c r="N197" s="195" t="s">
        <v>963</v>
      </c>
      <c r="O197" s="195" t="s">
        <v>964</v>
      </c>
      <c r="P197" s="188" t="s">
        <v>22</v>
      </c>
      <c r="Q197" s="188" t="s">
        <v>42</v>
      </c>
      <c r="R197" s="188" t="str">
        <f t="shared" si="8"/>
        <v>N/A</v>
      </c>
      <c r="S197" s="188" t="s">
        <v>41</v>
      </c>
      <c r="T197" s="189" t="s">
        <v>940</v>
      </c>
      <c r="U197" s="188" t="s">
        <v>41</v>
      </c>
      <c r="V197" s="188" t="s">
        <v>151</v>
      </c>
      <c r="W197" s="188" t="s">
        <v>101</v>
      </c>
      <c r="X197" s="190" t="s">
        <v>102</v>
      </c>
      <c r="Y197" s="189" t="s">
        <v>108</v>
      </c>
      <c r="Z197" s="188" t="s">
        <v>41</v>
      </c>
      <c r="AA197" s="195" t="s">
        <v>984</v>
      </c>
      <c r="AB197" s="183">
        <f t="shared" ref="AB197:AB202" si="391">SUM(IF(Q197="Si",Q$15,0)+(IF(S197="Si",S$15,0))+IF(U197="Si",U$15,0)+IF(Z197="Si",Z$15,0))</f>
        <v>68</v>
      </c>
      <c r="AC197" s="184">
        <f t="shared" ref="AC197" si="392">IF(AND(L197=2,P197="Probabilidad",AB197&gt;=75),50,IF(AND(P197="Probabilidad",L197=2,AB197&gt;=50),37,IF(AND(P197="Probabilidad",L197=2,AB197&gt;=25),25,IF(AND(P197="Probabilidad",L197=2,AB197&gt;10),12,IF(AND(L197=1,P197="Probabilidad",AB197&gt;=75),100,IF(AND(P197="Probabilidad",L197=1,AB197&gt;=50),75,IF(AND(P197="Probabilidad",L197=1,AB197&gt;=25),50,IF(AND(P197="Probabilidad",L197=1,AB197&gt;10),25,IF(AND(P197="Probabilidad",L197=3,AB197&gt;=75),33.3,IF(AND(P197="Probabilidad",L197=3,AB197,AB197&gt;=50),25,IF(AND(P197="Probabilidad",L197=3,AB197&gt;=25),17,IF(AND(P197="Probabilidad",L197=3,AB197&gt;10),8,0))))))))))))</f>
        <v>37</v>
      </c>
      <c r="AD197" s="184">
        <f t="shared" ref="AD197" si="393">IF(AND(L197=2,P197="Impacto",AB197&gt;=75),50,IF(AND(P197="Impacto",L197=2,AB197&gt;=50),37,IF(AND(P197="Impacto",L197=2,AB197&gt;=25),25,IF(AND(P197="Impacto",L197=2,AB197&gt;10),12,IF(AND(L197=1,P197="Impacto",AB197&gt;=75),100,IF(AND(P197="Impacto",L197=1,AB197&gt;=50),75,IF(AND(P197="Impacto",L197=1,AB197&gt;=25),50,IF(AND(P197="Impacto",L197=1,AB197&gt;10),25,IF(AND(P197="Impacto",L197=3,AB197&gt;=75),33.3,IF(AND(P197="Impacto",L197=3,AB197,AB197&gt;=50),25,IF(AND(P197="Impacto",L197=3,AB197&gt;=25),17,IF(AND(P197="Impacto",L197=3,AB197&gt;10),8,0))))))))))))</f>
        <v>0</v>
      </c>
      <c r="AE197" s="235">
        <f t="shared" ref="AE197" si="394">SUM(AC197:AC199)</f>
        <v>74</v>
      </c>
      <c r="AF197" s="235">
        <f t="shared" ref="AF197" si="395">SUM(AD197:AD199)</f>
        <v>0</v>
      </c>
      <c r="AG197" s="236">
        <f t="shared" ref="AG197" si="396">IF(AE197&gt;75,2,IF(AE197&gt;=30,1,"-"))</f>
        <v>1</v>
      </c>
      <c r="AH197" s="236" t="str">
        <f t="shared" ref="AH197" si="397">IF(AF197&gt;75,2,IF(AF197&gt;=30,1,"-"))</f>
        <v>-</v>
      </c>
      <c r="AI197" s="193"/>
      <c r="AJ197" s="237" t="str">
        <f>IF(AND(AG197=2,H197="Casi seguro"),Hoja1!$J$5,IF(AND(AG197=2,H197="Posible"),Hoja1!$J$6,IF(AND(H197="Improbable",AG197=2),Hoja1!J144,IF(AND(AG197=1,H197="Casi seguro"),Hoja1!$J$4,IF(AND(AG197=1,H197="Posible"),Hoja1!$J$5,IF(AND(AG197=1,H197="Improbable"),Hoja1!$J$6,'FT-Mapa de riesgos'!H197))))))</f>
        <v>Improbable</v>
      </c>
      <c r="AK197" s="237" t="str">
        <f>IF(AND(AH197=2,I197="Catastrofico"),Hoja1!$K$5,IF(AND(AH197=2,I197="Mayor"),Hoja1!$K$6,IF(AND(AH197=2,I197="Moderado"),Hoja1!$K$7,IF(AND(AH197=1,I197="Catastrofico"),Hoja1!$K$4,IF(AND(AH197=1,I197="Mayor "),Hoja1!$K$5,IF(AND(AH197=1,I197="Moderado"),Hoja1!$K$6,IF(AND(AH197=2,I197="Menor"),Hoja1!$K$7,'FT-Mapa de riesgos'!I197)))))))</f>
        <v xml:space="preserve">Mayor </v>
      </c>
      <c r="AL197" s="238" t="str">
        <f>IF(ISERROR(VLOOKUP(AJ197&amp;AK197,Hoja1!$C$1:$F$25,4,0)),"",(VLOOKUP(AJ197&amp;AK197,Hoja1!$C$1:$F$25,4,0)))</f>
        <v>Alto</v>
      </c>
      <c r="AM197" s="233"/>
    </row>
    <row r="198" spans="1:39" ht="219.95" customHeight="1" x14ac:dyDescent="0.4">
      <c r="A198" s="191"/>
      <c r="B198" s="245"/>
      <c r="C198" s="247"/>
      <c r="D198" s="247"/>
      <c r="E198" s="244"/>
      <c r="F198" s="204" t="s">
        <v>950</v>
      </c>
      <c r="G198" s="249"/>
      <c r="H198" s="239"/>
      <c r="I198" s="240"/>
      <c r="J198" s="238"/>
      <c r="K198" s="185" t="s">
        <v>85</v>
      </c>
      <c r="L198" s="234"/>
      <c r="M198" s="195" t="s">
        <v>965</v>
      </c>
      <c r="N198" s="195" t="s">
        <v>966</v>
      </c>
      <c r="O198" s="195" t="s">
        <v>831</v>
      </c>
      <c r="P198" s="188" t="s">
        <v>22</v>
      </c>
      <c r="Q198" s="188" t="s">
        <v>42</v>
      </c>
      <c r="R198" s="188" t="str">
        <f t="shared" si="8"/>
        <v>N/A</v>
      </c>
      <c r="S198" s="188" t="s">
        <v>41</v>
      </c>
      <c r="T198" s="189" t="s">
        <v>940</v>
      </c>
      <c r="U198" s="188" t="s">
        <v>41</v>
      </c>
      <c r="V198" s="188" t="s">
        <v>152</v>
      </c>
      <c r="W198" s="188" t="s">
        <v>101</v>
      </c>
      <c r="X198" s="190" t="s">
        <v>167</v>
      </c>
      <c r="Y198" s="189" t="s">
        <v>167</v>
      </c>
      <c r="Z198" s="188" t="s">
        <v>41</v>
      </c>
      <c r="AA198" s="195" t="s">
        <v>943</v>
      </c>
      <c r="AB198" s="183">
        <f t="shared" si="391"/>
        <v>68</v>
      </c>
      <c r="AC198" s="184">
        <f t="shared" ref="AC198" si="398">IF(AND(L197=2,P198="Probabilidad",AB198&gt;=75),50,IF(AND(P198="Probabilidad",L197=2,AB198&gt;=50),37,IF(AND(P198="Probabilidad",L197=2,AB198&gt;=25),25,IF(AND(P198="Probabilidad",L197=2,AB198&gt;10),12,IF(AND(L197=1,P198="Probabilidad",AB198&gt;=75),100,IF(AND(P198="Probabilidad",L197=1,AB198&gt;=50),75,IF(AND(P198="Probabilidad",L197=1,AB198&gt;=25),50,IF(AND(P198="Probabilidad",L197=1,AB198&gt;10),25,IF(AND(P198="Probabilidad",L197=3,AB198&gt;=75),33.3,IF(AND(P198="Probabilidad",L197=3,AB198,AB198&gt;=50),25,IF(AND(P198="Probabilidad",L197=3,AB198&gt;=25),17,IF(AND(P198="Probabilidad",L197=3,AB198&gt;10),8,0))))))))))))</f>
        <v>37</v>
      </c>
      <c r="AD198" s="184">
        <f t="shared" ref="AD198" si="399">IF(AND(L197=2,P198="Impacto",AB198&gt;=75),50,IF(AND(P198="Impacto",L197=2,AB198&gt;=50),37,IF(AND(P198="Impacto",L197=2,AB198&gt;=25),25,IF(AND(P198="Impacto",L197=2,AB198&gt;10),12,IF(AND(L197=1,P198="Impacto",AB198&gt;=75),100,IF(AND(P198="Impacto",L197=1,AB198&gt;=50),75,IF(AND(P198="Impacto",L197=1,AB198&gt;=25),50,IF(AND(P198="Impacto",L197=1,AB198&gt;10),25,IF(AND(P198="Impacto",L197=3,AB198&gt;=75),33.3,IF(AND(P198="Impacto",L197=3,AB198,AB198&gt;=50),25,IF(AND(P198="Impacto",L197=3,AB198&gt;=25),17,IF(AND(P198="Impacto",L197=3,AB198&gt;10),8,0))))))))))))</f>
        <v>0</v>
      </c>
      <c r="AE198" s="235"/>
      <c r="AF198" s="235"/>
      <c r="AG198" s="236"/>
      <c r="AH198" s="236"/>
      <c r="AI198" s="193"/>
      <c r="AJ198" s="237"/>
      <c r="AK198" s="237"/>
      <c r="AL198" s="238"/>
      <c r="AM198" s="233"/>
    </row>
    <row r="199" spans="1:39" ht="73.5" hidden="1" customHeight="1" x14ac:dyDescent="0.4">
      <c r="A199" s="191"/>
      <c r="B199" s="245"/>
      <c r="C199" s="248"/>
      <c r="D199" s="248"/>
      <c r="E199" s="244"/>
      <c r="F199" s="204"/>
      <c r="G199" s="249"/>
      <c r="H199" s="239"/>
      <c r="I199" s="240"/>
      <c r="J199" s="238"/>
      <c r="K199" s="187"/>
      <c r="L199" s="234"/>
      <c r="M199" s="212"/>
      <c r="N199" s="212"/>
      <c r="O199" s="212"/>
      <c r="P199" s="188"/>
      <c r="Q199" s="188"/>
      <c r="R199" s="188" t="str">
        <f t="shared" si="8"/>
        <v/>
      </c>
      <c r="S199" s="188"/>
      <c r="T199" s="188"/>
      <c r="U199" s="188"/>
      <c r="V199" s="188"/>
      <c r="W199" s="188"/>
      <c r="X199" s="190"/>
      <c r="Y199" s="188"/>
      <c r="Z199" s="188"/>
      <c r="AA199" s="188"/>
      <c r="AB199" s="183">
        <f t="shared" si="391"/>
        <v>0</v>
      </c>
      <c r="AC199" s="184">
        <f t="shared" ref="AC199" si="400">IF(AND(L197=2,P199="Probabilidad",AB199&gt;=75),50,IF(AND(P199="Probabilidad",L197=2,AB199&gt;=50),37,IF(AND(P199="Probabilidad",L197=2,AB199&gt;=25),25,IF(AND(P199="Probabilidad",L197=2,AB199&gt;10),12,IF(AND(L197=1,P199="Probabilidad",AB199&gt;=75),100,IF(AND(P199="Probabilidad",L197=1,AB199&gt;=50),75,IF(AND(P199="Probabilidad",L197=1,AB199&gt;=25),50,IF(AND(P199="Probabilidad",L197=1,AB199&gt;10),25,IF(AND(P199="Probabilidad",L197=3,AB199&gt;=75),33.3,IF(AND(P199="Probabilidad",L197=3,AB199,AB199&gt;=50),25,IF(AND(P199="Probabilidad",L197=3,AB199&gt;=25),17,IF(AND(P199="Probabilidad",L197=3,AB199&gt;10),8,0))))))))))))</f>
        <v>0</v>
      </c>
      <c r="AD199" s="184">
        <f t="shared" ref="AD199" si="401">IF(AND(L197=2,P199="Impacto",AB199&gt;=75),50,IF(AND(P199="Impacto",L197=2,AB199&gt;=50),37,IF(AND(P199="Impacto",L197=2,AB199&gt;=25),25,IF(AND(P199="Impacto",L197=2,AB199&gt;10),12,IF(AND(L197=1,P199="Impacto",AB199&gt;=75),100,IF(AND(P199="Impacto",L197=1,AB199&gt;=50),75,IF(AND(P199="Impacto",L197=1,AB199&gt;=25),50,IF(AND(P199="Impacto",L197=1,AB199&gt;10),25,IF(AND(P199="Impacto",L197=3,AB199&gt;=75),33.3,IF(AND(P199="Impacto",L197=3,AB199,AB199&gt;=50),25,IF(AND(P199="Impacto",L197=3,AB199&gt;=25),17,IF(AND(P199="Impacto",L197=3,AB199&gt;10),8,0))))))))))))</f>
        <v>0</v>
      </c>
      <c r="AE199" s="235"/>
      <c r="AF199" s="235"/>
      <c r="AG199" s="236"/>
      <c r="AH199" s="236"/>
      <c r="AI199" s="193"/>
      <c r="AJ199" s="237"/>
      <c r="AK199" s="237"/>
      <c r="AL199" s="238"/>
      <c r="AM199" s="231"/>
    </row>
    <row r="200" spans="1:39" ht="219.95" customHeight="1" x14ac:dyDescent="0.4">
      <c r="A200" s="191"/>
      <c r="B200" s="245">
        <v>61</v>
      </c>
      <c r="C200" s="249" t="s">
        <v>951</v>
      </c>
      <c r="D200" s="249" t="s">
        <v>952</v>
      </c>
      <c r="E200" s="244" t="s">
        <v>35</v>
      </c>
      <c r="F200" s="195" t="s">
        <v>953</v>
      </c>
      <c r="G200" s="249" t="s">
        <v>954</v>
      </c>
      <c r="H200" s="239" t="s">
        <v>15</v>
      </c>
      <c r="I200" s="240" t="s">
        <v>20</v>
      </c>
      <c r="J200" s="238" t="str">
        <f>IF(ISERROR(VLOOKUP(H200&amp;I200,Hoja1!$C$1:$F$25,4,0)),"",(VLOOKUP(H200&amp;I200,Hoja1!$C$1:$F$25,4,0)))</f>
        <v>Extremo</v>
      </c>
      <c r="K200" s="185" t="s">
        <v>85</v>
      </c>
      <c r="L200" s="234">
        <v>2</v>
      </c>
      <c r="M200" s="195" t="s">
        <v>967</v>
      </c>
      <c r="N200" s="195" t="s">
        <v>968</v>
      </c>
      <c r="O200" s="195" t="s">
        <v>938</v>
      </c>
      <c r="P200" s="188" t="s">
        <v>22</v>
      </c>
      <c r="Q200" s="188" t="s">
        <v>41</v>
      </c>
      <c r="R200" s="189" t="s">
        <v>980</v>
      </c>
      <c r="S200" s="188" t="s">
        <v>41</v>
      </c>
      <c r="T200" s="189" t="s">
        <v>940</v>
      </c>
      <c r="U200" s="188" t="s">
        <v>41</v>
      </c>
      <c r="V200" s="188" t="s">
        <v>72</v>
      </c>
      <c r="W200" s="188" t="s">
        <v>101</v>
      </c>
      <c r="X200" s="190" t="s">
        <v>102</v>
      </c>
      <c r="Y200" s="189" t="s">
        <v>108</v>
      </c>
      <c r="Z200" s="188" t="s">
        <v>41</v>
      </c>
      <c r="AA200" s="195" t="s">
        <v>985</v>
      </c>
      <c r="AB200" s="183">
        <f t="shared" si="391"/>
        <v>100</v>
      </c>
      <c r="AC200" s="184">
        <f t="shared" ref="AC200" si="402">IF(AND(L200=2,P200="Probabilidad",AB200&gt;=75),50,IF(AND(P200="Probabilidad",L200=2,AB200&gt;=50),37,IF(AND(P200="Probabilidad",L200=2,AB200&gt;=25),25,IF(AND(P200="Probabilidad",L200=2,AB200&gt;10),12,IF(AND(L200=1,P200="Probabilidad",AB200&gt;=75),100,IF(AND(P200="Probabilidad",L200=1,AB200&gt;=50),75,IF(AND(P200="Probabilidad",L200=1,AB200&gt;=25),50,IF(AND(P200="Probabilidad",L200=1,AB200&gt;10),25,IF(AND(P200="Probabilidad",L200=3,AB200&gt;=75),33.3,IF(AND(P200="Probabilidad",L200=3,AB200,AB200&gt;=50),25,IF(AND(P200="Probabilidad",L200=3,AB200&gt;=25),17,IF(AND(P200="Probabilidad",L200=3,AB200&gt;10),8,0))))))))))))</f>
        <v>50</v>
      </c>
      <c r="AD200" s="184">
        <f t="shared" ref="AD200" si="403">IF(AND(L200=2,P200="Impacto",AB200&gt;=75),50,IF(AND(P200="Impacto",L200=2,AB200&gt;=50),37,IF(AND(P200="Impacto",L200=2,AB200&gt;=25),25,IF(AND(P200="Impacto",L200=2,AB200&gt;10),12,IF(AND(L200=1,P200="Impacto",AB200&gt;=75),100,IF(AND(P200="Impacto",L200=1,AB200&gt;=50),75,IF(AND(P200="Impacto",L200=1,AB200&gt;=25),50,IF(AND(P200="Impacto",L200=1,AB200&gt;10),25,IF(AND(P200="Impacto",L200=3,AB200&gt;=75),33.3,IF(AND(P200="Impacto",L200=3,AB200,AB200&gt;=50),25,IF(AND(P200="Impacto",L200=3,AB200&gt;=25),17,IF(AND(P200="Impacto",L200=3,AB200&gt;10),8,0))))))))))))</f>
        <v>0</v>
      </c>
      <c r="AE200" s="235">
        <f t="shared" ref="AE200" si="404">SUM(AC200:AC202)</f>
        <v>87</v>
      </c>
      <c r="AF200" s="235">
        <f t="shared" ref="AF200" si="405">SUM(AD200:AD202)</f>
        <v>0</v>
      </c>
      <c r="AG200" s="236">
        <f t="shared" ref="AG200" si="406">IF(AE200&gt;75,2,IF(AE200&gt;=30,1,"-"))</f>
        <v>2</v>
      </c>
      <c r="AH200" s="236" t="str">
        <f t="shared" ref="AH200" si="407">IF(AF200&gt;75,2,IF(AF200&gt;=30,1,"-"))</f>
        <v>-</v>
      </c>
      <c r="AI200" s="193"/>
      <c r="AJ200" s="237" t="str">
        <f>IF(AND(AG200=2,H200="Casi seguro"),Hoja1!$J$5,IF(AND(AG200=2,H200="Posible"),Hoja1!$J$6,IF(AND(H200="Improbable",AG200=2),Hoja1!J147,IF(AND(AG200=1,H200="Casi seguro"),Hoja1!$J$4,IF(AND(AG200=1,H200="Posible"),Hoja1!$J$5,IF(AND(AG200=1,H200="Improbable"),Hoja1!$J$6,'FT-Mapa de riesgos'!H200))))))</f>
        <v>Rara Vez</v>
      </c>
      <c r="AK200" s="237" t="str">
        <f>IF(AND(AH200=2,I200="Catastrofico"),Hoja1!$K$5,IF(AND(AH200=2,I200="Mayor"),Hoja1!$K$6,IF(AND(AH200=2,I200="Moderado"),Hoja1!$K$7,IF(AND(AH200=1,I200="Catastrofico"),Hoja1!$K$4,IF(AND(AH200=1,I200="Mayor "),Hoja1!$K$5,IF(AND(AH200=1,I200="Moderado"),Hoja1!$K$6,IF(AND(AH200=2,I200="Menor"),Hoja1!$K$7,'FT-Mapa de riesgos'!I200)))))))</f>
        <v xml:space="preserve">Mayor </v>
      </c>
      <c r="AL200" s="238" t="str">
        <f>IF(ISERROR(VLOOKUP(AJ200&amp;AK200,Hoja1!$C$1:$F$25,4,0)),"",(VLOOKUP(AJ200&amp;AK200,Hoja1!$C$1:$F$25,4,0)))</f>
        <v>Alto</v>
      </c>
      <c r="AM200" s="233" t="s">
        <v>176</v>
      </c>
    </row>
    <row r="201" spans="1:39" ht="219.95" customHeight="1" x14ac:dyDescent="0.4">
      <c r="A201" s="191"/>
      <c r="B201" s="245"/>
      <c r="C201" s="249"/>
      <c r="D201" s="249"/>
      <c r="E201" s="244"/>
      <c r="F201" s="195" t="s">
        <v>955</v>
      </c>
      <c r="G201" s="249"/>
      <c r="H201" s="239"/>
      <c r="I201" s="240"/>
      <c r="J201" s="238"/>
      <c r="K201" s="185" t="s">
        <v>85</v>
      </c>
      <c r="L201" s="234"/>
      <c r="M201" s="195" t="s">
        <v>969</v>
      </c>
      <c r="N201" s="205" t="s">
        <v>970</v>
      </c>
      <c r="O201" s="195" t="s">
        <v>971</v>
      </c>
      <c r="P201" s="188" t="s">
        <v>22</v>
      </c>
      <c r="Q201" s="188" t="s">
        <v>42</v>
      </c>
      <c r="R201" s="188" t="str">
        <f t="shared" si="8"/>
        <v>N/A</v>
      </c>
      <c r="S201" s="188" t="s">
        <v>41</v>
      </c>
      <c r="T201" s="189" t="s">
        <v>940</v>
      </c>
      <c r="U201" s="188" t="s">
        <v>41</v>
      </c>
      <c r="V201" s="188" t="s">
        <v>72</v>
      </c>
      <c r="W201" s="188" t="s">
        <v>101</v>
      </c>
      <c r="X201" s="190" t="s">
        <v>102</v>
      </c>
      <c r="Y201" s="189" t="s">
        <v>108</v>
      </c>
      <c r="Z201" s="188" t="s">
        <v>41</v>
      </c>
      <c r="AA201" s="195" t="s">
        <v>986</v>
      </c>
      <c r="AB201" s="183">
        <f t="shared" si="391"/>
        <v>68</v>
      </c>
      <c r="AC201" s="184">
        <f t="shared" ref="AC201" si="408">IF(AND(L200=2,P201="Probabilidad",AB201&gt;=75),50,IF(AND(P201="Probabilidad",L200=2,AB201&gt;=50),37,IF(AND(P201="Probabilidad",L200=2,AB201&gt;=25),25,IF(AND(P201="Probabilidad",L200=2,AB201&gt;10),12,IF(AND(L200=1,P201="Probabilidad",AB201&gt;=75),100,IF(AND(P201="Probabilidad",L200=1,AB201&gt;=50),75,IF(AND(P201="Probabilidad",L200=1,AB201&gt;=25),50,IF(AND(P201="Probabilidad",L200=1,AB201&gt;10),25,IF(AND(P201="Probabilidad",L200=3,AB201&gt;=75),33.3,IF(AND(P201="Probabilidad",L200=3,AB201,AB201&gt;=50),25,IF(AND(P201="Probabilidad",L200=3,AB201&gt;=25),17,IF(AND(P201="Probabilidad",L200=3,AB201&gt;10),8,0))))))))))))</f>
        <v>37</v>
      </c>
      <c r="AD201" s="184">
        <f t="shared" ref="AD201" si="409">IF(AND(L200=2,P201="Impacto",AB201&gt;=75),50,IF(AND(P201="Impacto",L200=2,AB201&gt;=50),37,IF(AND(P201="Impacto",L200=2,AB201&gt;=25),25,IF(AND(P201="Impacto",L200=2,AB201&gt;10),12,IF(AND(L200=1,P201="Impacto",AB201&gt;=75),100,IF(AND(P201="Impacto",L200=1,AB201&gt;=50),75,IF(AND(P201="Impacto",L200=1,AB201&gt;=25),50,IF(AND(P201="Impacto",L200=1,AB201&gt;10),25,IF(AND(P201="Impacto",L200=3,AB201&gt;=75),33.3,IF(AND(P201="Impacto",L200=3,AB201,AB201&gt;=50),25,IF(AND(P201="Impacto",L200=3,AB201&gt;=25),17,IF(AND(P201="Impacto",L200=3,AB201&gt;10),8,0))))))))))))</f>
        <v>0</v>
      </c>
      <c r="AE201" s="235"/>
      <c r="AF201" s="235"/>
      <c r="AG201" s="236"/>
      <c r="AH201" s="236"/>
      <c r="AI201" s="193"/>
      <c r="AJ201" s="237"/>
      <c r="AK201" s="237"/>
      <c r="AL201" s="238"/>
      <c r="AM201" s="233"/>
    </row>
    <row r="202" spans="1:39" ht="73.5" hidden="1" customHeight="1" x14ac:dyDescent="0.4">
      <c r="A202" s="191"/>
      <c r="B202" s="245"/>
      <c r="C202" s="246"/>
      <c r="D202" s="246"/>
      <c r="E202" s="244"/>
      <c r="F202" s="204"/>
      <c r="G202" s="246"/>
      <c r="H202" s="239"/>
      <c r="I202" s="240"/>
      <c r="J202" s="238"/>
      <c r="K202" s="187"/>
      <c r="L202" s="234"/>
      <c r="M202" s="212"/>
      <c r="N202" s="212"/>
      <c r="O202" s="212"/>
      <c r="P202" s="188"/>
      <c r="Q202" s="188"/>
      <c r="R202" s="188" t="str">
        <f t="shared" si="8"/>
        <v/>
      </c>
      <c r="S202" s="188"/>
      <c r="T202" s="188"/>
      <c r="U202" s="188"/>
      <c r="V202" s="188"/>
      <c r="W202" s="188"/>
      <c r="X202" s="190"/>
      <c r="Y202" s="188"/>
      <c r="Z202" s="188"/>
      <c r="AA202" s="188"/>
      <c r="AB202" s="183">
        <f t="shared" si="391"/>
        <v>0</v>
      </c>
      <c r="AC202" s="184">
        <f t="shared" ref="AC202" si="410">IF(AND(L200=2,P202="Probabilidad",AB202&gt;=75),50,IF(AND(P202="Probabilidad",L200=2,AB202&gt;=50),37,IF(AND(P202="Probabilidad",L200=2,AB202&gt;=25),25,IF(AND(P202="Probabilidad",L200=2,AB202&gt;10),12,IF(AND(L200=1,P202="Probabilidad",AB202&gt;=75),100,IF(AND(P202="Probabilidad",L200=1,AB202&gt;=50),75,IF(AND(P202="Probabilidad",L200=1,AB202&gt;=25),50,IF(AND(P202="Probabilidad",L200=1,AB202&gt;10),25,IF(AND(P202="Probabilidad",L200=3,AB202&gt;=75),33.3,IF(AND(P202="Probabilidad",L200=3,AB202,AB202&gt;=50),25,IF(AND(P202="Probabilidad",L200=3,AB202&gt;=25),17,IF(AND(P202="Probabilidad",L200=3,AB202&gt;10),8,0))))))))))))</f>
        <v>0</v>
      </c>
      <c r="AD202" s="184">
        <f t="shared" ref="AD202" si="411">IF(AND(L200=2,P202="Impacto",AB202&gt;=75),50,IF(AND(P202="Impacto",L200=2,AB202&gt;=50),37,IF(AND(P202="Impacto",L200=2,AB202&gt;=25),25,IF(AND(P202="Impacto",L200=2,AB202&gt;10),12,IF(AND(L200=1,P202="Impacto",AB202&gt;=75),100,IF(AND(P202="Impacto",L200=1,AB202&gt;=50),75,IF(AND(P202="Impacto",L200=1,AB202&gt;=25),50,IF(AND(P202="Impacto",L200=1,AB202&gt;10),25,IF(AND(P202="Impacto",L200=3,AB202&gt;=75),33.3,IF(AND(P202="Impacto",L200=3,AB202,AB202&gt;=50),25,IF(AND(P202="Impacto",L200=3,AB202&gt;=25),17,IF(AND(P202="Impacto",L200=3,AB202&gt;10),8,0))))))))))))</f>
        <v>0</v>
      </c>
      <c r="AE202" s="235"/>
      <c r="AF202" s="235"/>
      <c r="AG202" s="236"/>
      <c r="AH202" s="236"/>
      <c r="AI202" s="193"/>
      <c r="AJ202" s="237"/>
      <c r="AK202" s="237"/>
      <c r="AL202" s="238"/>
      <c r="AM202" s="233"/>
    </row>
    <row r="203" spans="1:39" ht="321.75" customHeight="1" x14ac:dyDescent="0.4">
      <c r="A203" s="191"/>
      <c r="B203" s="245">
        <v>62</v>
      </c>
      <c r="C203" s="249" t="s">
        <v>956</v>
      </c>
      <c r="D203" s="249" t="s">
        <v>957</v>
      </c>
      <c r="E203" s="244" t="s">
        <v>36</v>
      </c>
      <c r="F203" s="195" t="s">
        <v>958</v>
      </c>
      <c r="G203" s="249" t="s">
        <v>959</v>
      </c>
      <c r="H203" s="239" t="s">
        <v>14</v>
      </c>
      <c r="I203" s="240" t="s">
        <v>19</v>
      </c>
      <c r="J203" s="238" t="str">
        <f>IF(ISERROR(VLOOKUP(H203&amp;I203,Hoja1!$C$1:$F$25,4,0)),"",(VLOOKUP(H203&amp;I203,Hoja1!$C$1:$F$25,4,0)))</f>
        <v>Moderado</v>
      </c>
      <c r="K203" s="185" t="s">
        <v>85</v>
      </c>
      <c r="L203" s="234">
        <v>3</v>
      </c>
      <c r="M203" s="195" t="s">
        <v>972</v>
      </c>
      <c r="N203" s="195" t="s">
        <v>973</v>
      </c>
      <c r="O203" s="195" t="s">
        <v>974</v>
      </c>
      <c r="P203" s="188" t="s">
        <v>22</v>
      </c>
      <c r="Q203" s="188" t="s">
        <v>42</v>
      </c>
      <c r="R203" s="188" t="str">
        <f t="shared" si="8"/>
        <v>N/A</v>
      </c>
      <c r="S203" s="188" t="s">
        <v>41</v>
      </c>
      <c r="T203" s="189" t="s">
        <v>981</v>
      </c>
      <c r="U203" s="188" t="s">
        <v>41</v>
      </c>
      <c r="V203" s="188" t="s">
        <v>152</v>
      </c>
      <c r="W203" s="189" t="s">
        <v>167</v>
      </c>
      <c r="X203" s="190" t="s">
        <v>102</v>
      </c>
      <c r="Y203" s="189" t="s">
        <v>167</v>
      </c>
      <c r="Z203" s="188" t="s">
        <v>41</v>
      </c>
      <c r="AA203" s="195" t="s">
        <v>987</v>
      </c>
      <c r="AB203" s="183">
        <f t="shared" ref="AB203:AB205" si="412">SUM(IF(Q203="Si",Q$15,0)+(IF(S203="Si",S$15,0))+IF(U203="Si",U$15,0)+IF(Z203="Si",Z$15,0))</f>
        <v>68</v>
      </c>
      <c r="AC203" s="184">
        <f t="shared" ref="AC203" si="413">IF(AND(L203=2,P203="Probabilidad",AB203&gt;=75),50,IF(AND(P203="Probabilidad",L203=2,AB203&gt;=50),37,IF(AND(P203="Probabilidad",L203=2,AB203&gt;=25),25,IF(AND(P203="Probabilidad",L203=2,AB203&gt;10),12,IF(AND(L203=1,P203="Probabilidad",AB203&gt;=75),100,IF(AND(P203="Probabilidad",L203=1,AB203&gt;=50),75,IF(AND(P203="Probabilidad",L203=1,AB203&gt;=25),50,IF(AND(P203="Probabilidad",L203=1,AB203&gt;10),25,IF(AND(P203="Probabilidad",L203=3,AB203&gt;=75),33.3,IF(AND(P203="Probabilidad",L203=3,AB203,AB203&gt;=50),25,IF(AND(P203="Probabilidad",L203=3,AB203&gt;=25),17,IF(AND(P203="Probabilidad",L203=3,AB203&gt;10),8,0))))))))))))</f>
        <v>25</v>
      </c>
      <c r="AD203" s="184">
        <f t="shared" ref="AD203" si="414">IF(AND(L203=2,P203="Impacto",AB203&gt;=75),50,IF(AND(P203="Impacto",L203=2,AB203&gt;=50),37,IF(AND(P203="Impacto",L203=2,AB203&gt;=25),25,IF(AND(P203="Impacto",L203=2,AB203&gt;10),12,IF(AND(L203=1,P203="Impacto",AB203&gt;=75),100,IF(AND(P203="Impacto",L203=1,AB203&gt;=50),75,IF(AND(P203="Impacto",L203=1,AB203&gt;=25),50,IF(AND(P203="Impacto",L203=1,AB203&gt;10),25,IF(AND(P203="Impacto",L203=3,AB203&gt;=75),33.3,IF(AND(P203="Impacto",L203=3,AB203,AB203&gt;=50),25,IF(AND(P203="Impacto",L203=3,AB203&gt;=25),17,IF(AND(P203="Impacto",L203=3,AB203&gt;10),8,0))))))))))))</f>
        <v>0</v>
      </c>
      <c r="AE203" s="235">
        <f t="shared" ref="AE203" si="415">SUM(AC203:AC205)</f>
        <v>75</v>
      </c>
      <c r="AF203" s="235">
        <f t="shared" ref="AF203" si="416">SUM(AD203:AD205)</f>
        <v>0</v>
      </c>
      <c r="AG203" s="236">
        <f t="shared" ref="AG203" si="417">IF(AE203&gt;75,2,IF(AE203&gt;=30,1,"-"))</f>
        <v>1</v>
      </c>
      <c r="AH203" s="236" t="str">
        <f t="shared" ref="AH203" si="418">IF(AF203&gt;75,2,IF(AF203&gt;=30,1,"-"))</f>
        <v>-</v>
      </c>
      <c r="AI203" s="193"/>
      <c r="AJ203" s="237" t="str">
        <f>IF(AND(AG203=2,H203="Casi seguro"),Hoja1!$J$5,IF(AND(AG203=2,H203="Posible"),Hoja1!$J$6,IF(AND(H203="Improbable",AG203=2),Hoja1!J150,IF(AND(AG203=1,H203="Casi seguro"),Hoja1!$J$4,IF(AND(AG203=1,H203="Posible"),Hoja1!$J$5,IF(AND(AG203=1,H203="Improbable"),Hoja1!$J$6,'FT-Mapa de riesgos'!H203))))))</f>
        <v>Rara Vez</v>
      </c>
      <c r="AK203" s="237" t="str">
        <f>IF(AND(AH203=2,I203="Catastrofico"),Hoja1!$K$5,IF(AND(AH203=2,I203="Mayor"),Hoja1!$K$6,IF(AND(AH203=2,I203="Moderado"),Hoja1!$K$7,IF(AND(AH203=1,I203="Catastrofico"),Hoja1!$K$4,IF(AND(AH203=1,I203="Mayor "),Hoja1!$K$5,IF(AND(AH203=1,I203="Moderado"),Hoja1!$K$6,IF(AND(AH203=2,I203="Menor"),Hoja1!$K$7,'FT-Mapa de riesgos'!I203)))))))</f>
        <v>Moderado</v>
      </c>
      <c r="AL203" s="238" t="str">
        <f>IF(ISERROR(VLOOKUP(AJ203&amp;AK203,Hoja1!$C$1:$F$25,4,0)),"",(VLOOKUP(AJ203&amp;AK203,Hoja1!$C$1:$F$25,4,0)))</f>
        <v>Moderado</v>
      </c>
      <c r="AM203" s="233"/>
    </row>
    <row r="204" spans="1:39" ht="219.95" customHeight="1" x14ac:dyDescent="0.4">
      <c r="A204" s="191"/>
      <c r="B204" s="245"/>
      <c r="C204" s="249"/>
      <c r="D204" s="249"/>
      <c r="E204" s="244"/>
      <c r="F204" s="195" t="s">
        <v>960</v>
      </c>
      <c r="G204" s="249"/>
      <c r="H204" s="239"/>
      <c r="I204" s="240"/>
      <c r="J204" s="238"/>
      <c r="K204" s="185" t="s">
        <v>85</v>
      </c>
      <c r="L204" s="234"/>
      <c r="M204" s="195" t="s">
        <v>975</v>
      </c>
      <c r="N204" s="195" t="s">
        <v>976</v>
      </c>
      <c r="O204" s="195" t="s">
        <v>167</v>
      </c>
      <c r="P204" s="188" t="s">
        <v>22</v>
      </c>
      <c r="Q204" s="188" t="s">
        <v>42</v>
      </c>
      <c r="R204" s="188" t="str">
        <f t="shared" si="8"/>
        <v>N/A</v>
      </c>
      <c r="S204" s="188" t="s">
        <v>41</v>
      </c>
      <c r="T204" s="189" t="s">
        <v>982</v>
      </c>
      <c r="U204" s="188" t="s">
        <v>41</v>
      </c>
      <c r="V204" s="188" t="s">
        <v>73</v>
      </c>
      <c r="W204" s="188" t="s">
        <v>101</v>
      </c>
      <c r="X204" s="190" t="s">
        <v>102</v>
      </c>
      <c r="Y204" s="189" t="s">
        <v>108</v>
      </c>
      <c r="Z204" s="188" t="s">
        <v>41</v>
      </c>
      <c r="AA204" s="195" t="s">
        <v>988</v>
      </c>
      <c r="AB204" s="183">
        <f t="shared" si="412"/>
        <v>68</v>
      </c>
      <c r="AC204" s="184">
        <f t="shared" ref="AC204" si="419">IF(AND(L203=2,P204="Probabilidad",AB204&gt;=75),50,IF(AND(P204="Probabilidad",L203=2,AB204&gt;=50),37,IF(AND(P204="Probabilidad",L203=2,AB204&gt;=25),25,IF(AND(P204="Probabilidad",L203=2,AB204&gt;10),12,IF(AND(L203=1,P204="Probabilidad",AB204&gt;=75),100,IF(AND(P204="Probabilidad",L203=1,AB204&gt;=50),75,IF(AND(P204="Probabilidad",L203=1,AB204&gt;=25),50,IF(AND(P204="Probabilidad",L203=1,AB204&gt;10),25,IF(AND(P204="Probabilidad",L203=3,AB204&gt;=75),33.3,IF(AND(P204="Probabilidad",L203=3,AB204,AB204&gt;=50),25,IF(AND(P204="Probabilidad",L203=3,AB204&gt;=25),17,IF(AND(P204="Probabilidad",L203=3,AB204&gt;10),8,0))))))))))))</f>
        <v>25</v>
      </c>
      <c r="AD204" s="184">
        <f t="shared" ref="AD204" si="420">IF(AND(L203=2,P204="Impacto",AB204&gt;=75),50,IF(AND(P204="Impacto",L203=2,AB204&gt;=50),37,IF(AND(P204="Impacto",L203=2,AB204&gt;=25),25,IF(AND(P204="Impacto",L203=2,AB204&gt;10),12,IF(AND(L203=1,P204="Impacto",AB204&gt;=75),100,IF(AND(P204="Impacto",L203=1,AB204&gt;=50),75,IF(AND(P204="Impacto",L203=1,AB204&gt;=25),50,IF(AND(P204="Impacto",L203=1,AB204&gt;10),25,IF(AND(P204="Impacto",L203=3,AB204&gt;=75),33.3,IF(AND(P204="Impacto",L203=3,AB204,AB204&gt;=50),25,IF(AND(P204="Impacto",L203=3,AB204&gt;=25),17,IF(AND(P204="Impacto",L203=3,AB204&gt;10),8,0))))))))))))</f>
        <v>0</v>
      </c>
      <c r="AE204" s="235"/>
      <c r="AF204" s="235"/>
      <c r="AG204" s="236"/>
      <c r="AH204" s="236"/>
      <c r="AI204" s="193"/>
      <c r="AJ204" s="237"/>
      <c r="AK204" s="237"/>
      <c r="AL204" s="238"/>
      <c r="AM204" s="233"/>
    </row>
    <row r="205" spans="1:39" ht="219.95" customHeight="1" x14ac:dyDescent="0.4">
      <c r="A205" s="191"/>
      <c r="B205" s="245"/>
      <c r="C205" s="249"/>
      <c r="D205" s="249"/>
      <c r="E205" s="244"/>
      <c r="F205" s="195" t="s">
        <v>961</v>
      </c>
      <c r="G205" s="249"/>
      <c r="H205" s="239"/>
      <c r="I205" s="240"/>
      <c r="J205" s="238"/>
      <c r="K205" s="185" t="s">
        <v>85</v>
      </c>
      <c r="L205" s="234"/>
      <c r="M205" s="195" t="s">
        <v>977</v>
      </c>
      <c r="N205" s="195" t="s">
        <v>978</v>
      </c>
      <c r="O205" s="195" t="s">
        <v>979</v>
      </c>
      <c r="P205" s="188" t="s">
        <v>22</v>
      </c>
      <c r="Q205" s="188" t="s">
        <v>42</v>
      </c>
      <c r="R205" s="188" t="str">
        <f t="shared" si="8"/>
        <v>N/A</v>
      </c>
      <c r="S205" s="188" t="s">
        <v>41</v>
      </c>
      <c r="T205" s="189" t="s">
        <v>983</v>
      </c>
      <c r="U205" s="188" t="s">
        <v>41</v>
      </c>
      <c r="V205" s="188" t="s">
        <v>72</v>
      </c>
      <c r="W205" s="188" t="s">
        <v>101</v>
      </c>
      <c r="X205" s="190" t="s">
        <v>102</v>
      </c>
      <c r="Y205" s="189" t="s">
        <v>108</v>
      </c>
      <c r="Z205" s="188" t="s">
        <v>41</v>
      </c>
      <c r="AA205" s="195" t="s">
        <v>989</v>
      </c>
      <c r="AB205" s="183">
        <f t="shared" si="412"/>
        <v>68</v>
      </c>
      <c r="AC205" s="184">
        <f t="shared" ref="AC205" si="421">IF(AND(L203=2,P205="Probabilidad",AB205&gt;=75),50,IF(AND(P205="Probabilidad",L203=2,AB205&gt;=50),37,IF(AND(P205="Probabilidad",L203=2,AB205&gt;=25),25,IF(AND(P205="Probabilidad",L203=2,AB205&gt;10),12,IF(AND(L203=1,P205="Probabilidad",AB205&gt;=75),100,IF(AND(P205="Probabilidad",L203=1,AB205&gt;=50),75,IF(AND(P205="Probabilidad",L203=1,AB205&gt;=25),50,IF(AND(P205="Probabilidad",L203=1,AB205&gt;10),25,IF(AND(P205="Probabilidad",L203=3,AB205&gt;=75),33.3,IF(AND(P205="Probabilidad",L203=3,AB205,AB205&gt;=50),25,IF(AND(P205="Probabilidad",L203=3,AB205&gt;=25),17,IF(AND(P205="Probabilidad",L203=3,AB205&gt;10),8,0))))))))))))</f>
        <v>25</v>
      </c>
      <c r="AD205" s="184">
        <f t="shared" ref="AD205" si="422">IF(AND(L203=2,P205="Impacto",AB205&gt;=75),50,IF(AND(P205="Impacto",L203=2,AB205&gt;=50),37,IF(AND(P205="Impacto",L203=2,AB205&gt;=25),25,IF(AND(P205="Impacto",L203=2,AB205&gt;10),12,IF(AND(L203=1,P205="Impacto",AB205&gt;=75),100,IF(AND(P205="Impacto",L203=1,AB205&gt;=50),75,IF(AND(P205="Impacto",L203=1,AB205&gt;=25),50,IF(AND(P205="Impacto",L203=1,AB205&gt;10),25,IF(AND(P205="Impacto",L203=3,AB205&gt;=75),33.3,IF(AND(P205="Impacto",L203=3,AB205,AB205&gt;=50),25,IF(AND(P205="Impacto",L203=3,AB205&gt;=25),17,IF(AND(P205="Impacto",L203=3,AB205&gt;10),8,0))))))))))))</f>
        <v>0</v>
      </c>
      <c r="AE205" s="235"/>
      <c r="AF205" s="235"/>
      <c r="AG205" s="236"/>
      <c r="AH205" s="236"/>
      <c r="AI205" s="193"/>
      <c r="AJ205" s="237"/>
      <c r="AK205" s="237"/>
      <c r="AL205" s="238"/>
      <c r="AM205" s="233"/>
    </row>
    <row r="206" spans="1:39" ht="219.95" customHeight="1" x14ac:dyDescent="0.4">
      <c r="A206" s="191"/>
      <c r="B206" s="245">
        <v>63</v>
      </c>
      <c r="C206" s="249" t="s">
        <v>990</v>
      </c>
      <c r="D206" s="249" t="s">
        <v>991</v>
      </c>
      <c r="E206" s="244" t="s">
        <v>36</v>
      </c>
      <c r="F206" s="195" t="s">
        <v>992</v>
      </c>
      <c r="G206" s="249" t="s">
        <v>993</v>
      </c>
      <c r="H206" s="239" t="s">
        <v>15</v>
      </c>
      <c r="I206" s="240" t="s">
        <v>19</v>
      </c>
      <c r="J206" s="238" t="str">
        <f>IF(ISERROR(VLOOKUP(H206&amp;I206,Hoja1!$C$1:$F$25,4,0)),"",(VLOOKUP(H206&amp;I206,Hoja1!$C$1:$F$25,4,0)))</f>
        <v>Alto</v>
      </c>
      <c r="K206" s="185" t="s">
        <v>85</v>
      </c>
      <c r="L206" s="234">
        <v>2</v>
      </c>
      <c r="M206" s="195" t="s">
        <v>995</v>
      </c>
      <c r="N206" s="195" t="s">
        <v>996</v>
      </c>
      <c r="O206" s="195" t="s">
        <v>997</v>
      </c>
      <c r="P206" s="188" t="s">
        <v>22</v>
      </c>
      <c r="Q206" s="188" t="s">
        <v>42</v>
      </c>
      <c r="R206" s="188" t="str">
        <f t="shared" si="8"/>
        <v>N/A</v>
      </c>
      <c r="S206" s="188" t="s">
        <v>41</v>
      </c>
      <c r="T206" s="189" t="s">
        <v>981</v>
      </c>
      <c r="U206" s="188" t="s">
        <v>41</v>
      </c>
      <c r="V206" s="188" t="s">
        <v>90</v>
      </c>
      <c r="W206" s="188" t="s">
        <v>101</v>
      </c>
      <c r="X206" s="190" t="s">
        <v>102</v>
      </c>
      <c r="Y206" s="189" t="s">
        <v>108</v>
      </c>
      <c r="Z206" s="188" t="s">
        <v>41</v>
      </c>
      <c r="AA206" s="195" t="s">
        <v>1001</v>
      </c>
      <c r="AB206" s="183">
        <f t="shared" ref="AB206:AB208" si="423">SUM(IF(Q206="Si",Q$15,0)+(IF(S206="Si",S$15,0))+IF(U206="Si",U$15,0)+IF(Z206="Si",Z$15,0))</f>
        <v>68</v>
      </c>
      <c r="AC206" s="184">
        <f t="shared" ref="AC206" si="424">IF(AND(L206=2,P206="Probabilidad",AB206&gt;=75),50,IF(AND(P206="Probabilidad",L206=2,AB206&gt;=50),37,IF(AND(P206="Probabilidad",L206=2,AB206&gt;=25),25,IF(AND(P206="Probabilidad",L206=2,AB206&gt;10),12,IF(AND(L206=1,P206="Probabilidad",AB206&gt;=75),100,IF(AND(P206="Probabilidad",L206=1,AB206&gt;=50),75,IF(AND(P206="Probabilidad",L206=1,AB206&gt;=25),50,IF(AND(P206="Probabilidad",L206=1,AB206&gt;10),25,IF(AND(P206="Probabilidad",L206=3,AB206&gt;=75),33.3,IF(AND(P206="Probabilidad",L206=3,AB206,AB206&gt;=50),25,IF(AND(P206="Probabilidad",L206=3,AB206&gt;=25),17,IF(AND(P206="Probabilidad",L206=3,AB206&gt;10),8,0))))))))))))</f>
        <v>37</v>
      </c>
      <c r="AD206" s="184">
        <f t="shared" ref="AD206" si="425">IF(AND(L206=2,P206="Impacto",AB206&gt;=75),50,IF(AND(P206="Impacto",L206=2,AB206&gt;=50),37,IF(AND(P206="Impacto",L206=2,AB206&gt;=25),25,IF(AND(P206="Impacto",L206=2,AB206&gt;10),12,IF(AND(L206=1,P206="Impacto",AB206&gt;=75),100,IF(AND(P206="Impacto",L206=1,AB206&gt;=50),75,IF(AND(P206="Impacto",L206=1,AB206&gt;=25),50,IF(AND(P206="Impacto",L206=1,AB206&gt;10),25,IF(AND(P206="Impacto",L206=3,AB206&gt;=75),33.3,IF(AND(P206="Impacto",L206=3,AB206,AB206&gt;=50),25,IF(AND(P206="Impacto",L206=3,AB206&gt;=25),17,IF(AND(P206="Impacto",L206=3,AB206&gt;10),8,0))))))))))))</f>
        <v>0</v>
      </c>
      <c r="AE206" s="235">
        <f t="shared" ref="AE206" si="426">SUM(AC206:AC208)</f>
        <v>74</v>
      </c>
      <c r="AF206" s="235">
        <f t="shared" ref="AF206" si="427">SUM(AD206:AD208)</f>
        <v>0</v>
      </c>
      <c r="AG206" s="236">
        <f t="shared" ref="AG206" si="428">IF(AE206&gt;75,2,IF(AE206&gt;=30,1,"-"))</f>
        <v>1</v>
      </c>
      <c r="AH206" s="236" t="str">
        <f t="shared" ref="AH206" si="429">IF(AF206&gt;75,2,IF(AF206&gt;=30,1,"-"))</f>
        <v>-</v>
      </c>
      <c r="AI206" s="193"/>
      <c r="AJ206" s="237" t="str">
        <f>IF(AND(AG206=2,H206="Casi seguro"),Hoja1!$J$5,IF(AND(AG206=2,H206="Posible"),Hoja1!$J$6,IF(AND(H206="Improbable",AG206=2),Hoja1!J153,IF(AND(AG206=1,H206="Casi seguro"),Hoja1!$J$4,IF(AND(AG206=1,H206="Posible"),Hoja1!$J$5,IF(AND(AG206=1,H206="Improbable"),Hoja1!$J$6,'FT-Mapa de riesgos'!H206))))))</f>
        <v>Improbable</v>
      </c>
      <c r="AK206" s="237" t="str">
        <f>IF(AND(AH206=2,I206="Catastrofico"),Hoja1!$K$5,IF(AND(AH206=2,I206="Mayor"),Hoja1!$K$6,IF(AND(AH206=2,I206="Moderado"),Hoja1!$K$7,IF(AND(AH206=1,I206="Catastrofico"),Hoja1!$K$4,IF(AND(AH206=1,I206="Mayor "),Hoja1!$K$5,IF(AND(AH206=1,I206="Moderado"),Hoja1!$K$6,IF(AND(AH206=2,I206="Menor"),Hoja1!$K$7,'FT-Mapa de riesgos'!I206)))))))</f>
        <v>Moderado</v>
      </c>
      <c r="AL206" s="238" t="str">
        <f>IF(ISERROR(VLOOKUP(AJ206&amp;AK206,Hoja1!$C$1:$F$25,4,0)),"",(VLOOKUP(AJ206&amp;AK206,Hoja1!$C$1:$F$25,4,0)))</f>
        <v>Moderado</v>
      </c>
      <c r="AM206" s="233"/>
    </row>
    <row r="207" spans="1:39" ht="219.95" customHeight="1" thickBot="1" x14ac:dyDescent="0.45">
      <c r="A207" s="191"/>
      <c r="B207" s="245"/>
      <c r="C207" s="249"/>
      <c r="D207" s="249"/>
      <c r="E207" s="244"/>
      <c r="F207" s="195" t="s">
        <v>994</v>
      </c>
      <c r="G207" s="249"/>
      <c r="H207" s="239"/>
      <c r="I207" s="240"/>
      <c r="J207" s="238"/>
      <c r="K207" s="185" t="s">
        <v>85</v>
      </c>
      <c r="L207" s="234"/>
      <c r="M207" s="195" t="s">
        <v>998</v>
      </c>
      <c r="N207" s="195" t="s">
        <v>999</v>
      </c>
      <c r="O207" s="195" t="s">
        <v>1000</v>
      </c>
      <c r="P207" s="188" t="s">
        <v>22</v>
      </c>
      <c r="Q207" s="188" t="s">
        <v>42</v>
      </c>
      <c r="R207" s="188" t="str">
        <f t="shared" si="8"/>
        <v>N/A</v>
      </c>
      <c r="S207" s="188" t="s">
        <v>41</v>
      </c>
      <c r="T207" s="189" t="s">
        <v>981</v>
      </c>
      <c r="U207" s="188" t="s">
        <v>41</v>
      </c>
      <c r="V207" s="188" t="s">
        <v>72</v>
      </c>
      <c r="W207" s="188" t="s">
        <v>101</v>
      </c>
      <c r="X207" s="190" t="s">
        <v>102</v>
      </c>
      <c r="Y207" s="189" t="s">
        <v>108</v>
      </c>
      <c r="Z207" s="188" t="s">
        <v>41</v>
      </c>
      <c r="AA207" s="195" t="s">
        <v>1002</v>
      </c>
      <c r="AB207" s="183">
        <f t="shared" si="423"/>
        <v>68</v>
      </c>
      <c r="AC207" s="184">
        <f t="shared" ref="AC207" si="430">IF(AND(L206=2,P207="Probabilidad",AB207&gt;=75),50,IF(AND(P207="Probabilidad",L206=2,AB207&gt;=50),37,IF(AND(P207="Probabilidad",L206=2,AB207&gt;=25),25,IF(AND(P207="Probabilidad",L206=2,AB207&gt;10),12,IF(AND(L206=1,P207="Probabilidad",AB207&gt;=75),100,IF(AND(P207="Probabilidad",L206=1,AB207&gt;=50),75,IF(AND(P207="Probabilidad",L206=1,AB207&gt;=25),50,IF(AND(P207="Probabilidad",L206=1,AB207&gt;10),25,IF(AND(P207="Probabilidad",L206=3,AB207&gt;=75),33.3,IF(AND(P207="Probabilidad",L206=3,AB207,AB207&gt;=50),25,IF(AND(P207="Probabilidad",L206=3,AB207&gt;=25),17,IF(AND(P207="Probabilidad",L206=3,AB207&gt;10),8,0))))))))))))</f>
        <v>37</v>
      </c>
      <c r="AD207" s="184">
        <f t="shared" ref="AD207" si="431">IF(AND(L206=2,P207="Impacto",AB207&gt;=75),50,IF(AND(P207="Impacto",L206=2,AB207&gt;=50),37,IF(AND(P207="Impacto",L206=2,AB207&gt;=25),25,IF(AND(P207="Impacto",L206=2,AB207&gt;10),12,IF(AND(L206=1,P207="Impacto",AB207&gt;=75),100,IF(AND(P207="Impacto",L206=1,AB207&gt;=50),75,IF(AND(P207="Impacto",L206=1,AB207&gt;=25),50,IF(AND(P207="Impacto",L206=1,AB207&gt;10),25,IF(AND(P207="Impacto",L206=3,AB207&gt;=75),33.3,IF(AND(P207="Impacto",L206=3,AB207,AB207&gt;=50),25,IF(AND(P207="Impacto",L206=3,AB207&gt;=25),17,IF(AND(P207="Impacto",L206=3,AB207&gt;10),8,0))))))))))))</f>
        <v>0</v>
      </c>
      <c r="AE207" s="235"/>
      <c r="AF207" s="235"/>
      <c r="AG207" s="236"/>
      <c r="AH207" s="236"/>
      <c r="AI207" s="193"/>
      <c r="AJ207" s="237"/>
      <c r="AK207" s="237"/>
      <c r="AL207" s="238"/>
      <c r="AM207" s="233"/>
    </row>
    <row r="208" spans="1:39" ht="73.5" hidden="1" customHeight="1" thickBot="1" x14ac:dyDescent="0.45">
      <c r="A208" s="191"/>
      <c r="B208" s="245"/>
      <c r="C208" s="250"/>
      <c r="D208" s="250"/>
      <c r="E208" s="244"/>
      <c r="F208" s="206"/>
      <c r="G208" s="250"/>
      <c r="H208" s="239"/>
      <c r="I208" s="240"/>
      <c r="J208" s="238"/>
      <c r="K208" s="187"/>
      <c r="L208" s="234"/>
      <c r="M208" s="212"/>
      <c r="N208" s="212"/>
      <c r="O208" s="212"/>
      <c r="P208" s="188"/>
      <c r="Q208" s="188"/>
      <c r="R208" s="188" t="str">
        <f t="shared" si="8"/>
        <v/>
      </c>
      <c r="S208" s="188"/>
      <c r="T208" s="188"/>
      <c r="U208" s="188"/>
      <c r="V208" s="188"/>
      <c r="W208" s="188"/>
      <c r="X208" s="190"/>
      <c r="Y208" s="188"/>
      <c r="Z208" s="188"/>
      <c r="AA208" s="188"/>
      <c r="AB208" s="183">
        <f t="shared" si="423"/>
        <v>0</v>
      </c>
      <c r="AC208" s="184">
        <f t="shared" ref="AC208" si="432">IF(AND(L206=2,P208="Probabilidad",AB208&gt;=75),50,IF(AND(P208="Probabilidad",L206=2,AB208&gt;=50),37,IF(AND(P208="Probabilidad",L206=2,AB208&gt;=25),25,IF(AND(P208="Probabilidad",L206=2,AB208&gt;10),12,IF(AND(L206=1,P208="Probabilidad",AB208&gt;=75),100,IF(AND(P208="Probabilidad",L206=1,AB208&gt;=50),75,IF(AND(P208="Probabilidad",L206=1,AB208&gt;=25),50,IF(AND(P208="Probabilidad",L206=1,AB208&gt;10),25,IF(AND(P208="Probabilidad",L206=3,AB208&gt;=75),33.3,IF(AND(P208="Probabilidad",L206=3,AB208,AB208&gt;=50),25,IF(AND(P208="Probabilidad",L206=3,AB208&gt;=25),17,IF(AND(P208="Probabilidad",L206=3,AB208&gt;10),8,0))))))))))))</f>
        <v>0</v>
      </c>
      <c r="AD208" s="184">
        <f t="shared" ref="AD208" si="433">IF(AND(L206=2,P208="Impacto",AB208&gt;=75),50,IF(AND(P208="Impacto",L206=2,AB208&gt;=50),37,IF(AND(P208="Impacto",L206=2,AB208&gt;=25),25,IF(AND(P208="Impacto",L206=2,AB208&gt;10),12,IF(AND(L206=1,P208="Impacto",AB208&gt;=75),100,IF(AND(P208="Impacto",L206=1,AB208&gt;=50),75,IF(AND(P208="Impacto",L206=1,AB208&gt;=25),50,IF(AND(P208="Impacto",L206=1,AB208&gt;10),25,IF(AND(P208="Impacto",L206=3,AB208&gt;=75),33.3,IF(AND(P208="Impacto",L206=3,AB208,AB208&gt;=50),25,IF(AND(P208="Impacto",L206=3,AB208&gt;=25),17,IF(AND(P208="Impacto",L206=3,AB208&gt;10),8,0))))))))))))</f>
        <v>0</v>
      </c>
      <c r="AE208" s="235"/>
      <c r="AF208" s="235"/>
      <c r="AG208" s="236"/>
      <c r="AH208" s="236"/>
      <c r="AI208" s="193"/>
      <c r="AJ208" s="237"/>
      <c r="AK208" s="237"/>
      <c r="AL208" s="238"/>
      <c r="AM208" s="233"/>
    </row>
    <row r="209" spans="1:39" ht="219.95" customHeight="1" x14ac:dyDescent="0.4">
      <c r="A209" s="191"/>
      <c r="B209" s="245">
        <v>64</v>
      </c>
      <c r="C209" s="316" t="s">
        <v>1003</v>
      </c>
      <c r="D209" s="316" t="s">
        <v>1004</v>
      </c>
      <c r="E209" s="244" t="s">
        <v>36</v>
      </c>
      <c r="F209" s="195" t="s">
        <v>1005</v>
      </c>
      <c r="G209" s="316" t="s">
        <v>1006</v>
      </c>
      <c r="H209" s="239" t="s">
        <v>31</v>
      </c>
      <c r="I209" s="240" t="s">
        <v>19</v>
      </c>
      <c r="J209" s="238" t="str">
        <f>IF(ISERROR(VLOOKUP(H209&amp;I209,Hoja1!$C$1:$F$25,4,0)),"",(VLOOKUP(H209&amp;I209,Hoja1!$C$1:$F$25,4,0)))</f>
        <v>Alto</v>
      </c>
      <c r="K209" s="185" t="s">
        <v>85</v>
      </c>
      <c r="L209" s="234">
        <v>2</v>
      </c>
      <c r="M209" s="195" t="s">
        <v>1030</v>
      </c>
      <c r="N209" s="195" t="s">
        <v>1031</v>
      </c>
      <c r="O209" s="195" t="s">
        <v>167</v>
      </c>
      <c r="P209" s="188" t="s">
        <v>22</v>
      </c>
      <c r="Q209" s="188" t="s">
        <v>42</v>
      </c>
      <c r="R209" s="188" t="str">
        <f t="shared" si="8"/>
        <v>N/A</v>
      </c>
      <c r="S209" s="188" t="s">
        <v>41</v>
      </c>
      <c r="T209" s="189" t="s">
        <v>1052</v>
      </c>
      <c r="U209" s="188" t="s">
        <v>41</v>
      </c>
      <c r="V209" s="188" t="s">
        <v>73</v>
      </c>
      <c r="W209" s="188" t="s">
        <v>101</v>
      </c>
      <c r="X209" s="190" t="s">
        <v>102</v>
      </c>
      <c r="Y209" s="189" t="s">
        <v>108</v>
      </c>
      <c r="Z209" s="188" t="s">
        <v>41</v>
      </c>
      <c r="AA209" s="189" t="s">
        <v>1055</v>
      </c>
      <c r="AB209" s="183">
        <f t="shared" ref="AB209:AB226" si="434">SUM(IF(Q209="Si",Q$15,0)+(IF(S209="Si",S$15,0))+IF(U209="Si",U$15,0)+IF(Z209="Si",Z$15,0))</f>
        <v>68</v>
      </c>
      <c r="AC209" s="184">
        <f t="shared" ref="AC209" si="435">IF(AND(L209=2,P209="Probabilidad",AB209&gt;=75),50,IF(AND(P209="Probabilidad",L209=2,AB209&gt;=50),37,IF(AND(P209="Probabilidad",L209=2,AB209&gt;=25),25,IF(AND(P209="Probabilidad",L209=2,AB209&gt;10),12,IF(AND(L209=1,P209="Probabilidad",AB209&gt;=75),100,IF(AND(P209="Probabilidad",L209=1,AB209&gt;=50),75,IF(AND(P209="Probabilidad",L209=1,AB209&gt;=25),50,IF(AND(P209="Probabilidad",L209=1,AB209&gt;10),25,IF(AND(P209="Probabilidad",L209=3,AB209&gt;=75),33.3,IF(AND(P209="Probabilidad",L209=3,AB209,AB209&gt;=50),25,IF(AND(P209="Probabilidad",L209=3,AB209&gt;=25),17,IF(AND(P209="Probabilidad",L209=3,AB209&gt;10),8,0))))))))))))</f>
        <v>37</v>
      </c>
      <c r="AD209" s="184">
        <f t="shared" ref="AD209" si="436">IF(AND(L209=2,P209="Impacto",AB209&gt;=75),50,IF(AND(P209="Impacto",L209=2,AB209&gt;=50),37,IF(AND(P209="Impacto",L209=2,AB209&gt;=25),25,IF(AND(P209="Impacto",L209=2,AB209&gt;10),12,IF(AND(L209=1,P209="Impacto",AB209&gt;=75),100,IF(AND(P209="Impacto",L209=1,AB209&gt;=50),75,IF(AND(P209="Impacto",L209=1,AB209&gt;=25),50,IF(AND(P209="Impacto",L209=1,AB209&gt;10),25,IF(AND(P209="Impacto",L209=3,AB209&gt;=75),33.3,IF(AND(P209="Impacto",L209=3,AB209,AB209&gt;=50),25,IF(AND(P209="Impacto",L209=3,AB209&gt;=25),17,IF(AND(P209="Impacto",L209=3,AB209&gt;10),8,0))))))))))))</f>
        <v>0</v>
      </c>
      <c r="AE209" s="235">
        <f t="shared" ref="AE209" si="437">SUM(AC209:AC211)</f>
        <v>74</v>
      </c>
      <c r="AF209" s="235">
        <f t="shared" ref="AF209" si="438">SUM(AD209:AD211)</f>
        <v>0</v>
      </c>
      <c r="AG209" s="236">
        <f t="shared" ref="AG209" si="439">IF(AE209&gt;75,2,IF(AE209&gt;=30,1,"-"))</f>
        <v>1</v>
      </c>
      <c r="AH209" s="236" t="str">
        <f t="shared" ref="AH209" si="440">IF(AF209&gt;75,2,IF(AF209&gt;=30,1,"-"))</f>
        <v>-</v>
      </c>
      <c r="AI209" s="193"/>
      <c r="AJ209" s="237" t="str">
        <f>IF(AND(AG209=2,H209="Casi seguro"),Hoja1!$J$5,IF(AND(AG209=2,H209="Posible"),Hoja1!$J$6,IF(AND(H209="Improbable",AG209=2),Hoja1!J156,IF(AND(AG209=1,H209="Casi seguro"),Hoja1!$J$4,IF(AND(AG209=1,H209="Posible"),Hoja1!$J$5,IF(AND(AG209=1,H209="Improbable"),Hoja1!$J$6,'FT-Mapa de riesgos'!H209))))))</f>
        <v>Probable</v>
      </c>
      <c r="AK209" s="237" t="str">
        <f>IF(AND(AH209=2,I209="Catastrofico"),Hoja1!$K$5,IF(AND(AH209=2,I209="Mayor"),Hoja1!$K$6,IF(AND(AH209=2,I209="Moderado"),Hoja1!$K$7,IF(AND(AH209=1,I209="Catastrofico"),Hoja1!$K$4,IF(AND(AH209=1,I209="Mayor "),Hoja1!$K$5,IF(AND(AH209=1,I209="Moderado"),Hoja1!$K$6,IF(AND(AH209=2,I209="Menor"),Hoja1!$K$7,'FT-Mapa de riesgos'!I209)))))))</f>
        <v>Moderado</v>
      </c>
      <c r="AL209" s="238" t="str">
        <f>IF(ISERROR(VLOOKUP(AJ209&amp;AK209,Hoja1!$C$1:$F$25,4,0)),"",(VLOOKUP(AJ209&amp;AK209,Hoja1!$C$1:$F$25,4,0)))</f>
        <v>Alto</v>
      </c>
      <c r="AM209" s="233"/>
    </row>
    <row r="210" spans="1:39" ht="219.95" customHeight="1" x14ac:dyDescent="0.4">
      <c r="A210" s="191"/>
      <c r="B210" s="245"/>
      <c r="C210" s="242"/>
      <c r="D210" s="242"/>
      <c r="E210" s="244"/>
      <c r="F210" s="195" t="s">
        <v>1007</v>
      </c>
      <c r="G210" s="242"/>
      <c r="H210" s="239"/>
      <c r="I210" s="240"/>
      <c r="J210" s="238"/>
      <c r="K210" s="185" t="s">
        <v>85</v>
      </c>
      <c r="L210" s="234"/>
      <c r="M210" s="195" t="s">
        <v>1032</v>
      </c>
      <c r="N210" s="195" t="s">
        <v>1031</v>
      </c>
      <c r="O210" s="195" t="s">
        <v>167</v>
      </c>
      <c r="P210" s="188" t="s">
        <v>22</v>
      </c>
      <c r="Q210" s="188" t="s">
        <v>42</v>
      </c>
      <c r="R210" s="188" t="str">
        <f t="shared" si="8"/>
        <v>N/A</v>
      </c>
      <c r="S210" s="188" t="s">
        <v>41</v>
      </c>
      <c r="T210" s="189" t="s">
        <v>1052</v>
      </c>
      <c r="U210" s="188" t="s">
        <v>41</v>
      </c>
      <c r="V210" s="188" t="s">
        <v>73</v>
      </c>
      <c r="W210" s="188" t="s">
        <v>101</v>
      </c>
      <c r="X210" s="190" t="s">
        <v>102</v>
      </c>
      <c r="Y210" s="189" t="s">
        <v>108</v>
      </c>
      <c r="Z210" s="188" t="s">
        <v>41</v>
      </c>
      <c r="AA210" s="189" t="s">
        <v>1055</v>
      </c>
      <c r="AB210" s="183">
        <f t="shared" si="434"/>
        <v>68</v>
      </c>
      <c r="AC210" s="184">
        <f t="shared" ref="AC210" si="441">IF(AND(L209=2,P210="Probabilidad",AB210&gt;=75),50,IF(AND(P210="Probabilidad",L209=2,AB210&gt;=50),37,IF(AND(P210="Probabilidad",L209=2,AB210&gt;=25),25,IF(AND(P210="Probabilidad",L209=2,AB210&gt;10),12,IF(AND(L209=1,P210="Probabilidad",AB210&gt;=75),100,IF(AND(P210="Probabilidad",L209=1,AB210&gt;=50),75,IF(AND(P210="Probabilidad",L209=1,AB210&gt;=25),50,IF(AND(P210="Probabilidad",L209=1,AB210&gt;10),25,IF(AND(P210="Probabilidad",L209=3,AB210&gt;=75),33.3,IF(AND(P210="Probabilidad",L209=3,AB210,AB210&gt;=50),25,IF(AND(P210="Probabilidad",L209=3,AB210&gt;=25),17,IF(AND(P210="Probabilidad",L209=3,AB210&gt;10),8,0))))))))))))</f>
        <v>37</v>
      </c>
      <c r="AD210" s="184">
        <f t="shared" ref="AD210" si="442">IF(AND(L209=2,P210="Impacto",AB210&gt;=75),50,IF(AND(P210="Impacto",L209=2,AB210&gt;=50),37,IF(AND(P210="Impacto",L209=2,AB210&gt;=25),25,IF(AND(P210="Impacto",L209=2,AB210&gt;10),12,IF(AND(L209=1,P210="Impacto",AB210&gt;=75),100,IF(AND(P210="Impacto",L209=1,AB210&gt;=50),75,IF(AND(P210="Impacto",L209=1,AB210&gt;=25),50,IF(AND(P210="Impacto",L209=1,AB210&gt;10),25,IF(AND(P210="Impacto",L209=3,AB210&gt;=75),33.3,IF(AND(P210="Impacto",L209=3,AB210,AB210&gt;=50),25,IF(AND(P210="Impacto",L209=3,AB210&gt;=25),17,IF(AND(P210="Impacto",L209=3,AB210&gt;10),8,0))))))))))))</f>
        <v>0</v>
      </c>
      <c r="AE210" s="235"/>
      <c r="AF210" s="235"/>
      <c r="AG210" s="236"/>
      <c r="AH210" s="236"/>
      <c r="AI210" s="193"/>
      <c r="AJ210" s="237"/>
      <c r="AK210" s="237"/>
      <c r="AL210" s="238"/>
      <c r="AM210" s="233"/>
    </row>
    <row r="211" spans="1:39" ht="73.5" hidden="1" customHeight="1" x14ac:dyDescent="0.4">
      <c r="A211" s="191"/>
      <c r="B211" s="245"/>
      <c r="C211" s="243"/>
      <c r="D211" s="243"/>
      <c r="E211" s="244"/>
      <c r="F211" s="197"/>
      <c r="G211" s="243"/>
      <c r="H211" s="239"/>
      <c r="I211" s="240"/>
      <c r="J211" s="238"/>
      <c r="K211" s="187"/>
      <c r="L211" s="234"/>
      <c r="M211" s="195"/>
      <c r="N211" s="195"/>
      <c r="O211" s="195"/>
      <c r="P211" s="188"/>
      <c r="Q211" s="188"/>
      <c r="R211" s="188" t="str">
        <f t="shared" si="8"/>
        <v/>
      </c>
      <c r="S211" s="188"/>
      <c r="T211" s="189"/>
      <c r="U211" s="188"/>
      <c r="V211" s="188"/>
      <c r="W211" s="188"/>
      <c r="X211" s="190"/>
      <c r="Y211" s="188"/>
      <c r="Z211" s="188"/>
      <c r="AA211" s="188"/>
      <c r="AB211" s="183">
        <f t="shared" si="434"/>
        <v>0</v>
      </c>
      <c r="AC211" s="184">
        <f t="shared" ref="AC211" si="443">IF(AND(L209=2,P211="Probabilidad",AB211&gt;=75),50,IF(AND(P211="Probabilidad",L209=2,AB211&gt;=50),37,IF(AND(P211="Probabilidad",L209=2,AB211&gt;=25),25,IF(AND(P211="Probabilidad",L209=2,AB211&gt;10),12,IF(AND(L209=1,P211="Probabilidad",AB211&gt;=75),100,IF(AND(P211="Probabilidad",L209=1,AB211&gt;=50),75,IF(AND(P211="Probabilidad",L209=1,AB211&gt;=25),50,IF(AND(P211="Probabilidad",L209=1,AB211&gt;10),25,IF(AND(P211="Probabilidad",L209=3,AB211&gt;=75),33.3,IF(AND(P211="Probabilidad",L209=3,AB211,AB211&gt;=50),25,IF(AND(P211="Probabilidad",L209=3,AB211&gt;=25),17,IF(AND(P211="Probabilidad",L209=3,AB211&gt;10),8,0))))))))))))</f>
        <v>0</v>
      </c>
      <c r="AD211" s="184">
        <f t="shared" ref="AD211" si="444">IF(AND(L209=2,P211="Impacto",AB211&gt;=75),50,IF(AND(P211="Impacto",L209=2,AB211&gt;=50),37,IF(AND(P211="Impacto",L209=2,AB211&gt;=25),25,IF(AND(P211="Impacto",L209=2,AB211&gt;10),12,IF(AND(L209=1,P211="Impacto",AB211&gt;=75),100,IF(AND(P211="Impacto",L209=1,AB211&gt;=50),75,IF(AND(P211="Impacto",L209=1,AB211&gt;=25),50,IF(AND(P211="Impacto",L209=1,AB211&gt;10),25,IF(AND(P211="Impacto",L209=3,AB211&gt;=75),33.3,IF(AND(P211="Impacto",L209=3,AB211,AB211&gt;=50),25,IF(AND(P211="Impacto",L209=3,AB211&gt;=25),17,IF(AND(P211="Impacto",L209=3,AB211&gt;10),8,0))))))))))))</f>
        <v>0</v>
      </c>
      <c r="AE211" s="235"/>
      <c r="AF211" s="235"/>
      <c r="AG211" s="236"/>
      <c r="AH211" s="236"/>
      <c r="AI211" s="193"/>
      <c r="AJ211" s="237"/>
      <c r="AK211" s="237"/>
      <c r="AL211" s="238"/>
      <c r="AM211" s="231"/>
    </row>
    <row r="212" spans="1:39" ht="300" customHeight="1" x14ac:dyDescent="0.4">
      <c r="A212" s="191"/>
      <c r="B212" s="245">
        <v>65</v>
      </c>
      <c r="C212" s="241" t="s">
        <v>1008</v>
      </c>
      <c r="D212" s="241" t="s">
        <v>1009</v>
      </c>
      <c r="E212" s="244" t="s">
        <v>36</v>
      </c>
      <c r="F212" s="204" t="s">
        <v>1010</v>
      </c>
      <c r="G212" s="241" t="s">
        <v>1011</v>
      </c>
      <c r="H212" s="239" t="s">
        <v>15</v>
      </c>
      <c r="I212" s="240" t="s">
        <v>19</v>
      </c>
      <c r="J212" s="238" t="str">
        <f>IF(ISERROR(VLOOKUP(H212&amp;I212,Hoja1!$C$1:$F$25,4,0)),"",(VLOOKUP(H212&amp;I212,Hoja1!$C$1:$F$25,4,0)))</f>
        <v>Alto</v>
      </c>
      <c r="K212" s="185" t="s">
        <v>85</v>
      </c>
      <c r="L212" s="234">
        <v>1</v>
      </c>
      <c r="M212" s="195" t="s">
        <v>1033</v>
      </c>
      <c r="N212" s="195" t="s">
        <v>1034</v>
      </c>
      <c r="O212" s="195" t="s">
        <v>167</v>
      </c>
      <c r="P212" s="188" t="s">
        <v>22</v>
      </c>
      <c r="Q212" s="188" t="s">
        <v>42</v>
      </c>
      <c r="R212" s="188" t="str">
        <f t="shared" si="8"/>
        <v>N/A</v>
      </c>
      <c r="S212" s="188" t="s">
        <v>41</v>
      </c>
      <c r="T212" s="189" t="s">
        <v>1053</v>
      </c>
      <c r="U212" s="188" t="s">
        <v>41</v>
      </c>
      <c r="V212" s="188" t="s">
        <v>152</v>
      </c>
      <c r="W212" s="188" t="s">
        <v>101</v>
      </c>
      <c r="X212" s="190" t="s">
        <v>102</v>
      </c>
      <c r="Y212" s="189" t="s">
        <v>108</v>
      </c>
      <c r="Z212" s="188" t="s">
        <v>41</v>
      </c>
      <c r="AA212" s="199" t="s">
        <v>1056</v>
      </c>
      <c r="AB212" s="183">
        <f t="shared" si="434"/>
        <v>68</v>
      </c>
      <c r="AC212" s="184">
        <f t="shared" ref="AC212" si="445">IF(AND(L212=2,P212="Probabilidad",AB212&gt;=75),50,IF(AND(P212="Probabilidad",L212=2,AB212&gt;=50),37,IF(AND(P212="Probabilidad",L212=2,AB212&gt;=25),25,IF(AND(P212="Probabilidad",L212=2,AB212&gt;10),12,IF(AND(L212=1,P212="Probabilidad",AB212&gt;=75),100,IF(AND(P212="Probabilidad",L212=1,AB212&gt;=50),75,IF(AND(P212="Probabilidad",L212=1,AB212&gt;=25),50,IF(AND(P212="Probabilidad",L212=1,AB212&gt;10),25,IF(AND(P212="Probabilidad",L212=3,AB212&gt;=75),33.3,IF(AND(P212="Probabilidad",L212=3,AB212,AB212&gt;=50),25,IF(AND(P212="Probabilidad",L212=3,AB212&gt;=25),17,IF(AND(P212="Probabilidad",L212=3,AB212&gt;10),8,0))))))))))))</f>
        <v>75</v>
      </c>
      <c r="AD212" s="184">
        <f t="shared" ref="AD212" si="446">IF(AND(L212=2,P212="Impacto",AB212&gt;=75),50,IF(AND(P212="Impacto",L212=2,AB212&gt;=50),37,IF(AND(P212="Impacto",L212=2,AB212&gt;=25),25,IF(AND(P212="Impacto",L212=2,AB212&gt;10),12,IF(AND(L212=1,P212="Impacto",AB212&gt;=75),100,IF(AND(P212="Impacto",L212=1,AB212&gt;=50),75,IF(AND(P212="Impacto",L212=1,AB212&gt;=25),50,IF(AND(P212="Impacto",L212=1,AB212&gt;10),25,IF(AND(P212="Impacto",L212=3,AB212&gt;=75),33.3,IF(AND(P212="Impacto",L212=3,AB212,AB212&gt;=50),25,IF(AND(P212="Impacto",L212=3,AB212&gt;=25),17,IF(AND(P212="Impacto",L212=3,AB212&gt;10),8,0))))))))))))</f>
        <v>0</v>
      </c>
      <c r="AE212" s="235">
        <f t="shared" ref="AE212" si="447">SUM(AC212:AC214)</f>
        <v>75</v>
      </c>
      <c r="AF212" s="235">
        <f t="shared" ref="AF212" si="448">SUM(AD212:AD214)</f>
        <v>0</v>
      </c>
      <c r="AG212" s="236">
        <f t="shared" ref="AG212" si="449">IF(AE212&gt;75,2,IF(AE212&gt;=30,1,"-"))</f>
        <v>1</v>
      </c>
      <c r="AH212" s="236" t="str">
        <f t="shared" ref="AH212" si="450">IF(AF212&gt;75,2,IF(AF212&gt;=30,1,"-"))</f>
        <v>-</v>
      </c>
      <c r="AI212" s="193"/>
      <c r="AJ212" s="237" t="str">
        <f>IF(AND(AG212=2,H212="Casi seguro"),Hoja1!$J$5,IF(AND(AG212=2,H212="Posible"),Hoja1!$J$6,IF(AND(H212="Improbable",AG212=2),Hoja1!J159,IF(AND(AG212=1,H212="Casi seguro"),Hoja1!$J$4,IF(AND(AG212=1,H212="Posible"),Hoja1!$J$5,IF(AND(AG212=1,H212="Improbable"),Hoja1!$J$6,'FT-Mapa de riesgos'!H212))))))</f>
        <v>Improbable</v>
      </c>
      <c r="AK212" s="237" t="str">
        <f>IF(AND(AH212=2,I212="Catastrofico"),Hoja1!$K$5,IF(AND(AH212=2,I212="Mayor"),Hoja1!$K$6,IF(AND(AH212=2,I212="Moderado"),Hoja1!$K$7,IF(AND(AH212=1,I212="Catastrofico"),Hoja1!$K$4,IF(AND(AH212=1,I212="Mayor "),Hoja1!$K$5,IF(AND(AH212=1,I212="Moderado"),Hoja1!$K$6,IF(AND(AH212=2,I212="Menor"),Hoja1!$K$7,'FT-Mapa de riesgos'!I212)))))))</f>
        <v>Moderado</v>
      </c>
      <c r="AL212" s="238" t="str">
        <f>IF(ISERROR(VLOOKUP(AJ212&amp;AK212,Hoja1!$C$1:$F$25,4,0)),"",(VLOOKUP(AJ212&amp;AK212,Hoja1!$C$1:$F$25,4,0)))</f>
        <v>Moderado</v>
      </c>
      <c r="AM212" s="233" t="s">
        <v>176</v>
      </c>
    </row>
    <row r="213" spans="1:39" ht="73.5" hidden="1" customHeight="1" x14ac:dyDescent="0.4">
      <c r="A213" s="191"/>
      <c r="B213" s="245"/>
      <c r="C213" s="242"/>
      <c r="D213" s="242"/>
      <c r="E213" s="244"/>
      <c r="F213" s="197"/>
      <c r="G213" s="242"/>
      <c r="H213" s="239"/>
      <c r="I213" s="240"/>
      <c r="J213" s="238"/>
      <c r="K213" s="185"/>
      <c r="L213" s="234"/>
      <c r="M213" s="195"/>
      <c r="N213" s="195"/>
      <c r="O213" s="195"/>
      <c r="P213" s="188"/>
      <c r="Q213" s="188"/>
      <c r="R213" s="188" t="str">
        <f t="shared" si="8"/>
        <v/>
      </c>
      <c r="S213" s="188"/>
      <c r="T213" s="189"/>
      <c r="U213" s="188"/>
      <c r="V213" s="188"/>
      <c r="W213" s="188"/>
      <c r="X213" s="190"/>
      <c r="Y213" s="188"/>
      <c r="Z213" s="188"/>
      <c r="AA213" s="200"/>
      <c r="AB213" s="183">
        <f t="shared" si="434"/>
        <v>0</v>
      </c>
      <c r="AC213" s="184">
        <f t="shared" ref="AC213" si="451">IF(AND(L212=2,P213="Probabilidad",AB213&gt;=75),50,IF(AND(P213="Probabilidad",L212=2,AB213&gt;=50),37,IF(AND(P213="Probabilidad",L212=2,AB213&gt;=25),25,IF(AND(P213="Probabilidad",L212=2,AB213&gt;10),12,IF(AND(L212=1,P213="Probabilidad",AB213&gt;=75),100,IF(AND(P213="Probabilidad",L212=1,AB213&gt;=50),75,IF(AND(P213="Probabilidad",L212=1,AB213&gt;=25),50,IF(AND(P213="Probabilidad",L212=1,AB213&gt;10),25,IF(AND(P213="Probabilidad",L212=3,AB213&gt;=75),33.3,IF(AND(P213="Probabilidad",L212=3,AB213,AB213&gt;=50),25,IF(AND(P213="Probabilidad",L212=3,AB213&gt;=25),17,IF(AND(P213="Probabilidad",L212=3,AB213&gt;10),8,0))))))))))))</f>
        <v>0</v>
      </c>
      <c r="AD213" s="184">
        <f t="shared" ref="AD213" si="452">IF(AND(L212=2,P213="Impacto",AB213&gt;=75),50,IF(AND(P213="Impacto",L212=2,AB213&gt;=50),37,IF(AND(P213="Impacto",L212=2,AB213&gt;=25),25,IF(AND(P213="Impacto",L212=2,AB213&gt;10),12,IF(AND(L212=1,P213="Impacto",AB213&gt;=75),100,IF(AND(P213="Impacto",L212=1,AB213&gt;=50),75,IF(AND(P213="Impacto",L212=1,AB213&gt;=25),50,IF(AND(P213="Impacto",L212=1,AB213&gt;10),25,IF(AND(P213="Impacto",L212=3,AB213&gt;=75),33.3,IF(AND(P213="Impacto",L212=3,AB213,AB213&gt;=50),25,IF(AND(P213="Impacto",L212=3,AB213&gt;=25),17,IF(AND(P213="Impacto",L212=3,AB213&gt;10),8,0))))))))))))</f>
        <v>0</v>
      </c>
      <c r="AE213" s="235"/>
      <c r="AF213" s="235"/>
      <c r="AG213" s="236"/>
      <c r="AH213" s="236"/>
      <c r="AI213" s="193"/>
      <c r="AJ213" s="237"/>
      <c r="AK213" s="237"/>
      <c r="AL213" s="238"/>
      <c r="AM213" s="233"/>
    </row>
    <row r="214" spans="1:39" ht="73.5" hidden="1" customHeight="1" x14ac:dyDescent="0.4">
      <c r="A214" s="191"/>
      <c r="B214" s="245"/>
      <c r="C214" s="243"/>
      <c r="D214" s="243"/>
      <c r="E214" s="244"/>
      <c r="F214" s="197"/>
      <c r="G214" s="243"/>
      <c r="H214" s="239"/>
      <c r="I214" s="240"/>
      <c r="J214" s="238"/>
      <c r="K214" s="187"/>
      <c r="L214" s="234"/>
      <c r="M214" s="195"/>
      <c r="N214" s="195"/>
      <c r="O214" s="195"/>
      <c r="P214" s="188"/>
      <c r="Q214" s="188"/>
      <c r="R214" s="188" t="str">
        <f t="shared" si="8"/>
        <v/>
      </c>
      <c r="S214" s="188"/>
      <c r="T214" s="189"/>
      <c r="U214" s="188"/>
      <c r="V214" s="188"/>
      <c r="W214" s="188"/>
      <c r="X214" s="190"/>
      <c r="Y214" s="188"/>
      <c r="Z214" s="188"/>
      <c r="AA214" s="188"/>
      <c r="AB214" s="183">
        <f t="shared" si="434"/>
        <v>0</v>
      </c>
      <c r="AC214" s="184">
        <f t="shared" ref="AC214" si="453">IF(AND(L212=2,P214="Probabilidad",AB214&gt;=75),50,IF(AND(P214="Probabilidad",L212=2,AB214&gt;=50),37,IF(AND(P214="Probabilidad",L212=2,AB214&gt;=25),25,IF(AND(P214="Probabilidad",L212=2,AB214&gt;10),12,IF(AND(L212=1,P214="Probabilidad",AB214&gt;=75),100,IF(AND(P214="Probabilidad",L212=1,AB214&gt;=50),75,IF(AND(P214="Probabilidad",L212=1,AB214&gt;=25),50,IF(AND(P214="Probabilidad",L212=1,AB214&gt;10),25,IF(AND(P214="Probabilidad",L212=3,AB214&gt;=75),33.3,IF(AND(P214="Probabilidad",L212=3,AB214,AB214&gt;=50),25,IF(AND(P214="Probabilidad",L212=3,AB214&gt;=25),17,IF(AND(P214="Probabilidad",L212=3,AB214&gt;10),8,0))))))))))))</f>
        <v>0</v>
      </c>
      <c r="AD214" s="184">
        <f t="shared" ref="AD214" si="454">IF(AND(L212=2,P214="Impacto",AB214&gt;=75),50,IF(AND(P214="Impacto",L212=2,AB214&gt;=50),37,IF(AND(P214="Impacto",L212=2,AB214&gt;=25),25,IF(AND(P214="Impacto",L212=2,AB214&gt;10),12,IF(AND(L212=1,P214="Impacto",AB214&gt;=75),100,IF(AND(P214="Impacto",L212=1,AB214&gt;=50),75,IF(AND(P214="Impacto",L212=1,AB214&gt;=25),50,IF(AND(P214="Impacto",L212=1,AB214&gt;10),25,IF(AND(P214="Impacto",L212=3,AB214&gt;=75),33.3,IF(AND(P214="Impacto",L212=3,AB214,AB214&gt;=50),25,IF(AND(P214="Impacto",L212=3,AB214&gt;=25),17,IF(AND(P214="Impacto",L212=3,AB214&gt;10),8,0))))))))))))</f>
        <v>0</v>
      </c>
      <c r="AE214" s="235"/>
      <c r="AF214" s="235"/>
      <c r="AG214" s="236"/>
      <c r="AH214" s="236"/>
      <c r="AI214" s="193"/>
      <c r="AJ214" s="237"/>
      <c r="AK214" s="237"/>
      <c r="AL214" s="238"/>
      <c r="AM214" s="233"/>
    </row>
    <row r="215" spans="1:39" ht="219.95" customHeight="1" x14ac:dyDescent="0.4">
      <c r="A215" s="191"/>
      <c r="B215" s="245">
        <v>66</v>
      </c>
      <c r="C215" s="241" t="s">
        <v>1012</v>
      </c>
      <c r="D215" s="241" t="s">
        <v>1013</v>
      </c>
      <c r="E215" s="244" t="s">
        <v>79</v>
      </c>
      <c r="F215" s="195" t="s">
        <v>1014</v>
      </c>
      <c r="G215" s="241" t="s">
        <v>1015</v>
      </c>
      <c r="H215" s="239" t="s">
        <v>15</v>
      </c>
      <c r="I215" s="240" t="s">
        <v>18</v>
      </c>
      <c r="J215" s="238" t="str">
        <f>IF(ISERROR(VLOOKUP(H215&amp;I215,Hoja1!$C$1:$F$25,4,0)),"",(VLOOKUP(H215&amp;I215,Hoja1!$C$1:$F$25,4,0)))</f>
        <v>Moderado</v>
      </c>
      <c r="K215" s="185" t="s">
        <v>85</v>
      </c>
      <c r="L215" s="234">
        <v>2</v>
      </c>
      <c r="M215" s="195" t="s">
        <v>1035</v>
      </c>
      <c r="N215" s="195" t="s">
        <v>1036</v>
      </c>
      <c r="O215" s="195" t="s">
        <v>1037</v>
      </c>
      <c r="P215" s="188" t="s">
        <v>22</v>
      </c>
      <c r="Q215" s="188" t="s">
        <v>42</v>
      </c>
      <c r="R215" s="188" t="str">
        <f t="shared" si="8"/>
        <v>N/A</v>
      </c>
      <c r="S215" s="188" t="s">
        <v>41</v>
      </c>
      <c r="T215" s="189" t="s">
        <v>1053</v>
      </c>
      <c r="U215" s="188" t="s">
        <v>41</v>
      </c>
      <c r="V215" s="188" t="s">
        <v>152</v>
      </c>
      <c r="W215" s="188" t="s">
        <v>101</v>
      </c>
      <c r="X215" s="190" t="s">
        <v>167</v>
      </c>
      <c r="Y215" s="189" t="s">
        <v>167</v>
      </c>
      <c r="Z215" s="188" t="s">
        <v>41</v>
      </c>
      <c r="AA215" s="201" t="s">
        <v>1057</v>
      </c>
      <c r="AB215" s="183">
        <f t="shared" si="434"/>
        <v>68</v>
      </c>
      <c r="AC215" s="184">
        <f t="shared" ref="AC215" si="455">IF(AND(L215=2,P215="Probabilidad",AB215&gt;=75),50,IF(AND(P215="Probabilidad",L215=2,AB215&gt;=50),37,IF(AND(P215="Probabilidad",L215=2,AB215&gt;=25),25,IF(AND(P215="Probabilidad",L215=2,AB215&gt;10),12,IF(AND(L215=1,P215="Probabilidad",AB215&gt;=75),100,IF(AND(P215="Probabilidad",L215=1,AB215&gt;=50),75,IF(AND(P215="Probabilidad",L215=1,AB215&gt;=25),50,IF(AND(P215="Probabilidad",L215=1,AB215&gt;10),25,IF(AND(P215="Probabilidad",L215=3,AB215&gt;=75),33.3,IF(AND(P215="Probabilidad",L215=3,AB215,AB215&gt;=50),25,IF(AND(P215="Probabilidad",L215=3,AB215&gt;=25),17,IF(AND(P215="Probabilidad",L215=3,AB215&gt;10),8,0))))))))))))</f>
        <v>37</v>
      </c>
      <c r="AD215" s="184">
        <f t="shared" ref="AD215" si="456">IF(AND(L215=2,P215="Impacto",AB215&gt;=75),50,IF(AND(P215="Impacto",L215=2,AB215&gt;=50),37,IF(AND(P215="Impacto",L215=2,AB215&gt;=25),25,IF(AND(P215="Impacto",L215=2,AB215&gt;10),12,IF(AND(L215=1,P215="Impacto",AB215&gt;=75),100,IF(AND(P215="Impacto",L215=1,AB215&gt;=50),75,IF(AND(P215="Impacto",L215=1,AB215&gt;=25),50,IF(AND(P215="Impacto",L215=1,AB215&gt;10),25,IF(AND(P215="Impacto",L215=3,AB215&gt;=75),33.3,IF(AND(P215="Impacto",L215=3,AB215,AB215&gt;=50),25,IF(AND(P215="Impacto",L215=3,AB215&gt;=25),17,IF(AND(P215="Impacto",L215=3,AB215&gt;10),8,0))))))))))))</f>
        <v>0</v>
      </c>
      <c r="AE215" s="235">
        <f t="shared" ref="AE215" si="457">SUM(AC215:AC217)</f>
        <v>74</v>
      </c>
      <c r="AF215" s="235">
        <f t="shared" ref="AF215" si="458">SUM(AD215:AD217)</f>
        <v>0</v>
      </c>
      <c r="AG215" s="236">
        <f t="shared" ref="AG215" si="459">IF(AE215&gt;75,2,IF(AE215&gt;=30,1,"-"))</f>
        <v>1</v>
      </c>
      <c r="AH215" s="236" t="str">
        <f t="shared" ref="AH215" si="460">IF(AF215&gt;75,2,IF(AF215&gt;=30,1,"-"))</f>
        <v>-</v>
      </c>
      <c r="AI215" s="193"/>
      <c r="AJ215" s="237" t="str">
        <f>IF(AND(AG215=2,H215="Casi seguro"),Hoja1!$J$5,IF(AND(AG215=2,H215="Posible"),Hoja1!$J$6,IF(AND(H215="Improbable",AG215=2),Hoja1!J162,IF(AND(AG215=1,H215="Casi seguro"),Hoja1!$J$4,IF(AND(AG215=1,H215="Posible"),Hoja1!$J$5,IF(AND(AG215=1,H215="Improbable"),Hoja1!$J$6,'FT-Mapa de riesgos'!H215))))))</f>
        <v>Improbable</v>
      </c>
      <c r="AK215" s="237" t="str">
        <f>IF(AND(AH215=2,I215="Catastrofico"),Hoja1!$K$5,IF(AND(AH215=2,I215="Mayor"),Hoja1!$K$6,IF(AND(AH215=2,I215="Moderado"),Hoja1!$K$7,IF(AND(AH215=1,I215="Catastrofico"),Hoja1!$K$4,IF(AND(AH215=1,I215="Mayor "),Hoja1!$K$5,IF(AND(AH215=1,I215="Moderado"),Hoja1!$K$6,IF(AND(AH215=2,I215="Menor"),Hoja1!$K$7,'FT-Mapa de riesgos'!I215)))))))</f>
        <v>Menor</v>
      </c>
      <c r="AL215" s="238" t="str">
        <f>IF(ISERROR(VLOOKUP(AJ215&amp;AK215,Hoja1!$C$1:$F$25,4,0)),"",(VLOOKUP(AJ215&amp;AK215,Hoja1!$C$1:$F$25,4,0)))</f>
        <v>Bajo</v>
      </c>
      <c r="AM215" s="233"/>
    </row>
    <row r="216" spans="1:39" ht="219.95" customHeight="1" x14ac:dyDescent="0.4">
      <c r="A216" s="191"/>
      <c r="B216" s="245"/>
      <c r="C216" s="242"/>
      <c r="D216" s="242"/>
      <c r="E216" s="244"/>
      <c r="F216" s="195" t="s">
        <v>1016</v>
      </c>
      <c r="G216" s="242"/>
      <c r="H216" s="239"/>
      <c r="I216" s="240"/>
      <c r="J216" s="238"/>
      <c r="K216" s="185" t="s">
        <v>85</v>
      </c>
      <c r="L216" s="234"/>
      <c r="M216" s="195" t="s">
        <v>1038</v>
      </c>
      <c r="N216" s="195" t="s">
        <v>1039</v>
      </c>
      <c r="O216" s="195" t="s">
        <v>1040</v>
      </c>
      <c r="P216" s="188" t="s">
        <v>22</v>
      </c>
      <c r="Q216" s="188" t="s">
        <v>42</v>
      </c>
      <c r="R216" s="188" t="str">
        <f t="shared" si="8"/>
        <v>N/A</v>
      </c>
      <c r="S216" s="188" t="s">
        <v>41</v>
      </c>
      <c r="T216" s="189" t="s">
        <v>1053</v>
      </c>
      <c r="U216" s="188" t="s">
        <v>41</v>
      </c>
      <c r="V216" s="188" t="s">
        <v>152</v>
      </c>
      <c r="W216" s="188" t="s">
        <v>101</v>
      </c>
      <c r="X216" s="190" t="s">
        <v>167</v>
      </c>
      <c r="Y216" s="189" t="s">
        <v>167</v>
      </c>
      <c r="Z216" s="188" t="s">
        <v>41</v>
      </c>
      <c r="AA216" s="189" t="s">
        <v>1058</v>
      </c>
      <c r="AB216" s="183">
        <f t="shared" si="434"/>
        <v>68</v>
      </c>
      <c r="AC216" s="184">
        <f t="shared" ref="AC216" si="461">IF(AND(L215=2,P216="Probabilidad",AB216&gt;=75),50,IF(AND(P216="Probabilidad",L215=2,AB216&gt;=50),37,IF(AND(P216="Probabilidad",L215=2,AB216&gt;=25),25,IF(AND(P216="Probabilidad",L215=2,AB216&gt;10),12,IF(AND(L215=1,P216="Probabilidad",AB216&gt;=75),100,IF(AND(P216="Probabilidad",L215=1,AB216&gt;=50),75,IF(AND(P216="Probabilidad",L215=1,AB216&gt;=25),50,IF(AND(P216="Probabilidad",L215=1,AB216&gt;10),25,IF(AND(P216="Probabilidad",L215=3,AB216&gt;=75),33.3,IF(AND(P216="Probabilidad",L215=3,AB216,AB216&gt;=50),25,IF(AND(P216="Probabilidad",L215=3,AB216&gt;=25),17,IF(AND(P216="Probabilidad",L215=3,AB216&gt;10),8,0))))))))))))</f>
        <v>37</v>
      </c>
      <c r="AD216" s="184">
        <f t="shared" ref="AD216" si="462">IF(AND(L215=2,P216="Impacto",AB216&gt;=75),50,IF(AND(P216="Impacto",L215=2,AB216&gt;=50),37,IF(AND(P216="Impacto",L215=2,AB216&gt;=25),25,IF(AND(P216="Impacto",L215=2,AB216&gt;10),12,IF(AND(L215=1,P216="Impacto",AB216&gt;=75),100,IF(AND(P216="Impacto",L215=1,AB216&gt;=50),75,IF(AND(P216="Impacto",L215=1,AB216&gt;=25),50,IF(AND(P216="Impacto",L215=1,AB216&gt;10),25,IF(AND(P216="Impacto",L215=3,AB216&gt;=75),33.3,IF(AND(P216="Impacto",L215=3,AB216,AB216&gt;=50),25,IF(AND(P216="Impacto",L215=3,AB216&gt;=25),17,IF(AND(P216="Impacto",L215=3,AB216&gt;10),8,0))))))))))))</f>
        <v>0</v>
      </c>
      <c r="AE216" s="235"/>
      <c r="AF216" s="235"/>
      <c r="AG216" s="236"/>
      <c r="AH216" s="236"/>
      <c r="AI216" s="193"/>
      <c r="AJ216" s="237"/>
      <c r="AK216" s="237"/>
      <c r="AL216" s="238"/>
      <c r="AM216" s="233"/>
    </row>
    <row r="217" spans="1:39" ht="73.5" hidden="1" customHeight="1" x14ac:dyDescent="0.4">
      <c r="A217" s="191"/>
      <c r="B217" s="245"/>
      <c r="C217" s="243"/>
      <c r="D217" s="243"/>
      <c r="E217" s="244"/>
      <c r="F217" s="197"/>
      <c r="G217" s="243"/>
      <c r="H217" s="239"/>
      <c r="I217" s="240"/>
      <c r="J217" s="238"/>
      <c r="K217" s="187"/>
      <c r="L217" s="234"/>
      <c r="M217" s="195"/>
      <c r="N217" s="195"/>
      <c r="O217" s="195"/>
      <c r="P217" s="188"/>
      <c r="Q217" s="188"/>
      <c r="R217" s="188" t="str">
        <f t="shared" si="8"/>
        <v/>
      </c>
      <c r="S217" s="188"/>
      <c r="T217" s="189"/>
      <c r="U217" s="188"/>
      <c r="V217" s="188"/>
      <c r="W217" s="188"/>
      <c r="X217" s="190"/>
      <c r="Y217" s="188"/>
      <c r="Z217" s="188"/>
      <c r="AA217" s="188"/>
      <c r="AB217" s="183">
        <f t="shared" si="434"/>
        <v>0</v>
      </c>
      <c r="AC217" s="184">
        <f t="shared" ref="AC217" si="463">IF(AND(L215=2,P217="Probabilidad",AB217&gt;=75),50,IF(AND(P217="Probabilidad",L215=2,AB217&gt;=50),37,IF(AND(P217="Probabilidad",L215=2,AB217&gt;=25),25,IF(AND(P217="Probabilidad",L215=2,AB217&gt;10),12,IF(AND(L215=1,P217="Probabilidad",AB217&gt;=75),100,IF(AND(P217="Probabilidad",L215=1,AB217&gt;=50),75,IF(AND(P217="Probabilidad",L215=1,AB217&gt;=25),50,IF(AND(P217="Probabilidad",L215=1,AB217&gt;10),25,IF(AND(P217="Probabilidad",L215=3,AB217&gt;=75),33.3,IF(AND(P217="Probabilidad",L215=3,AB217,AB217&gt;=50),25,IF(AND(P217="Probabilidad",L215=3,AB217&gt;=25),17,IF(AND(P217="Probabilidad",L215=3,AB217&gt;10),8,0))))))))))))</f>
        <v>0</v>
      </c>
      <c r="AD217" s="184">
        <f t="shared" ref="AD217" si="464">IF(AND(L215=2,P217="Impacto",AB217&gt;=75),50,IF(AND(P217="Impacto",L215=2,AB217&gt;=50),37,IF(AND(P217="Impacto",L215=2,AB217&gt;=25),25,IF(AND(P217="Impacto",L215=2,AB217&gt;10),12,IF(AND(L215=1,P217="Impacto",AB217&gt;=75),100,IF(AND(P217="Impacto",L215=1,AB217&gt;=50),75,IF(AND(P217="Impacto",L215=1,AB217&gt;=25),50,IF(AND(P217="Impacto",L215=1,AB217&gt;10),25,IF(AND(P217="Impacto",L215=3,AB217&gt;=75),33.3,IF(AND(P217="Impacto",L215=3,AB217,AB217&gt;=50),25,IF(AND(P217="Impacto",L215=3,AB217&gt;=25),17,IF(AND(P217="Impacto",L215=3,AB217&gt;10),8,0))))))))))))</f>
        <v>0</v>
      </c>
      <c r="AE217" s="235"/>
      <c r="AF217" s="235"/>
      <c r="AG217" s="236"/>
      <c r="AH217" s="236"/>
      <c r="AI217" s="193"/>
      <c r="AJ217" s="237"/>
      <c r="AK217" s="237"/>
      <c r="AL217" s="238"/>
      <c r="AM217" s="233"/>
    </row>
    <row r="218" spans="1:39" ht="300" customHeight="1" x14ac:dyDescent="0.4">
      <c r="A218" s="191"/>
      <c r="B218" s="245">
        <v>67</v>
      </c>
      <c r="C218" s="241" t="s">
        <v>1017</v>
      </c>
      <c r="D218" s="241" t="s">
        <v>1018</v>
      </c>
      <c r="E218" s="244" t="s">
        <v>79</v>
      </c>
      <c r="F218" s="204" t="s">
        <v>1019</v>
      </c>
      <c r="G218" s="241" t="s">
        <v>1020</v>
      </c>
      <c r="H218" s="239" t="s">
        <v>15</v>
      </c>
      <c r="I218" s="240" t="s">
        <v>19</v>
      </c>
      <c r="J218" s="238" t="str">
        <f>IF(ISERROR(VLOOKUP(H218&amp;I218,Hoja1!$C$1:$F$25,4,0)),"",(VLOOKUP(H218&amp;I218,Hoja1!$C$1:$F$25,4,0)))</f>
        <v>Alto</v>
      </c>
      <c r="K218" s="185" t="s">
        <v>85</v>
      </c>
      <c r="L218" s="234">
        <v>1</v>
      </c>
      <c r="M218" s="195" t="s">
        <v>1041</v>
      </c>
      <c r="N218" s="195" t="s">
        <v>1042</v>
      </c>
      <c r="O218" s="195" t="s">
        <v>1043</v>
      </c>
      <c r="P218" s="188" t="s">
        <v>22</v>
      </c>
      <c r="Q218" s="188" t="s">
        <v>42</v>
      </c>
      <c r="R218" s="188" t="str">
        <f t="shared" si="8"/>
        <v>N/A</v>
      </c>
      <c r="S218" s="188" t="s">
        <v>41</v>
      </c>
      <c r="T218" s="189" t="s">
        <v>1052</v>
      </c>
      <c r="U218" s="188" t="s">
        <v>41</v>
      </c>
      <c r="V218" s="188" t="s">
        <v>72</v>
      </c>
      <c r="W218" s="188" t="s">
        <v>101</v>
      </c>
      <c r="X218" s="190" t="s">
        <v>102</v>
      </c>
      <c r="Y218" s="189" t="s">
        <v>108</v>
      </c>
      <c r="Z218" s="188" t="s">
        <v>41</v>
      </c>
      <c r="AA218" s="189" t="s">
        <v>1059</v>
      </c>
      <c r="AB218" s="183">
        <f t="shared" si="434"/>
        <v>68</v>
      </c>
      <c r="AC218" s="184">
        <f t="shared" ref="AC218" si="465">IF(AND(L218=2,P218="Probabilidad",AB218&gt;=75),50,IF(AND(P218="Probabilidad",L218=2,AB218&gt;=50),37,IF(AND(P218="Probabilidad",L218=2,AB218&gt;=25),25,IF(AND(P218="Probabilidad",L218=2,AB218&gt;10),12,IF(AND(L218=1,P218="Probabilidad",AB218&gt;=75),100,IF(AND(P218="Probabilidad",L218=1,AB218&gt;=50),75,IF(AND(P218="Probabilidad",L218=1,AB218&gt;=25),50,IF(AND(P218="Probabilidad",L218=1,AB218&gt;10),25,IF(AND(P218="Probabilidad",L218=3,AB218&gt;=75),33.3,IF(AND(P218="Probabilidad",L218=3,AB218,AB218&gt;=50),25,IF(AND(P218="Probabilidad",L218=3,AB218&gt;=25),17,IF(AND(P218="Probabilidad",L218=3,AB218&gt;10),8,0))))))))))))</f>
        <v>75</v>
      </c>
      <c r="AD218" s="184">
        <f t="shared" ref="AD218" si="466">IF(AND(L218=2,P218="Impacto",AB218&gt;=75),50,IF(AND(P218="Impacto",L218=2,AB218&gt;=50),37,IF(AND(P218="Impacto",L218=2,AB218&gt;=25),25,IF(AND(P218="Impacto",L218=2,AB218&gt;10),12,IF(AND(L218=1,P218="Impacto",AB218&gt;=75),100,IF(AND(P218="Impacto",L218=1,AB218&gt;=50),75,IF(AND(P218="Impacto",L218=1,AB218&gt;=25),50,IF(AND(P218="Impacto",L218=1,AB218&gt;10),25,IF(AND(P218="Impacto",L218=3,AB218&gt;=75),33.3,IF(AND(P218="Impacto",L218=3,AB218,AB218&gt;=50),25,IF(AND(P218="Impacto",L218=3,AB218&gt;=25),17,IF(AND(P218="Impacto",L218=3,AB218&gt;10),8,0))))))))))))</f>
        <v>0</v>
      </c>
      <c r="AE218" s="235">
        <f t="shared" ref="AE218" si="467">SUM(AC218:AC220)</f>
        <v>75</v>
      </c>
      <c r="AF218" s="235">
        <f t="shared" ref="AF218" si="468">SUM(AD218:AD220)</f>
        <v>0</v>
      </c>
      <c r="AG218" s="236">
        <f t="shared" ref="AG218" si="469">IF(AE218&gt;75,2,IF(AE218&gt;=30,1,"-"))</f>
        <v>1</v>
      </c>
      <c r="AH218" s="236" t="str">
        <f t="shared" ref="AH218" si="470">IF(AF218&gt;75,2,IF(AF218&gt;=30,1,"-"))</f>
        <v>-</v>
      </c>
      <c r="AI218" s="193"/>
      <c r="AJ218" s="237" t="str">
        <f>IF(AND(AG218=2,H218="Casi seguro"),Hoja1!$J$5,IF(AND(AG218=2,H218="Posible"),Hoja1!$J$6,IF(AND(H218="Improbable",AG218=2),Hoja1!J165,IF(AND(AG218=1,H218="Casi seguro"),Hoja1!$J$4,IF(AND(AG218=1,H218="Posible"),Hoja1!$J$5,IF(AND(AG218=1,H218="Improbable"),Hoja1!$J$6,'FT-Mapa de riesgos'!H218))))))</f>
        <v>Improbable</v>
      </c>
      <c r="AK218" s="237" t="str">
        <f>IF(AND(AH218=2,I218="Catastrofico"),Hoja1!$K$5,IF(AND(AH218=2,I218="Mayor"),Hoja1!$K$6,IF(AND(AH218=2,I218="Moderado"),Hoja1!$K$7,IF(AND(AH218=1,I218="Catastrofico"),Hoja1!$K$4,IF(AND(AH218=1,I218="Mayor "),Hoja1!$K$5,IF(AND(AH218=1,I218="Moderado"),Hoja1!$K$6,IF(AND(AH218=2,I218="Menor"),Hoja1!$K$7,'FT-Mapa de riesgos'!I218)))))))</f>
        <v>Moderado</v>
      </c>
      <c r="AL218" s="238" t="str">
        <f>IF(ISERROR(VLOOKUP(AJ218&amp;AK218,Hoja1!$C$1:$F$25,4,0)),"",(VLOOKUP(AJ218&amp;AK218,Hoja1!$C$1:$F$25,4,0)))</f>
        <v>Moderado</v>
      </c>
      <c r="AM218" s="233"/>
    </row>
    <row r="219" spans="1:39" ht="73.5" hidden="1" customHeight="1" x14ac:dyDescent="0.4">
      <c r="A219" s="191"/>
      <c r="B219" s="245"/>
      <c r="C219" s="242"/>
      <c r="D219" s="242"/>
      <c r="E219" s="244"/>
      <c r="F219" s="197"/>
      <c r="G219" s="242"/>
      <c r="H219" s="239"/>
      <c r="I219" s="240"/>
      <c r="J219" s="238"/>
      <c r="K219" s="185"/>
      <c r="L219" s="234"/>
      <c r="M219" s="195"/>
      <c r="N219" s="195"/>
      <c r="O219" s="195"/>
      <c r="P219" s="188"/>
      <c r="Q219" s="188"/>
      <c r="R219" s="188" t="str">
        <f t="shared" si="8"/>
        <v/>
      </c>
      <c r="S219" s="188"/>
      <c r="T219" s="189"/>
      <c r="U219" s="188"/>
      <c r="V219" s="188"/>
      <c r="W219" s="188"/>
      <c r="X219" s="190"/>
      <c r="Y219" s="188"/>
      <c r="Z219" s="188"/>
      <c r="AA219" s="188"/>
      <c r="AB219" s="183">
        <f t="shared" si="434"/>
        <v>0</v>
      </c>
      <c r="AC219" s="184">
        <f t="shared" ref="AC219" si="471">IF(AND(L218=2,P219="Probabilidad",AB219&gt;=75),50,IF(AND(P219="Probabilidad",L218=2,AB219&gt;=50),37,IF(AND(P219="Probabilidad",L218=2,AB219&gt;=25),25,IF(AND(P219="Probabilidad",L218=2,AB219&gt;10),12,IF(AND(L218=1,P219="Probabilidad",AB219&gt;=75),100,IF(AND(P219="Probabilidad",L218=1,AB219&gt;=50),75,IF(AND(P219="Probabilidad",L218=1,AB219&gt;=25),50,IF(AND(P219="Probabilidad",L218=1,AB219&gt;10),25,IF(AND(P219="Probabilidad",L218=3,AB219&gt;=75),33.3,IF(AND(P219="Probabilidad",L218=3,AB219,AB219&gt;=50),25,IF(AND(P219="Probabilidad",L218=3,AB219&gt;=25),17,IF(AND(P219="Probabilidad",L218=3,AB219&gt;10),8,0))))))))))))</f>
        <v>0</v>
      </c>
      <c r="AD219" s="184">
        <f t="shared" ref="AD219" si="472">IF(AND(L218=2,P219="Impacto",AB219&gt;=75),50,IF(AND(P219="Impacto",L218=2,AB219&gt;=50),37,IF(AND(P219="Impacto",L218=2,AB219&gt;=25),25,IF(AND(P219="Impacto",L218=2,AB219&gt;10),12,IF(AND(L218=1,P219="Impacto",AB219&gt;=75),100,IF(AND(P219="Impacto",L218=1,AB219&gt;=50),75,IF(AND(P219="Impacto",L218=1,AB219&gt;=25),50,IF(AND(P219="Impacto",L218=1,AB219&gt;10),25,IF(AND(P219="Impacto",L218=3,AB219&gt;=75),33.3,IF(AND(P219="Impacto",L218=3,AB219,AB219&gt;=50),25,IF(AND(P219="Impacto",L218=3,AB219&gt;=25),17,IF(AND(P219="Impacto",L218=3,AB219&gt;10),8,0))))))))))))</f>
        <v>0</v>
      </c>
      <c r="AE219" s="235"/>
      <c r="AF219" s="235"/>
      <c r="AG219" s="236"/>
      <c r="AH219" s="236"/>
      <c r="AI219" s="193"/>
      <c r="AJ219" s="237"/>
      <c r="AK219" s="237"/>
      <c r="AL219" s="238"/>
      <c r="AM219" s="233"/>
    </row>
    <row r="220" spans="1:39" ht="73.5" hidden="1" customHeight="1" x14ac:dyDescent="0.4">
      <c r="A220" s="191"/>
      <c r="B220" s="245"/>
      <c r="C220" s="243"/>
      <c r="D220" s="243"/>
      <c r="E220" s="244"/>
      <c r="F220" s="197"/>
      <c r="G220" s="243"/>
      <c r="H220" s="239"/>
      <c r="I220" s="240"/>
      <c r="J220" s="238"/>
      <c r="K220" s="187"/>
      <c r="L220" s="234"/>
      <c r="M220" s="195"/>
      <c r="N220" s="195"/>
      <c r="O220" s="195"/>
      <c r="P220" s="188"/>
      <c r="Q220" s="188"/>
      <c r="R220" s="188" t="str">
        <f t="shared" si="8"/>
        <v/>
      </c>
      <c r="S220" s="188"/>
      <c r="T220" s="189"/>
      <c r="U220" s="188"/>
      <c r="V220" s="188"/>
      <c r="W220" s="188"/>
      <c r="X220" s="190"/>
      <c r="Y220" s="188"/>
      <c r="Z220" s="188"/>
      <c r="AA220" s="188"/>
      <c r="AB220" s="183">
        <f t="shared" si="434"/>
        <v>0</v>
      </c>
      <c r="AC220" s="184">
        <f t="shared" ref="AC220" si="473">IF(AND(L218=2,P220="Probabilidad",AB220&gt;=75),50,IF(AND(P220="Probabilidad",L218=2,AB220&gt;=50),37,IF(AND(P220="Probabilidad",L218=2,AB220&gt;=25),25,IF(AND(P220="Probabilidad",L218=2,AB220&gt;10),12,IF(AND(L218=1,P220="Probabilidad",AB220&gt;=75),100,IF(AND(P220="Probabilidad",L218=1,AB220&gt;=50),75,IF(AND(P220="Probabilidad",L218=1,AB220&gt;=25),50,IF(AND(P220="Probabilidad",L218=1,AB220&gt;10),25,IF(AND(P220="Probabilidad",L218=3,AB220&gt;=75),33.3,IF(AND(P220="Probabilidad",L218=3,AB220,AB220&gt;=50),25,IF(AND(P220="Probabilidad",L218=3,AB220&gt;=25),17,IF(AND(P220="Probabilidad",L218=3,AB220&gt;10),8,0))))))))))))</f>
        <v>0</v>
      </c>
      <c r="AD220" s="184">
        <f t="shared" ref="AD220" si="474">IF(AND(L218=2,P220="Impacto",AB220&gt;=75),50,IF(AND(P220="Impacto",L218=2,AB220&gt;=50),37,IF(AND(P220="Impacto",L218=2,AB220&gt;=25),25,IF(AND(P220="Impacto",L218=2,AB220&gt;10),12,IF(AND(L218=1,P220="Impacto",AB220&gt;=75),100,IF(AND(P220="Impacto",L218=1,AB220&gt;=50),75,IF(AND(P220="Impacto",L218=1,AB220&gt;=25),50,IF(AND(P220="Impacto",L218=1,AB220&gt;10),25,IF(AND(P220="Impacto",L218=3,AB220&gt;=75),33.3,IF(AND(P220="Impacto",L218=3,AB220,AB220&gt;=50),25,IF(AND(P220="Impacto",L218=3,AB220&gt;=25),17,IF(AND(P220="Impacto",L218=3,AB220&gt;10),8,0))))))))))))</f>
        <v>0</v>
      </c>
      <c r="AE220" s="235"/>
      <c r="AF220" s="235"/>
      <c r="AG220" s="236"/>
      <c r="AH220" s="236"/>
      <c r="AI220" s="193"/>
      <c r="AJ220" s="237"/>
      <c r="AK220" s="237"/>
      <c r="AL220" s="238"/>
      <c r="AM220" s="233"/>
    </row>
    <row r="221" spans="1:39" ht="300" customHeight="1" x14ac:dyDescent="0.4">
      <c r="A221" s="191"/>
      <c r="B221" s="245">
        <v>68</v>
      </c>
      <c r="C221" s="241" t="s">
        <v>1021</v>
      </c>
      <c r="D221" s="241" t="s">
        <v>1022</v>
      </c>
      <c r="E221" s="244" t="s">
        <v>79</v>
      </c>
      <c r="F221" s="195" t="s">
        <v>1023</v>
      </c>
      <c r="G221" s="241" t="s">
        <v>1024</v>
      </c>
      <c r="H221" s="239" t="s">
        <v>15</v>
      </c>
      <c r="I221" s="240" t="s">
        <v>20</v>
      </c>
      <c r="J221" s="238" t="str">
        <f>IF(ISERROR(VLOOKUP(H221&amp;I221,Hoja1!$C$1:$F$25,4,0)),"",(VLOOKUP(H221&amp;I221,Hoja1!$C$1:$F$25,4,0)))</f>
        <v>Extremo</v>
      </c>
      <c r="K221" s="185" t="s">
        <v>85</v>
      </c>
      <c r="L221" s="234">
        <v>1</v>
      </c>
      <c r="M221" s="195" t="s">
        <v>1044</v>
      </c>
      <c r="N221" s="195" t="s">
        <v>1045</v>
      </c>
      <c r="O221" s="195" t="s">
        <v>1046</v>
      </c>
      <c r="P221" s="188" t="s">
        <v>22</v>
      </c>
      <c r="Q221" s="188" t="s">
        <v>42</v>
      </c>
      <c r="R221" s="188" t="str">
        <f t="shared" si="8"/>
        <v>N/A</v>
      </c>
      <c r="S221" s="188" t="s">
        <v>41</v>
      </c>
      <c r="T221" s="189" t="s">
        <v>1054</v>
      </c>
      <c r="U221" s="188" t="s">
        <v>41</v>
      </c>
      <c r="V221" s="188" t="s">
        <v>72</v>
      </c>
      <c r="W221" s="188" t="s">
        <v>101</v>
      </c>
      <c r="X221" s="190" t="s">
        <v>102</v>
      </c>
      <c r="Y221" s="189" t="s">
        <v>108</v>
      </c>
      <c r="Z221" s="188" t="s">
        <v>41</v>
      </c>
      <c r="AA221" s="189" t="s">
        <v>1060</v>
      </c>
      <c r="AB221" s="183">
        <f t="shared" si="434"/>
        <v>68</v>
      </c>
      <c r="AC221" s="184">
        <f t="shared" ref="AC221" si="475">IF(AND(L221=2,P221="Probabilidad",AB221&gt;=75),50,IF(AND(P221="Probabilidad",L221=2,AB221&gt;=50),37,IF(AND(P221="Probabilidad",L221=2,AB221&gt;=25),25,IF(AND(P221="Probabilidad",L221=2,AB221&gt;10),12,IF(AND(L221=1,P221="Probabilidad",AB221&gt;=75),100,IF(AND(P221="Probabilidad",L221=1,AB221&gt;=50),75,IF(AND(P221="Probabilidad",L221=1,AB221&gt;=25),50,IF(AND(P221="Probabilidad",L221=1,AB221&gt;10),25,IF(AND(P221="Probabilidad",L221=3,AB221&gt;=75),33.3,IF(AND(P221="Probabilidad",L221=3,AB221,AB221&gt;=50),25,IF(AND(P221="Probabilidad",L221=3,AB221&gt;=25),17,IF(AND(P221="Probabilidad",L221=3,AB221&gt;10),8,0))))))))))))</f>
        <v>75</v>
      </c>
      <c r="AD221" s="184">
        <f t="shared" ref="AD221" si="476">IF(AND(L221=2,P221="Impacto",AB221&gt;=75),50,IF(AND(P221="Impacto",L221=2,AB221&gt;=50),37,IF(AND(P221="Impacto",L221=2,AB221&gt;=25),25,IF(AND(P221="Impacto",L221=2,AB221&gt;10),12,IF(AND(L221=1,P221="Impacto",AB221&gt;=75),100,IF(AND(P221="Impacto",L221=1,AB221&gt;=50),75,IF(AND(P221="Impacto",L221=1,AB221&gt;=25),50,IF(AND(P221="Impacto",L221=1,AB221&gt;10),25,IF(AND(P221="Impacto",L221=3,AB221&gt;=75),33.3,IF(AND(P221="Impacto",L221=3,AB221,AB221&gt;=50),25,IF(AND(P221="Impacto",L221=3,AB221&gt;=25),17,IF(AND(P221="Impacto",L221=3,AB221&gt;10),8,0))))))))))))</f>
        <v>0</v>
      </c>
      <c r="AE221" s="235">
        <f t="shared" ref="AE221" si="477">SUM(AC221:AC223)</f>
        <v>75</v>
      </c>
      <c r="AF221" s="235">
        <f t="shared" ref="AF221" si="478">SUM(AD221:AD223)</f>
        <v>0</v>
      </c>
      <c r="AG221" s="236">
        <f t="shared" ref="AG221" si="479">IF(AE221&gt;75,2,IF(AE221&gt;=30,1,"-"))</f>
        <v>1</v>
      </c>
      <c r="AH221" s="236" t="str">
        <f t="shared" ref="AH221" si="480">IF(AF221&gt;75,2,IF(AF221&gt;=30,1,"-"))</f>
        <v>-</v>
      </c>
      <c r="AI221" s="193"/>
      <c r="AJ221" s="237" t="str">
        <f>IF(AND(AG221=2,H221="Casi seguro"),Hoja1!$J$5,IF(AND(AG221=2,H221="Posible"),Hoja1!$J$6,IF(AND(H221="Improbable",AG221=2),Hoja1!J168,IF(AND(AG221=1,H221="Casi seguro"),Hoja1!$J$4,IF(AND(AG221=1,H221="Posible"),Hoja1!$J$5,IF(AND(AG221=1,H221="Improbable"),Hoja1!$J$6,'FT-Mapa de riesgos'!H221))))))</f>
        <v>Improbable</v>
      </c>
      <c r="AK221" s="237" t="str">
        <f>IF(AND(AH221=2,I221="Catastrofico"),Hoja1!$K$5,IF(AND(AH221=2,I221="Mayor"),Hoja1!$K$6,IF(AND(AH221=2,I221="Moderado"),Hoja1!$K$7,IF(AND(AH221=1,I221="Catastrofico"),Hoja1!$K$4,IF(AND(AH221=1,I221="Mayor "),Hoja1!$K$5,IF(AND(AH221=1,I221="Moderado"),Hoja1!$K$6,IF(AND(AH221=2,I221="Menor"),Hoja1!$K$7,'FT-Mapa de riesgos'!I221)))))))</f>
        <v xml:space="preserve">Mayor </v>
      </c>
      <c r="AL221" s="238" t="str">
        <f>IF(ISERROR(VLOOKUP(AJ221&amp;AK221,Hoja1!$C$1:$F$25,4,0)),"",(VLOOKUP(AJ221&amp;AK221,Hoja1!$C$1:$F$25,4,0)))</f>
        <v>Alto</v>
      </c>
      <c r="AM221" s="233"/>
    </row>
    <row r="222" spans="1:39" ht="73.5" hidden="1" customHeight="1" x14ac:dyDescent="0.4">
      <c r="A222" s="191"/>
      <c r="B222" s="245"/>
      <c r="C222" s="242"/>
      <c r="D222" s="242"/>
      <c r="E222" s="244"/>
      <c r="F222" s="197"/>
      <c r="G222" s="242"/>
      <c r="H222" s="239"/>
      <c r="I222" s="240"/>
      <c r="J222" s="238"/>
      <c r="K222" s="185"/>
      <c r="L222" s="234"/>
      <c r="M222" s="195"/>
      <c r="N222" s="195"/>
      <c r="O222" s="195"/>
      <c r="P222" s="188"/>
      <c r="Q222" s="188"/>
      <c r="R222" s="188" t="str">
        <f t="shared" si="8"/>
        <v/>
      </c>
      <c r="S222" s="188"/>
      <c r="T222" s="189"/>
      <c r="U222" s="188"/>
      <c r="V222" s="188"/>
      <c r="W222" s="188"/>
      <c r="X222" s="190"/>
      <c r="Y222" s="188"/>
      <c r="Z222" s="188"/>
      <c r="AA222" s="188"/>
      <c r="AB222" s="183">
        <f t="shared" si="434"/>
        <v>0</v>
      </c>
      <c r="AC222" s="184">
        <f t="shared" ref="AC222" si="481">IF(AND(L221=2,P222="Probabilidad",AB222&gt;=75),50,IF(AND(P222="Probabilidad",L221=2,AB222&gt;=50),37,IF(AND(P222="Probabilidad",L221=2,AB222&gt;=25),25,IF(AND(P222="Probabilidad",L221=2,AB222&gt;10),12,IF(AND(L221=1,P222="Probabilidad",AB222&gt;=75),100,IF(AND(P222="Probabilidad",L221=1,AB222&gt;=50),75,IF(AND(P222="Probabilidad",L221=1,AB222&gt;=25),50,IF(AND(P222="Probabilidad",L221=1,AB222&gt;10),25,IF(AND(P222="Probabilidad",L221=3,AB222&gt;=75),33.3,IF(AND(P222="Probabilidad",L221=3,AB222,AB222&gt;=50),25,IF(AND(P222="Probabilidad",L221=3,AB222&gt;=25),17,IF(AND(P222="Probabilidad",L221=3,AB222&gt;10),8,0))))))))))))</f>
        <v>0</v>
      </c>
      <c r="AD222" s="184">
        <f t="shared" ref="AD222" si="482">IF(AND(L221=2,P222="Impacto",AB222&gt;=75),50,IF(AND(P222="Impacto",L221=2,AB222&gt;=50),37,IF(AND(P222="Impacto",L221=2,AB222&gt;=25),25,IF(AND(P222="Impacto",L221=2,AB222&gt;10),12,IF(AND(L221=1,P222="Impacto",AB222&gt;=75),100,IF(AND(P222="Impacto",L221=1,AB222&gt;=50),75,IF(AND(P222="Impacto",L221=1,AB222&gt;=25),50,IF(AND(P222="Impacto",L221=1,AB222&gt;10),25,IF(AND(P222="Impacto",L221=3,AB222&gt;=75),33.3,IF(AND(P222="Impacto",L221=3,AB222,AB222&gt;=50),25,IF(AND(P222="Impacto",L221=3,AB222&gt;=25),17,IF(AND(P222="Impacto",L221=3,AB222&gt;10),8,0))))))))))))</f>
        <v>0</v>
      </c>
      <c r="AE222" s="235"/>
      <c r="AF222" s="235"/>
      <c r="AG222" s="236"/>
      <c r="AH222" s="236"/>
      <c r="AI222" s="193"/>
      <c r="AJ222" s="237"/>
      <c r="AK222" s="237"/>
      <c r="AL222" s="238"/>
      <c r="AM222" s="233"/>
    </row>
    <row r="223" spans="1:39" ht="73.5" hidden="1" customHeight="1" x14ac:dyDescent="0.4">
      <c r="A223" s="191"/>
      <c r="B223" s="245"/>
      <c r="C223" s="243"/>
      <c r="D223" s="243"/>
      <c r="E223" s="244"/>
      <c r="F223" s="197"/>
      <c r="G223" s="243"/>
      <c r="H223" s="239"/>
      <c r="I223" s="240"/>
      <c r="J223" s="238"/>
      <c r="K223" s="187"/>
      <c r="L223" s="234"/>
      <c r="M223" s="195"/>
      <c r="N223" s="195"/>
      <c r="O223" s="195"/>
      <c r="P223" s="188"/>
      <c r="Q223" s="188"/>
      <c r="R223" s="188" t="str">
        <f t="shared" si="8"/>
        <v/>
      </c>
      <c r="S223" s="188"/>
      <c r="T223" s="189"/>
      <c r="U223" s="188"/>
      <c r="V223" s="188"/>
      <c r="W223" s="188"/>
      <c r="X223" s="190"/>
      <c r="Y223" s="188"/>
      <c r="Z223" s="188"/>
      <c r="AA223" s="188"/>
      <c r="AB223" s="183">
        <f t="shared" si="434"/>
        <v>0</v>
      </c>
      <c r="AC223" s="184">
        <f t="shared" ref="AC223" si="483">IF(AND(L221=2,P223="Probabilidad",AB223&gt;=75),50,IF(AND(P223="Probabilidad",L221=2,AB223&gt;=50),37,IF(AND(P223="Probabilidad",L221=2,AB223&gt;=25),25,IF(AND(P223="Probabilidad",L221=2,AB223&gt;10),12,IF(AND(L221=1,P223="Probabilidad",AB223&gt;=75),100,IF(AND(P223="Probabilidad",L221=1,AB223&gt;=50),75,IF(AND(P223="Probabilidad",L221=1,AB223&gt;=25),50,IF(AND(P223="Probabilidad",L221=1,AB223&gt;10),25,IF(AND(P223="Probabilidad",L221=3,AB223&gt;=75),33.3,IF(AND(P223="Probabilidad",L221=3,AB223,AB223&gt;=50),25,IF(AND(P223="Probabilidad",L221=3,AB223&gt;=25),17,IF(AND(P223="Probabilidad",L221=3,AB223&gt;10),8,0))))))))))))</f>
        <v>0</v>
      </c>
      <c r="AD223" s="184">
        <f t="shared" ref="AD223" si="484">IF(AND(L221=2,P223="Impacto",AB223&gt;=75),50,IF(AND(P223="Impacto",L221=2,AB223&gt;=50),37,IF(AND(P223="Impacto",L221=2,AB223&gt;=25),25,IF(AND(P223="Impacto",L221=2,AB223&gt;10),12,IF(AND(L221=1,P223="Impacto",AB223&gt;=75),100,IF(AND(P223="Impacto",L221=1,AB223&gt;=50),75,IF(AND(P223="Impacto",L221=1,AB223&gt;=25),50,IF(AND(P223="Impacto",L221=1,AB223&gt;10),25,IF(AND(P223="Impacto",L221=3,AB223&gt;=75),33.3,IF(AND(P223="Impacto",L221=3,AB223,AB223&gt;=50),25,IF(AND(P223="Impacto",L221=3,AB223&gt;=25),17,IF(AND(P223="Impacto",L221=3,AB223&gt;10),8,0))))))))))))</f>
        <v>0</v>
      </c>
      <c r="AE223" s="235"/>
      <c r="AF223" s="235"/>
      <c r="AG223" s="236"/>
      <c r="AH223" s="236"/>
      <c r="AI223" s="193"/>
      <c r="AJ223" s="237"/>
      <c r="AK223" s="237"/>
      <c r="AL223" s="238"/>
      <c r="AM223" s="233"/>
    </row>
    <row r="224" spans="1:39" ht="219.95" customHeight="1" x14ac:dyDescent="0.4">
      <c r="A224" s="191"/>
      <c r="B224" s="245">
        <v>69</v>
      </c>
      <c r="C224" s="241" t="s">
        <v>1025</v>
      </c>
      <c r="D224" s="241" t="s">
        <v>1026</v>
      </c>
      <c r="E224" s="244" t="s">
        <v>35</v>
      </c>
      <c r="F224" s="195" t="s">
        <v>1027</v>
      </c>
      <c r="G224" s="241" t="s">
        <v>1028</v>
      </c>
      <c r="H224" s="239" t="s">
        <v>14</v>
      </c>
      <c r="I224" s="240" t="s">
        <v>20</v>
      </c>
      <c r="J224" s="238" t="str">
        <f>IF(ISERROR(VLOOKUP(H224&amp;I224,Hoja1!$C$1:$F$25,4,0)),"",(VLOOKUP(H224&amp;I224,Hoja1!$C$1:$F$25,4,0)))</f>
        <v>Alto</v>
      </c>
      <c r="K224" s="185" t="s">
        <v>85</v>
      </c>
      <c r="L224" s="234">
        <v>2</v>
      </c>
      <c r="M224" s="195" t="s">
        <v>1047</v>
      </c>
      <c r="N224" s="195" t="s">
        <v>1048</v>
      </c>
      <c r="O224" s="195" t="s">
        <v>1049</v>
      </c>
      <c r="P224" s="188" t="s">
        <v>22</v>
      </c>
      <c r="Q224" s="188" t="s">
        <v>42</v>
      </c>
      <c r="R224" s="188" t="str">
        <f t="shared" si="8"/>
        <v>N/A</v>
      </c>
      <c r="S224" s="188" t="s">
        <v>41</v>
      </c>
      <c r="T224" s="189" t="s">
        <v>1053</v>
      </c>
      <c r="U224" s="188" t="s">
        <v>41</v>
      </c>
      <c r="V224" s="188" t="s">
        <v>152</v>
      </c>
      <c r="W224" s="188" t="s">
        <v>101</v>
      </c>
      <c r="X224" s="190" t="s">
        <v>167</v>
      </c>
      <c r="Y224" s="189" t="s">
        <v>167</v>
      </c>
      <c r="Z224" s="188" t="s">
        <v>41</v>
      </c>
      <c r="AA224" s="189" t="s">
        <v>1061</v>
      </c>
      <c r="AB224" s="183">
        <f t="shared" si="434"/>
        <v>68</v>
      </c>
      <c r="AC224" s="184">
        <f t="shared" ref="AC224" si="485">IF(AND(L224=2,P224="Probabilidad",AB224&gt;=75),50,IF(AND(P224="Probabilidad",L224=2,AB224&gt;=50),37,IF(AND(P224="Probabilidad",L224=2,AB224&gt;=25),25,IF(AND(P224="Probabilidad",L224=2,AB224&gt;10),12,IF(AND(L224=1,P224="Probabilidad",AB224&gt;=75),100,IF(AND(P224="Probabilidad",L224=1,AB224&gt;=50),75,IF(AND(P224="Probabilidad",L224=1,AB224&gt;=25),50,IF(AND(P224="Probabilidad",L224=1,AB224&gt;10),25,IF(AND(P224="Probabilidad",L224=3,AB224&gt;=75),33.3,IF(AND(P224="Probabilidad",L224=3,AB224,AB224&gt;=50),25,IF(AND(P224="Probabilidad",L224=3,AB224&gt;=25),17,IF(AND(P224="Probabilidad",L224=3,AB224&gt;10),8,0))))))))))))</f>
        <v>37</v>
      </c>
      <c r="AD224" s="184">
        <f t="shared" ref="AD224" si="486">IF(AND(L224=2,P224="Impacto",AB224&gt;=75),50,IF(AND(P224="Impacto",L224=2,AB224&gt;=50),37,IF(AND(P224="Impacto",L224=2,AB224&gt;=25),25,IF(AND(P224="Impacto",L224=2,AB224&gt;10),12,IF(AND(L224=1,P224="Impacto",AB224&gt;=75),100,IF(AND(P224="Impacto",L224=1,AB224&gt;=50),75,IF(AND(P224="Impacto",L224=1,AB224&gt;=25),50,IF(AND(P224="Impacto",L224=1,AB224&gt;10),25,IF(AND(P224="Impacto",L224=3,AB224&gt;=75),33.3,IF(AND(P224="Impacto",L224=3,AB224,AB224&gt;=50),25,IF(AND(P224="Impacto",L224=3,AB224&gt;=25),17,IF(AND(P224="Impacto",L224=3,AB224&gt;10),8,0))))))))))))</f>
        <v>0</v>
      </c>
      <c r="AE224" s="235">
        <f t="shared" ref="AE224" si="487">SUM(AC224:AC226)</f>
        <v>74</v>
      </c>
      <c r="AF224" s="235">
        <f t="shared" ref="AF224" si="488">SUM(AD224:AD226)</f>
        <v>0</v>
      </c>
      <c r="AG224" s="236">
        <f t="shared" ref="AG224" si="489">IF(AE224&gt;75,2,IF(AE224&gt;=30,1,"-"))</f>
        <v>1</v>
      </c>
      <c r="AH224" s="236" t="str">
        <f t="shared" ref="AH224" si="490">IF(AF224&gt;75,2,IF(AF224&gt;=30,1,"-"))</f>
        <v>-</v>
      </c>
      <c r="AI224" s="193"/>
      <c r="AJ224" s="237" t="str">
        <f>IF(AND(AG224=2,H224="Casi seguro"),Hoja1!$J$5,IF(AND(AG224=2,H224="Posible"),Hoja1!$J$6,IF(AND(H224="Improbable",AG224=2),Hoja1!J171,IF(AND(AG224=1,H224="Casi seguro"),Hoja1!$J$4,IF(AND(AG224=1,H224="Posible"),Hoja1!$J$5,IF(AND(AG224=1,H224="Improbable"),Hoja1!$J$6,'FT-Mapa de riesgos'!H224))))))</f>
        <v>Rara Vez</v>
      </c>
      <c r="AK224" s="237" t="str">
        <f>IF(AND(AH224=2,I224="Catastrofico"),Hoja1!$K$5,IF(AND(AH224=2,I224="Mayor"),Hoja1!$K$6,IF(AND(AH224=2,I224="Moderado"),Hoja1!$K$7,IF(AND(AH224=1,I224="Catastrofico"),Hoja1!$K$4,IF(AND(AH224=1,I224="Mayor "),Hoja1!$K$5,IF(AND(AH224=1,I224="Moderado"),Hoja1!$K$6,IF(AND(AH224=2,I224="Menor"),Hoja1!$K$7,'FT-Mapa de riesgos'!I224)))))))</f>
        <v xml:space="preserve">Mayor </v>
      </c>
      <c r="AL224" s="238" t="str">
        <f>IF(ISERROR(VLOOKUP(AJ224&amp;AK224,Hoja1!$C$1:$F$25,4,0)),"",(VLOOKUP(AJ224&amp;AK224,Hoja1!$C$1:$F$25,4,0)))</f>
        <v>Alto</v>
      </c>
      <c r="AM224" s="233"/>
    </row>
    <row r="225" spans="1:39" ht="219.95" customHeight="1" x14ac:dyDescent="0.4">
      <c r="A225" s="191"/>
      <c r="B225" s="245"/>
      <c r="C225" s="242"/>
      <c r="D225" s="242"/>
      <c r="E225" s="244"/>
      <c r="F225" s="195" t="s">
        <v>1029</v>
      </c>
      <c r="G225" s="242"/>
      <c r="H225" s="239"/>
      <c r="I225" s="240"/>
      <c r="J225" s="238"/>
      <c r="K225" s="185" t="s">
        <v>85</v>
      </c>
      <c r="L225" s="234"/>
      <c r="M225" s="195" t="s">
        <v>1050</v>
      </c>
      <c r="N225" s="195" t="s">
        <v>1051</v>
      </c>
      <c r="O225" s="195" t="s">
        <v>167</v>
      </c>
      <c r="P225" s="188" t="s">
        <v>22</v>
      </c>
      <c r="Q225" s="188" t="s">
        <v>42</v>
      </c>
      <c r="R225" s="188" t="str">
        <f t="shared" si="8"/>
        <v>N/A</v>
      </c>
      <c r="S225" s="188" t="s">
        <v>41</v>
      </c>
      <c r="T225" s="189" t="s">
        <v>1052</v>
      </c>
      <c r="U225" s="188" t="s">
        <v>41</v>
      </c>
      <c r="V225" s="188" t="s">
        <v>152</v>
      </c>
      <c r="W225" s="188" t="s">
        <v>101</v>
      </c>
      <c r="X225" s="190" t="s">
        <v>167</v>
      </c>
      <c r="Y225" s="189" t="s">
        <v>167</v>
      </c>
      <c r="Z225" s="188" t="s">
        <v>41</v>
      </c>
      <c r="AA225" s="189" t="s">
        <v>1062</v>
      </c>
      <c r="AB225" s="183">
        <f t="shared" si="434"/>
        <v>68</v>
      </c>
      <c r="AC225" s="184">
        <f t="shared" ref="AC225" si="491">IF(AND(L224=2,P225="Probabilidad",AB225&gt;=75),50,IF(AND(P225="Probabilidad",L224=2,AB225&gt;=50),37,IF(AND(P225="Probabilidad",L224=2,AB225&gt;=25),25,IF(AND(P225="Probabilidad",L224=2,AB225&gt;10),12,IF(AND(L224=1,P225="Probabilidad",AB225&gt;=75),100,IF(AND(P225="Probabilidad",L224=1,AB225&gt;=50),75,IF(AND(P225="Probabilidad",L224=1,AB225&gt;=25),50,IF(AND(P225="Probabilidad",L224=1,AB225&gt;10),25,IF(AND(P225="Probabilidad",L224=3,AB225&gt;=75),33.3,IF(AND(P225="Probabilidad",L224=3,AB225,AB225&gt;=50),25,IF(AND(P225="Probabilidad",L224=3,AB225&gt;=25),17,IF(AND(P225="Probabilidad",L224=3,AB225&gt;10),8,0))))))))))))</f>
        <v>37</v>
      </c>
      <c r="AD225" s="184">
        <f t="shared" ref="AD225" si="492">IF(AND(L224=2,P225="Impacto",AB225&gt;=75),50,IF(AND(P225="Impacto",L224=2,AB225&gt;=50),37,IF(AND(P225="Impacto",L224=2,AB225&gt;=25),25,IF(AND(P225="Impacto",L224=2,AB225&gt;10),12,IF(AND(L224=1,P225="Impacto",AB225&gt;=75),100,IF(AND(P225="Impacto",L224=1,AB225&gt;=50),75,IF(AND(P225="Impacto",L224=1,AB225&gt;=25),50,IF(AND(P225="Impacto",L224=1,AB225&gt;10),25,IF(AND(P225="Impacto",L224=3,AB225&gt;=75),33.3,IF(AND(P225="Impacto",L224=3,AB225,AB225&gt;=50),25,IF(AND(P225="Impacto",L224=3,AB225&gt;=25),17,IF(AND(P225="Impacto",L224=3,AB225&gt;10),8,0))))))))))))</f>
        <v>0</v>
      </c>
      <c r="AE225" s="235"/>
      <c r="AF225" s="235"/>
      <c r="AG225" s="236"/>
      <c r="AH225" s="236"/>
      <c r="AI225" s="193"/>
      <c r="AJ225" s="237"/>
      <c r="AK225" s="237"/>
      <c r="AL225" s="238"/>
      <c r="AM225" s="233"/>
    </row>
    <row r="226" spans="1:39" ht="73.5" hidden="1" customHeight="1" x14ac:dyDescent="0.4">
      <c r="A226" s="191"/>
      <c r="B226" s="245"/>
      <c r="C226" s="243"/>
      <c r="D226" s="243"/>
      <c r="E226" s="244"/>
      <c r="F226" s="197"/>
      <c r="G226" s="243"/>
      <c r="H226" s="239"/>
      <c r="I226" s="240"/>
      <c r="J226" s="238"/>
      <c r="K226" s="187"/>
      <c r="L226" s="234"/>
      <c r="M226" s="195"/>
      <c r="N226" s="195"/>
      <c r="O226" s="195"/>
      <c r="P226" s="188"/>
      <c r="Q226" s="188"/>
      <c r="R226" s="188" t="str">
        <f t="shared" si="8"/>
        <v/>
      </c>
      <c r="S226" s="188"/>
      <c r="T226" s="188"/>
      <c r="U226" s="188"/>
      <c r="V226" s="188"/>
      <c r="W226" s="188"/>
      <c r="X226" s="190"/>
      <c r="Y226" s="188"/>
      <c r="Z226" s="188"/>
      <c r="AA226" s="188"/>
      <c r="AB226" s="183">
        <f t="shared" si="434"/>
        <v>0</v>
      </c>
      <c r="AC226" s="184">
        <f t="shared" ref="AC226" si="493">IF(AND(L224=2,P226="Probabilidad",AB226&gt;=75),50,IF(AND(P226="Probabilidad",L224=2,AB226&gt;=50),37,IF(AND(P226="Probabilidad",L224=2,AB226&gt;=25),25,IF(AND(P226="Probabilidad",L224=2,AB226&gt;10),12,IF(AND(L224=1,P226="Probabilidad",AB226&gt;=75),100,IF(AND(P226="Probabilidad",L224=1,AB226&gt;=50),75,IF(AND(P226="Probabilidad",L224=1,AB226&gt;=25),50,IF(AND(P226="Probabilidad",L224=1,AB226&gt;10),25,IF(AND(P226="Probabilidad",L224=3,AB226&gt;=75),33.3,IF(AND(P226="Probabilidad",L224=3,AB226,AB226&gt;=50),25,IF(AND(P226="Probabilidad",L224=3,AB226&gt;=25),17,IF(AND(P226="Probabilidad",L224=3,AB226&gt;10),8,0))))))))))))</f>
        <v>0</v>
      </c>
      <c r="AD226" s="184">
        <f t="shared" ref="AD226" si="494">IF(AND(L224=2,P226="Impacto",AB226&gt;=75),50,IF(AND(P226="Impacto",L224=2,AB226&gt;=50),37,IF(AND(P226="Impacto",L224=2,AB226&gt;=25),25,IF(AND(P226="Impacto",L224=2,AB226&gt;10),12,IF(AND(L224=1,P226="Impacto",AB226&gt;=75),100,IF(AND(P226="Impacto",L224=1,AB226&gt;=50),75,IF(AND(P226="Impacto",L224=1,AB226&gt;=25),50,IF(AND(P226="Impacto",L224=1,AB226&gt;10),25,IF(AND(P226="Impacto",L224=3,AB226&gt;=75),33.3,IF(AND(P226="Impacto",L224=3,AB226,AB226&gt;=50),25,IF(AND(P226="Impacto",L224=3,AB226&gt;=25),17,IF(AND(P226="Impacto",L224=3,AB226&gt;10),8,0))))))))))))</f>
        <v>0</v>
      </c>
      <c r="AE226" s="235"/>
      <c r="AF226" s="235"/>
      <c r="AG226" s="236"/>
      <c r="AH226" s="236"/>
      <c r="AI226" s="193"/>
      <c r="AJ226" s="237"/>
      <c r="AK226" s="237"/>
      <c r="AL226" s="238"/>
      <c r="AM226" s="231"/>
    </row>
    <row r="227" spans="1:39" ht="264.95" customHeight="1" x14ac:dyDescent="0.4">
      <c r="A227" s="191"/>
      <c r="B227" s="245">
        <v>70</v>
      </c>
      <c r="C227" s="241" t="s">
        <v>1063</v>
      </c>
      <c r="D227" s="241" t="s">
        <v>1064</v>
      </c>
      <c r="E227" s="244" t="s">
        <v>37</v>
      </c>
      <c r="F227" s="195" t="s">
        <v>1065</v>
      </c>
      <c r="G227" s="241" t="s">
        <v>1066</v>
      </c>
      <c r="H227" s="239" t="s">
        <v>15</v>
      </c>
      <c r="I227" s="240" t="s">
        <v>20</v>
      </c>
      <c r="J227" s="238" t="str">
        <f>IF(ISERROR(VLOOKUP(H227&amp;I227,Hoja1!$C$1:$F$25,4,0)),"",(VLOOKUP(H227&amp;I227,Hoja1!$C$1:$F$25,4,0)))</f>
        <v>Extremo</v>
      </c>
      <c r="K227" s="185" t="s">
        <v>85</v>
      </c>
      <c r="L227" s="234">
        <v>2</v>
      </c>
      <c r="M227" s="195" t="s">
        <v>1080</v>
      </c>
      <c r="N227" s="195" t="s">
        <v>1081</v>
      </c>
      <c r="O227" s="195" t="s">
        <v>1082</v>
      </c>
      <c r="P227" s="188" t="s">
        <v>22</v>
      </c>
      <c r="Q227" s="188" t="s">
        <v>41</v>
      </c>
      <c r="R227" s="195" t="s">
        <v>1092</v>
      </c>
      <c r="S227" s="188" t="s">
        <v>41</v>
      </c>
      <c r="T227" s="189" t="s">
        <v>1095</v>
      </c>
      <c r="U227" s="188" t="s">
        <v>41</v>
      </c>
      <c r="V227" s="188" t="s">
        <v>72</v>
      </c>
      <c r="W227" s="188" t="s">
        <v>101</v>
      </c>
      <c r="X227" s="190" t="s">
        <v>102</v>
      </c>
      <c r="Y227" s="189" t="s">
        <v>108</v>
      </c>
      <c r="Z227" s="188" t="s">
        <v>42</v>
      </c>
      <c r="AA227" s="189" t="s">
        <v>167</v>
      </c>
      <c r="AB227" s="183">
        <f t="shared" ref="AB227:AB229" si="495">SUM(IF(Q227="Si",Q$15,0)+(IF(S227="Si",S$15,0))+IF(U227="Si",U$15,0)+IF(Z227="Si",Z$15,0))</f>
        <v>82</v>
      </c>
      <c r="AC227" s="184">
        <f t="shared" ref="AC227" si="496">IF(AND(L227=2,P227="Probabilidad",AB227&gt;=75),50,IF(AND(P227="Probabilidad",L227=2,AB227&gt;=50),37,IF(AND(P227="Probabilidad",L227=2,AB227&gt;=25),25,IF(AND(P227="Probabilidad",L227=2,AB227&gt;10),12,IF(AND(L227=1,P227="Probabilidad",AB227&gt;=75),100,IF(AND(P227="Probabilidad",L227=1,AB227&gt;=50),75,IF(AND(P227="Probabilidad",L227=1,AB227&gt;=25),50,IF(AND(P227="Probabilidad",L227=1,AB227&gt;10),25,IF(AND(P227="Probabilidad",L227=3,AB227&gt;=75),33.3,IF(AND(P227="Probabilidad",L227=3,AB227,AB227&gt;=50),25,IF(AND(P227="Probabilidad",L227=3,AB227&gt;=25),17,IF(AND(P227="Probabilidad",L227=3,AB227&gt;10),8,0))))))))))))</f>
        <v>50</v>
      </c>
      <c r="AD227" s="184">
        <f t="shared" ref="AD227" si="497">IF(AND(L227=2,P227="Impacto",AB227&gt;=75),50,IF(AND(P227="Impacto",L227=2,AB227&gt;=50),37,IF(AND(P227="Impacto",L227=2,AB227&gt;=25),25,IF(AND(P227="Impacto",L227=2,AB227&gt;10),12,IF(AND(L227=1,P227="Impacto",AB227&gt;=75),100,IF(AND(P227="Impacto",L227=1,AB227&gt;=50),75,IF(AND(P227="Impacto",L227=1,AB227&gt;=25),50,IF(AND(P227="Impacto",L227=1,AB227&gt;10),25,IF(AND(P227="Impacto",L227=3,AB227&gt;=75),33.3,IF(AND(P227="Impacto",L227=3,AB227,AB227&gt;=50),25,IF(AND(P227="Impacto",L227=3,AB227&gt;=25),17,IF(AND(P227="Impacto",L227=3,AB227&gt;10),8,0))))))))))))</f>
        <v>0</v>
      </c>
      <c r="AE227" s="235">
        <f t="shared" ref="AE227" si="498">SUM(AC227:AC229)</f>
        <v>100</v>
      </c>
      <c r="AF227" s="235">
        <f t="shared" ref="AF227" si="499">SUM(AD227:AD229)</f>
        <v>0</v>
      </c>
      <c r="AG227" s="236">
        <f t="shared" ref="AG227" si="500">IF(AE227&gt;75,2,IF(AE227&gt;=30,1,"-"))</f>
        <v>2</v>
      </c>
      <c r="AH227" s="236" t="str">
        <f t="shared" ref="AH227" si="501">IF(AF227&gt;75,2,IF(AF227&gt;=30,1,"-"))</f>
        <v>-</v>
      </c>
      <c r="AI227" s="193"/>
      <c r="AJ227" s="237" t="str">
        <f>IF(AND(AG227=2,H227="Casi seguro"),Hoja1!$J$5,IF(AND(AG227=2,H227="Posible"),Hoja1!$J$6,IF(AND(H227="Improbable",AG227=2),Hoja1!J174,IF(AND(AG227=1,H227="Casi seguro"),Hoja1!$J$4,IF(AND(AG227=1,H227="Posible"),Hoja1!$J$5,IF(AND(AG227=1,H227="Improbable"),Hoja1!$J$6,'FT-Mapa de riesgos'!H227))))))</f>
        <v>Rara Vez</v>
      </c>
      <c r="AK227" s="237" t="str">
        <f>IF(AND(AH227=2,I227="Catastrofico"),Hoja1!$K$5,IF(AND(AH227=2,I227="Mayor"),Hoja1!$K$6,IF(AND(AH227=2,I227="Moderado"),Hoja1!$K$7,IF(AND(AH227=1,I227="Catastrofico"),Hoja1!$K$4,IF(AND(AH227=1,I227="Mayor "),Hoja1!$K$5,IF(AND(AH227=1,I227="Moderado"),Hoja1!$K$6,IF(AND(AH227=2,I227="Menor"),Hoja1!$K$7,'FT-Mapa de riesgos'!I227)))))))</f>
        <v xml:space="preserve">Mayor </v>
      </c>
      <c r="AL227" s="238" t="str">
        <f>IF(ISERROR(VLOOKUP(AJ227&amp;AK227,Hoja1!$C$1:$F$25,4,0)),"",(VLOOKUP(AJ227&amp;AK227,Hoja1!$C$1:$F$25,4,0)))</f>
        <v>Alto</v>
      </c>
      <c r="AM227" s="233" t="s">
        <v>176</v>
      </c>
    </row>
    <row r="228" spans="1:39" ht="264.95" customHeight="1" x14ac:dyDescent="0.4">
      <c r="A228" s="191"/>
      <c r="B228" s="245"/>
      <c r="C228" s="242"/>
      <c r="D228" s="242"/>
      <c r="E228" s="244"/>
      <c r="F228" s="195" t="s">
        <v>1067</v>
      </c>
      <c r="G228" s="242"/>
      <c r="H228" s="239"/>
      <c r="I228" s="240"/>
      <c r="J228" s="238"/>
      <c r="K228" s="185" t="s">
        <v>85</v>
      </c>
      <c r="L228" s="234"/>
      <c r="M228" s="195" t="s">
        <v>1083</v>
      </c>
      <c r="N228" s="195" t="s">
        <v>1081</v>
      </c>
      <c r="O228" s="195" t="s">
        <v>1082</v>
      </c>
      <c r="P228" s="188" t="s">
        <v>22</v>
      </c>
      <c r="Q228" s="188" t="s">
        <v>41</v>
      </c>
      <c r="R228" s="195" t="s">
        <v>1092</v>
      </c>
      <c r="S228" s="188" t="s">
        <v>41</v>
      </c>
      <c r="T228" s="189" t="s">
        <v>1095</v>
      </c>
      <c r="U228" s="188" t="s">
        <v>41</v>
      </c>
      <c r="V228" s="188" t="s">
        <v>72</v>
      </c>
      <c r="W228" s="188" t="s">
        <v>101</v>
      </c>
      <c r="X228" s="190" t="s">
        <v>102</v>
      </c>
      <c r="Y228" s="189" t="s">
        <v>108</v>
      </c>
      <c r="Z228" s="188" t="s">
        <v>42</v>
      </c>
      <c r="AA228" s="189" t="s">
        <v>167</v>
      </c>
      <c r="AB228" s="183">
        <f t="shared" si="495"/>
        <v>82</v>
      </c>
      <c r="AC228" s="184">
        <f t="shared" ref="AC228" si="502">IF(AND(L227=2,P228="Probabilidad",AB228&gt;=75),50,IF(AND(P228="Probabilidad",L227=2,AB228&gt;=50),37,IF(AND(P228="Probabilidad",L227=2,AB228&gt;=25),25,IF(AND(P228="Probabilidad",L227=2,AB228&gt;10),12,IF(AND(L227=1,P228="Probabilidad",AB228&gt;=75),100,IF(AND(P228="Probabilidad",L227=1,AB228&gt;=50),75,IF(AND(P228="Probabilidad",L227=1,AB228&gt;=25),50,IF(AND(P228="Probabilidad",L227=1,AB228&gt;10),25,IF(AND(P228="Probabilidad",L227=3,AB228&gt;=75),33.3,IF(AND(P228="Probabilidad",L227=3,AB228,AB228&gt;=50),25,IF(AND(P228="Probabilidad",L227=3,AB228&gt;=25),17,IF(AND(P228="Probabilidad",L227=3,AB228&gt;10),8,0))))))))))))</f>
        <v>50</v>
      </c>
      <c r="AD228" s="184">
        <f t="shared" ref="AD228" si="503">IF(AND(L227=2,P228="Impacto",AB228&gt;=75),50,IF(AND(P228="Impacto",L227=2,AB228&gt;=50),37,IF(AND(P228="Impacto",L227=2,AB228&gt;=25),25,IF(AND(P228="Impacto",L227=2,AB228&gt;10),12,IF(AND(L227=1,P228="Impacto",AB228&gt;=75),100,IF(AND(P228="Impacto",L227=1,AB228&gt;=50),75,IF(AND(P228="Impacto",L227=1,AB228&gt;=25),50,IF(AND(P228="Impacto",L227=1,AB228&gt;10),25,IF(AND(P228="Impacto",L227=3,AB228&gt;=75),33.3,IF(AND(P228="Impacto",L227=3,AB228,AB228&gt;=50),25,IF(AND(P228="Impacto",L227=3,AB228&gt;=25),17,IF(AND(P228="Impacto",L227=3,AB228&gt;10),8,0))))))))))))</f>
        <v>0</v>
      </c>
      <c r="AE228" s="235"/>
      <c r="AF228" s="235"/>
      <c r="AG228" s="236"/>
      <c r="AH228" s="236"/>
      <c r="AI228" s="193"/>
      <c r="AJ228" s="237"/>
      <c r="AK228" s="237"/>
      <c r="AL228" s="238"/>
      <c r="AM228" s="233"/>
    </row>
    <row r="229" spans="1:39" ht="73.5" hidden="1" customHeight="1" x14ac:dyDescent="0.4">
      <c r="A229" s="191"/>
      <c r="B229" s="245"/>
      <c r="C229" s="243"/>
      <c r="D229" s="243"/>
      <c r="E229" s="244"/>
      <c r="F229" s="197"/>
      <c r="G229" s="243"/>
      <c r="H229" s="239"/>
      <c r="I229" s="240"/>
      <c r="J229" s="238"/>
      <c r="K229" s="187"/>
      <c r="L229" s="234"/>
      <c r="M229" s="195"/>
      <c r="N229" s="195"/>
      <c r="O229" s="195"/>
      <c r="P229" s="188"/>
      <c r="Q229" s="188"/>
      <c r="R229" s="188"/>
      <c r="S229" s="188"/>
      <c r="T229" s="188"/>
      <c r="U229" s="188"/>
      <c r="V229" s="188"/>
      <c r="W229" s="188"/>
      <c r="X229" s="190"/>
      <c r="Y229" s="188"/>
      <c r="Z229" s="188"/>
      <c r="AA229" s="189"/>
      <c r="AB229" s="183">
        <f t="shared" si="495"/>
        <v>0</v>
      </c>
      <c r="AC229" s="184">
        <f t="shared" ref="AC229" si="504">IF(AND(L227=2,P229="Probabilidad",AB229&gt;=75),50,IF(AND(P229="Probabilidad",L227=2,AB229&gt;=50),37,IF(AND(P229="Probabilidad",L227=2,AB229&gt;=25),25,IF(AND(P229="Probabilidad",L227=2,AB229&gt;10),12,IF(AND(L227=1,P229="Probabilidad",AB229&gt;=75),100,IF(AND(P229="Probabilidad",L227=1,AB229&gt;=50),75,IF(AND(P229="Probabilidad",L227=1,AB229&gt;=25),50,IF(AND(P229="Probabilidad",L227=1,AB229&gt;10),25,IF(AND(P229="Probabilidad",L227=3,AB229&gt;=75),33.3,IF(AND(P229="Probabilidad",L227=3,AB229,AB229&gt;=50),25,IF(AND(P229="Probabilidad",L227=3,AB229&gt;=25),17,IF(AND(P229="Probabilidad",L227=3,AB229&gt;10),8,0))))))))))))</f>
        <v>0</v>
      </c>
      <c r="AD229" s="184">
        <f t="shared" ref="AD229" si="505">IF(AND(L227=2,P229="Impacto",AB229&gt;=75),50,IF(AND(P229="Impacto",L227=2,AB229&gt;=50),37,IF(AND(P229="Impacto",L227=2,AB229&gt;=25),25,IF(AND(P229="Impacto",L227=2,AB229&gt;10),12,IF(AND(L227=1,P229="Impacto",AB229&gt;=75),100,IF(AND(P229="Impacto",L227=1,AB229&gt;=50),75,IF(AND(P229="Impacto",L227=1,AB229&gt;=25),50,IF(AND(P229="Impacto",L227=1,AB229&gt;10),25,IF(AND(P229="Impacto",L227=3,AB229&gt;=75),33.3,IF(AND(P229="Impacto",L227=3,AB229,AB229&gt;=50),25,IF(AND(P229="Impacto",L227=3,AB229&gt;=25),17,IF(AND(P229="Impacto",L227=3,AB229&gt;10),8,0))))))))))))</f>
        <v>0</v>
      </c>
      <c r="AE229" s="235"/>
      <c r="AF229" s="235"/>
      <c r="AG229" s="236"/>
      <c r="AH229" s="236"/>
      <c r="AI229" s="193"/>
      <c r="AJ229" s="237"/>
      <c r="AK229" s="237"/>
      <c r="AL229" s="238"/>
      <c r="AM229" s="233"/>
    </row>
    <row r="230" spans="1:39" ht="264.95" customHeight="1" x14ac:dyDescent="0.4">
      <c r="A230" s="191"/>
      <c r="B230" s="245">
        <v>71</v>
      </c>
      <c r="C230" s="241" t="s">
        <v>1068</v>
      </c>
      <c r="D230" s="241" t="s">
        <v>1069</v>
      </c>
      <c r="E230" s="244" t="s">
        <v>37</v>
      </c>
      <c r="F230" s="195" t="s">
        <v>1070</v>
      </c>
      <c r="G230" s="241" t="s">
        <v>735</v>
      </c>
      <c r="H230" s="239" t="s">
        <v>15</v>
      </c>
      <c r="I230" s="240" t="s">
        <v>19</v>
      </c>
      <c r="J230" s="238" t="str">
        <f>IF(ISERROR(VLOOKUP(H230&amp;I230,Hoja1!$C$1:$F$25,4,0)),"",(VLOOKUP(H230&amp;I230,Hoja1!$C$1:$F$25,4,0)))</f>
        <v>Alto</v>
      </c>
      <c r="K230" s="185" t="s">
        <v>85</v>
      </c>
      <c r="L230" s="234">
        <v>2</v>
      </c>
      <c r="M230" s="195" t="s">
        <v>1084</v>
      </c>
      <c r="N230" s="195" t="s">
        <v>1085</v>
      </c>
      <c r="O230" s="195" t="s">
        <v>1082</v>
      </c>
      <c r="P230" s="188" t="s">
        <v>22</v>
      </c>
      <c r="Q230" s="188" t="s">
        <v>41</v>
      </c>
      <c r="R230" s="195" t="s">
        <v>1093</v>
      </c>
      <c r="S230" s="188" t="s">
        <v>41</v>
      </c>
      <c r="T230" s="189" t="s">
        <v>1095</v>
      </c>
      <c r="U230" s="188" t="s">
        <v>41</v>
      </c>
      <c r="V230" s="188" t="s">
        <v>72</v>
      </c>
      <c r="W230" s="188" t="s">
        <v>101</v>
      </c>
      <c r="X230" s="190" t="s">
        <v>102</v>
      </c>
      <c r="Y230" s="189" t="s">
        <v>108</v>
      </c>
      <c r="Z230" s="188" t="s">
        <v>42</v>
      </c>
      <c r="AA230" s="189" t="s">
        <v>167</v>
      </c>
      <c r="AB230" s="183">
        <f t="shared" ref="AB230:AB238" si="506">SUM(IF(Q230="Si",Q$15,0)+(IF(S230="Si",S$15,0))+IF(U230="Si",U$15,0)+IF(Z230="Si",Z$15,0))</f>
        <v>82</v>
      </c>
      <c r="AC230" s="184">
        <f t="shared" ref="AC230:AC238" si="507">IF(AND(L228=2,P230="Probabilidad",AB230&gt;=75),50,IF(AND(P230="Probabilidad",L228=2,AB230&gt;=50),37,IF(AND(P230="Probabilidad",L228=2,AB230&gt;=25),25,IF(AND(P230="Probabilidad",L228=2,AB230&gt;10),12,IF(AND(L228=1,P230="Probabilidad",AB230&gt;=75),100,IF(AND(P230="Probabilidad",L228=1,AB230&gt;=50),75,IF(AND(P230="Probabilidad",L228=1,AB230&gt;=25),50,IF(AND(P230="Probabilidad",L228=1,AB230&gt;10),25,IF(AND(P230="Probabilidad",L228=3,AB230&gt;=75),33.3,IF(AND(P230="Probabilidad",L228=3,AB230,AB230&gt;=50),25,IF(AND(P230="Probabilidad",L228=3,AB230&gt;=25),17,IF(AND(P230="Probabilidad",L228=3,AB230&gt;10),8,0))))))))))))</f>
        <v>0</v>
      </c>
      <c r="AD230" s="184">
        <f t="shared" ref="AD230:AD238" si="508">IF(AND(L228=2,P230="Impacto",AB230&gt;=75),50,IF(AND(P230="Impacto",L228=2,AB230&gt;=50),37,IF(AND(P230="Impacto",L228=2,AB230&gt;=25),25,IF(AND(P230="Impacto",L228=2,AB230&gt;10),12,IF(AND(L228=1,P230="Impacto",AB230&gt;=75),100,IF(AND(P230="Impacto",L228=1,AB230&gt;=50),75,IF(AND(P230="Impacto",L228=1,AB230&gt;=25),50,IF(AND(P230="Impacto",L228=1,AB230&gt;10),25,IF(AND(P230="Impacto",L228=3,AB230&gt;=75),33.3,IF(AND(P230="Impacto",L228=3,AB230,AB230&gt;=50),25,IF(AND(P230="Impacto",L228=3,AB230&gt;=25),17,IF(AND(P230="Impacto",L228=3,AB230&gt;10),8,0))))))))))))</f>
        <v>0</v>
      </c>
      <c r="AE230" s="235">
        <f t="shared" ref="AE230" si="509">SUM(AC230:AC232)</f>
        <v>0</v>
      </c>
      <c r="AF230" s="235">
        <f t="shared" ref="AF230" si="510">SUM(AD230:AD232)</f>
        <v>0</v>
      </c>
      <c r="AG230" s="236" t="str">
        <f t="shared" ref="AG230" si="511">IF(AE230&gt;75,2,IF(AE230&gt;=30,1,"-"))</f>
        <v>-</v>
      </c>
      <c r="AH230" s="236" t="str">
        <f t="shared" ref="AH230" si="512">IF(AF230&gt;75,2,IF(AF230&gt;=30,1,"-"))</f>
        <v>-</v>
      </c>
      <c r="AI230" s="193"/>
      <c r="AJ230" s="237" t="str">
        <f>IF(AND(AG230=2,H230="Casi seguro"),Hoja1!$J$5,IF(AND(AG230=2,H230="Posible"),Hoja1!$J$6,IF(AND(H230="Improbable",AG230=2),Hoja1!J177,IF(AND(AG230=1,H230="Casi seguro"),Hoja1!$J$4,IF(AND(AG230=1,H230="Posible"),Hoja1!$J$5,IF(AND(AG230=1,H230="Improbable"),Hoja1!$J$6,'FT-Mapa de riesgos'!H230))))))</f>
        <v>Posible</v>
      </c>
      <c r="AK230" s="237" t="str">
        <f>IF(AND(AH230=2,I230="Catastrofico"),Hoja1!$K$5,IF(AND(AH230=2,I230="Mayor"),Hoja1!$K$6,IF(AND(AH230=2,I230="Moderado"),Hoja1!$K$7,IF(AND(AH230=1,I230="Catastrofico"),Hoja1!$K$4,IF(AND(AH230=1,I230="Mayor "),Hoja1!$K$5,IF(AND(AH230=1,I230="Moderado"),Hoja1!$K$6,IF(AND(AH230=2,I230="Menor"),Hoja1!$K$7,'FT-Mapa de riesgos'!I230)))))))</f>
        <v>Moderado</v>
      </c>
      <c r="AL230" s="238" t="str">
        <f>IF(ISERROR(VLOOKUP(AJ230&amp;AK230,Hoja1!$C$1:$F$25,4,0)),"",(VLOOKUP(AJ230&amp;AK230,Hoja1!$C$1:$F$25,4,0)))</f>
        <v>Alto</v>
      </c>
      <c r="AM230" s="233"/>
    </row>
    <row r="231" spans="1:39" ht="264.95" customHeight="1" x14ac:dyDescent="0.4">
      <c r="A231" s="191"/>
      <c r="B231" s="245"/>
      <c r="C231" s="242"/>
      <c r="D231" s="242"/>
      <c r="E231" s="244"/>
      <c r="F231" s="195" t="s">
        <v>1071</v>
      </c>
      <c r="G231" s="242"/>
      <c r="H231" s="239"/>
      <c r="I231" s="240"/>
      <c r="J231" s="238"/>
      <c r="K231" s="185" t="s">
        <v>85</v>
      </c>
      <c r="L231" s="234"/>
      <c r="M231" s="195" t="s">
        <v>1086</v>
      </c>
      <c r="N231" s="195" t="s">
        <v>1085</v>
      </c>
      <c r="O231" s="195" t="s">
        <v>1082</v>
      </c>
      <c r="P231" s="188" t="s">
        <v>22</v>
      </c>
      <c r="Q231" s="188" t="s">
        <v>41</v>
      </c>
      <c r="R231" s="195" t="s">
        <v>1093</v>
      </c>
      <c r="S231" s="188" t="s">
        <v>41</v>
      </c>
      <c r="T231" s="189" t="s">
        <v>1095</v>
      </c>
      <c r="U231" s="188" t="s">
        <v>41</v>
      </c>
      <c r="V231" s="188" t="s">
        <v>72</v>
      </c>
      <c r="W231" s="188" t="s">
        <v>101</v>
      </c>
      <c r="X231" s="190" t="s">
        <v>102</v>
      </c>
      <c r="Y231" s="189" t="s">
        <v>108</v>
      </c>
      <c r="Z231" s="188" t="s">
        <v>42</v>
      </c>
      <c r="AA231" s="189" t="s">
        <v>167</v>
      </c>
      <c r="AB231" s="183">
        <f t="shared" si="506"/>
        <v>82</v>
      </c>
      <c r="AC231" s="184">
        <f t="shared" si="507"/>
        <v>0</v>
      </c>
      <c r="AD231" s="184">
        <f t="shared" si="508"/>
        <v>0</v>
      </c>
      <c r="AE231" s="235"/>
      <c r="AF231" s="235"/>
      <c r="AG231" s="236"/>
      <c r="AH231" s="236"/>
      <c r="AI231" s="193"/>
      <c r="AJ231" s="237"/>
      <c r="AK231" s="237"/>
      <c r="AL231" s="238"/>
      <c r="AM231" s="233"/>
    </row>
    <row r="232" spans="1:39" ht="73.5" hidden="1" customHeight="1" x14ac:dyDescent="0.4">
      <c r="A232" s="191"/>
      <c r="B232" s="245"/>
      <c r="C232" s="243"/>
      <c r="D232" s="243"/>
      <c r="E232" s="244"/>
      <c r="F232" s="197"/>
      <c r="G232" s="243"/>
      <c r="H232" s="239"/>
      <c r="I232" s="240"/>
      <c r="J232" s="238"/>
      <c r="K232" s="187"/>
      <c r="L232" s="234"/>
      <c r="M232" s="195"/>
      <c r="N232" s="195"/>
      <c r="O232" s="195"/>
      <c r="P232" s="188"/>
      <c r="Q232" s="188"/>
      <c r="R232" s="188"/>
      <c r="S232" s="188"/>
      <c r="T232" s="188"/>
      <c r="U232" s="188"/>
      <c r="V232" s="188"/>
      <c r="W232" s="188"/>
      <c r="X232" s="190"/>
      <c r="Y232" s="188"/>
      <c r="Z232" s="188"/>
      <c r="AA232" s="189"/>
      <c r="AB232" s="183">
        <f t="shared" si="506"/>
        <v>0</v>
      </c>
      <c r="AC232" s="184">
        <f t="shared" si="507"/>
        <v>0</v>
      </c>
      <c r="AD232" s="184">
        <f t="shared" si="508"/>
        <v>0</v>
      </c>
      <c r="AE232" s="235"/>
      <c r="AF232" s="235"/>
      <c r="AG232" s="236"/>
      <c r="AH232" s="236"/>
      <c r="AI232" s="193"/>
      <c r="AJ232" s="237"/>
      <c r="AK232" s="237"/>
      <c r="AL232" s="238"/>
      <c r="AM232" s="233"/>
    </row>
    <row r="233" spans="1:39" ht="219.95" customHeight="1" x14ac:dyDescent="0.4">
      <c r="A233" s="191"/>
      <c r="B233" s="245">
        <v>72</v>
      </c>
      <c r="C233" s="241" t="s">
        <v>1072</v>
      </c>
      <c r="D233" s="241" t="s">
        <v>1073</v>
      </c>
      <c r="E233" s="244" t="s">
        <v>37</v>
      </c>
      <c r="F233" s="207" t="s">
        <v>1074</v>
      </c>
      <c r="G233" s="241" t="s">
        <v>1075</v>
      </c>
      <c r="H233" s="239" t="s">
        <v>14</v>
      </c>
      <c r="I233" s="240" t="s">
        <v>20</v>
      </c>
      <c r="J233" s="238" t="str">
        <f>IF(ISERROR(VLOOKUP(H233&amp;I233,Hoja1!$C$1:$F$25,4,0)),"",(VLOOKUP(H233&amp;I233,Hoja1!$C$1:$F$25,4,0)))</f>
        <v>Alto</v>
      </c>
      <c r="K233" s="185" t="s">
        <v>85</v>
      </c>
      <c r="L233" s="234">
        <v>2</v>
      </c>
      <c r="M233" s="195" t="s">
        <v>1087</v>
      </c>
      <c r="N233" s="195" t="s">
        <v>1088</v>
      </c>
      <c r="O233" s="195" t="s">
        <v>1082</v>
      </c>
      <c r="P233" s="188" t="s">
        <v>22</v>
      </c>
      <c r="Q233" s="188" t="s">
        <v>41</v>
      </c>
      <c r="R233" s="189" t="s">
        <v>1094</v>
      </c>
      <c r="S233" s="188" t="s">
        <v>41</v>
      </c>
      <c r="T233" s="189" t="s">
        <v>1095</v>
      </c>
      <c r="U233" s="188" t="s">
        <v>41</v>
      </c>
      <c r="V233" s="188" t="s">
        <v>72</v>
      </c>
      <c r="W233" s="188" t="s">
        <v>101</v>
      </c>
      <c r="X233" s="190" t="s">
        <v>102</v>
      </c>
      <c r="Y233" s="189" t="s">
        <v>108</v>
      </c>
      <c r="Z233" s="188" t="s">
        <v>42</v>
      </c>
      <c r="AA233" s="189" t="s">
        <v>167</v>
      </c>
      <c r="AB233" s="183">
        <f t="shared" si="506"/>
        <v>82</v>
      </c>
      <c r="AC233" s="184">
        <f t="shared" si="507"/>
        <v>0</v>
      </c>
      <c r="AD233" s="184">
        <f t="shared" si="508"/>
        <v>0</v>
      </c>
      <c r="AE233" s="235">
        <f t="shared" ref="AE233" si="513">SUM(AC233:AC235)</f>
        <v>0</v>
      </c>
      <c r="AF233" s="235">
        <f t="shared" ref="AF233" si="514">SUM(AD233:AD235)</f>
        <v>0</v>
      </c>
      <c r="AG233" s="236" t="str">
        <f t="shared" ref="AG233" si="515">IF(AE233&gt;75,2,IF(AE233&gt;=30,1,"-"))</f>
        <v>-</v>
      </c>
      <c r="AH233" s="236" t="str">
        <f t="shared" ref="AH233" si="516">IF(AF233&gt;75,2,IF(AF233&gt;=30,1,"-"))</f>
        <v>-</v>
      </c>
      <c r="AI233" s="193"/>
      <c r="AJ233" s="237" t="str">
        <f>IF(AND(AG233=2,H233="Casi seguro"),Hoja1!$J$5,IF(AND(AG233=2,H233="Posible"),Hoja1!$J$6,IF(AND(H233="Improbable",AG233=2),Hoja1!J60,IF(AND(AG233=1,H233="Casi seguro"),Hoja1!$J$4,IF(AND(AG233=1,H233="Posible"),Hoja1!$J$5,IF(AND(AG233=1,H233="Improbable"),Hoja1!$J$6,'FT-Mapa de riesgos'!H233))))))</f>
        <v>Improbable</v>
      </c>
      <c r="AK233" s="237" t="str">
        <f>IF(AND(AH233=2,I233="Catastrofico"),Hoja1!$K$5,IF(AND(AH233=2,I233="Mayor"),Hoja1!$K$6,IF(AND(AH233=2,I233="Moderado"),Hoja1!$K$7,IF(AND(AH233=1,I233="Catastrofico"),Hoja1!$K$4,IF(AND(AH233=1,I233="Mayor "),Hoja1!$K$5,IF(AND(AH233=1,I233="Moderado"),Hoja1!$K$6,IF(AND(AH233=2,I233="Menor"),Hoja1!$K$7,'FT-Mapa de riesgos'!I233)))))))</f>
        <v xml:space="preserve">Mayor </v>
      </c>
      <c r="AL233" s="238" t="str">
        <f>IF(ISERROR(VLOOKUP(AJ233&amp;AK233,Hoja1!$C$1:$F$25,4,0)),"",(VLOOKUP(AJ233&amp;AK233,Hoja1!$C$1:$F$25,4,0)))</f>
        <v>Alto</v>
      </c>
      <c r="AM233" s="233"/>
    </row>
    <row r="234" spans="1:39" ht="219.95" customHeight="1" x14ac:dyDescent="0.4">
      <c r="A234" s="191"/>
      <c r="B234" s="245"/>
      <c r="C234" s="242"/>
      <c r="D234" s="242"/>
      <c r="E234" s="244"/>
      <c r="F234" s="197"/>
      <c r="G234" s="242"/>
      <c r="H234" s="239"/>
      <c r="I234" s="240"/>
      <c r="J234" s="238"/>
      <c r="K234" s="185" t="s">
        <v>85</v>
      </c>
      <c r="L234" s="234"/>
      <c r="M234" s="195" t="s">
        <v>1089</v>
      </c>
      <c r="N234" s="195" t="s">
        <v>1088</v>
      </c>
      <c r="O234" s="195" t="s">
        <v>1082</v>
      </c>
      <c r="P234" s="188" t="s">
        <v>22</v>
      </c>
      <c r="Q234" s="188" t="s">
        <v>41</v>
      </c>
      <c r="R234" s="189" t="s">
        <v>1094</v>
      </c>
      <c r="S234" s="188" t="s">
        <v>41</v>
      </c>
      <c r="T234" s="189" t="s">
        <v>1095</v>
      </c>
      <c r="U234" s="188" t="s">
        <v>41</v>
      </c>
      <c r="V234" s="188" t="s">
        <v>72</v>
      </c>
      <c r="W234" s="188" t="s">
        <v>101</v>
      </c>
      <c r="X234" s="190" t="s">
        <v>102</v>
      </c>
      <c r="Y234" s="189" t="s">
        <v>108</v>
      </c>
      <c r="Z234" s="188" t="s">
        <v>42</v>
      </c>
      <c r="AA234" s="189" t="s">
        <v>167</v>
      </c>
      <c r="AB234" s="183">
        <f t="shared" si="506"/>
        <v>82</v>
      </c>
      <c r="AC234" s="184">
        <f t="shared" si="507"/>
        <v>0</v>
      </c>
      <c r="AD234" s="184">
        <f t="shared" si="508"/>
        <v>0</v>
      </c>
      <c r="AE234" s="235"/>
      <c r="AF234" s="235"/>
      <c r="AG234" s="236"/>
      <c r="AH234" s="236"/>
      <c r="AI234" s="193"/>
      <c r="AJ234" s="237"/>
      <c r="AK234" s="237"/>
      <c r="AL234" s="238"/>
      <c r="AM234" s="233"/>
    </row>
    <row r="235" spans="1:39" ht="73.5" hidden="1" customHeight="1" x14ac:dyDescent="0.4">
      <c r="A235" s="191"/>
      <c r="B235" s="245"/>
      <c r="C235" s="243"/>
      <c r="D235" s="243"/>
      <c r="E235" s="244"/>
      <c r="F235" s="197"/>
      <c r="G235" s="243"/>
      <c r="H235" s="239"/>
      <c r="I235" s="240"/>
      <c r="J235" s="238"/>
      <c r="K235" s="187"/>
      <c r="L235" s="234"/>
      <c r="M235" s="212"/>
      <c r="N235" s="212"/>
      <c r="O235" s="212"/>
      <c r="P235" s="188"/>
      <c r="Q235" s="188"/>
      <c r="R235" s="188" t="str">
        <f t="shared" si="8"/>
        <v/>
      </c>
      <c r="S235" s="188"/>
      <c r="T235" s="188"/>
      <c r="U235" s="188"/>
      <c r="V235" s="188"/>
      <c r="W235" s="188"/>
      <c r="X235" s="190"/>
      <c r="Y235" s="188"/>
      <c r="Z235" s="188"/>
      <c r="AA235" s="189"/>
      <c r="AB235" s="183">
        <f t="shared" si="506"/>
        <v>0</v>
      </c>
      <c r="AC235" s="184">
        <f t="shared" si="507"/>
        <v>0</v>
      </c>
      <c r="AD235" s="184">
        <f t="shared" si="508"/>
        <v>0</v>
      </c>
      <c r="AE235" s="235"/>
      <c r="AF235" s="235"/>
      <c r="AG235" s="236"/>
      <c r="AH235" s="236"/>
      <c r="AI235" s="193"/>
      <c r="AJ235" s="237"/>
      <c r="AK235" s="237"/>
      <c r="AL235" s="238"/>
      <c r="AM235" s="233"/>
    </row>
    <row r="236" spans="1:39" ht="300" customHeight="1" x14ac:dyDescent="0.4">
      <c r="A236" s="191"/>
      <c r="B236" s="245">
        <v>73</v>
      </c>
      <c r="C236" s="241" t="s">
        <v>1076</v>
      </c>
      <c r="D236" s="241" t="s">
        <v>1077</v>
      </c>
      <c r="E236" s="244" t="s">
        <v>37</v>
      </c>
      <c r="F236" s="195" t="s">
        <v>1078</v>
      </c>
      <c r="G236" s="241" t="s">
        <v>1079</v>
      </c>
      <c r="H236" s="239" t="s">
        <v>15</v>
      </c>
      <c r="I236" s="240" t="s">
        <v>20</v>
      </c>
      <c r="J236" s="238" t="str">
        <f>IF(ISERROR(VLOOKUP(H236&amp;I236,Hoja1!$C$1:$F$25,4,0)),"",(VLOOKUP(H236&amp;I236,Hoja1!$C$1:$F$25,4,0)))</f>
        <v>Extremo</v>
      </c>
      <c r="K236" s="185" t="s">
        <v>85</v>
      </c>
      <c r="L236" s="234">
        <v>1</v>
      </c>
      <c r="M236" s="195" t="s">
        <v>1090</v>
      </c>
      <c r="N236" s="195" t="s">
        <v>1091</v>
      </c>
      <c r="O236" s="195" t="s">
        <v>1082</v>
      </c>
      <c r="P236" s="188" t="s">
        <v>22</v>
      </c>
      <c r="Q236" s="188" t="s">
        <v>42</v>
      </c>
      <c r="R236" s="188" t="str">
        <f t="shared" si="8"/>
        <v>N/A</v>
      </c>
      <c r="S236" s="188" t="s">
        <v>41</v>
      </c>
      <c r="T236" s="189" t="s">
        <v>1095</v>
      </c>
      <c r="U236" s="188" t="s">
        <v>41</v>
      </c>
      <c r="V236" s="188" t="s">
        <v>152</v>
      </c>
      <c r="W236" s="188" t="s">
        <v>101</v>
      </c>
      <c r="X236" s="190" t="s">
        <v>102</v>
      </c>
      <c r="Y236" s="189" t="s">
        <v>108</v>
      </c>
      <c r="Z236" s="188" t="s">
        <v>42</v>
      </c>
      <c r="AA236" s="189" t="s">
        <v>167</v>
      </c>
      <c r="AB236" s="183">
        <f t="shared" si="506"/>
        <v>50</v>
      </c>
      <c r="AC236" s="184">
        <f t="shared" si="507"/>
        <v>0</v>
      </c>
      <c r="AD236" s="184">
        <f t="shared" si="508"/>
        <v>0</v>
      </c>
      <c r="AE236" s="235">
        <f>SUM(AC236:AC238)</f>
        <v>0</v>
      </c>
      <c r="AF236" s="235">
        <f>SUM(AD236:AD238)</f>
        <v>0</v>
      </c>
      <c r="AG236" s="236" t="str">
        <f>IF(AE236&gt;75,2,IF(AE236&gt;=30,1,"-"))</f>
        <v>-</v>
      </c>
      <c r="AH236" s="236" t="str">
        <f>IF(AF236&gt;75,2,IF(AF236&gt;=30,1,"-"))</f>
        <v>-</v>
      </c>
      <c r="AI236" s="193"/>
      <c r="AJ236" s="237" t="str">
        <f>IF(AND(AG236=2,H236="Casi seguro"),Hoja1!$J$5,IF(AND(AG236=2,H236="Posible"),Hoja1!$J$6,IF(AND(H236="Improbable",AG236=2),Hoja1!J33,IF(AND(AG236=1,H236="Casi seguro"),Hoja1!$J$4,IF(AND(AG236=1,H236="Posible"),Hoja1!$J$5,IF(AND(AG236=1,H236="Improbable"),Hoja1!$J$6,'FT-Mapa de riesgos'!H236))))))</f>
        <v>Posible</v>
      </c>
      <c r="AK236" s="237" t="str">
        <f>IF(AND(AH236=2,I236="Catastrofico"),Hoja1!$K$5,IF(AND(AH236=2,I236="Mayor"),Hoja1!$K$6,IF(AND(AH236=2,I236="Moderado"),Hoja1!$K$7,IF(AND(AH236=1,I236="Catastrofico"),Hoja1!$K$4,IF(AND(AH236=1,I236="Mayor "),Hoja1!$K$5,IF(AND(AH236=1,I236="Moderado"),Hoja1!$K$6,IF(AND(AH236=2,I236="Menor"),Hoja1!$K$7,'FT-Mapa de riesgos'!I236)))))))</f>
        <v xml:space="preserve">Mayor </v>
      </c>
      <c r="AL236" s="238" t="str">
        <f>IF(ISERROR(VLOOKUP(AJ236&amp;AK236,Hoja1!$C$1:$F$25,4,0)),"",(VLOOKUP(AJ236&amp;AK236,Hoja1!$C$1:$F$25,4,0)))</f>
        <v>Extremo</v>
      </c>
      <c r="AM236" s="233"/>
    </row>
    <row r="237" spans="1:39" ht="73.5" hidden="1" customHeight="1" x14ac:dyDescent="0.4">
      <c r="A237" s="191"/>
      <c r="B237" s="245"/>
      <c r="C237" s="242"/>
      <c r="D237" s="242"/>
      <c r="E237" s="244"/>
      <c r="F237" s="198"/>
      <c r="G237" s="242"/>
      <c r="H237" s="239"/>
      <c r="I237" s="240"/>
      <c r="J237" s="238"/>
      <c r="K237" s="185"/>
      <c r="L237" s="234"/>
      <c r="M237" s="194"/>
      <c r="N237" s="194"/>
      <c r="O237" s="194"/>
      <c r="P237" s="188"/>
      <c r="Q237" s="188"/>
      <c r="R237" s="188" t="str">
        <f t="shared" si="8"/>
        <v/>
      </c>
      <c r="S237" s="188"/>
      <c r="T237" s="188" t="str">
        <f t="shared" si="10"/>
        <v/>
      </c>
      <c r="U237" s="188"/>
      <c r="V237" s="188"/>
      <c r="W237" s="188"/>
      <c r="X237" s="188"/>
      <c r="Y237" s="188"/>
      <c r="Z237" s="188"/>
      <c r="AA237" s="188" t="str">
        <f t="shared" si="11"/>
        <v/>
      </c>
      <c r="AB237" s="183">
        <f t="shared" si="506"/>
        <v>0</v>
      </c>
      <c r="AC237" s="184">
        <f t="shared" si="507"/>
        <v>0</v>
      </c>
      <c r="AD237" s="184">
        <f t="shared" si="508"/>
        <v>0</v>
      </c>
      <c r="AE237" s="235"/>
      <c r="AF237" s="235"/>
      <c r="AG237" s="236"/>
      <c r="AH237" s="236"/>
      <c r="AI237" s="193"/>
      <c r="AJ237" s="237"/>
      <c r="AK237" s="237"/>
      <c r="AL237" s="238"/>
      <c r="AM237" s="231"/>
    </row>
    <row r="238" spans="1:39" ht="73.5" hidden="1" customHeight="1" x14ac:dyDescent="0.4">
      <c r="A238" s="191"/>
      <c r="B238" s="245"/>
      <c r="C238" s="243"/>
      <c r="D238" s="243"/>
      <c r="E238" s="244"/>
      <c r="F238" s="198"/>
      <c r="G238" s="243"/>
      <c r="H238" s="239"/>
      <c r="I238" s="240"/>
      <c r="J238" s="238"/>
      <c r="K238" s="187"/>
      <c r="L238" s="234"/>
      <c r="M238" s="194"/>
      <c r="N238" s="194"/>
      <c r="O238" s="194"/>
      <c r="P238" s="188"/>
      <c r="Q238" s="188"/>
      <c r="R238" s="188" t="str">
        <f t="shared" si="8"/>
        <v/>
      </c>
      <c r="S238" s="188"/>
      <c r="T238" s="188" t="str">
        <f t="shared" si="10"/>
        <v/>
      </c>
      <c r="U238" s="188"/>
      <c r="V238" s="188"/>
      <c r="W238" s="188"/>
      <c r="X238" s="188"/>
      <c r="Y238" s="188"/>
      <c r="Z238" s="188"/>
      <c r="AA238" s="188" t="str">
        <f t="shared" si="11"/>
        <v/>
      </c>
      <c r="AB238" s="183">
        <f t="shared" si="506"/>
        <v>0</v>
      </c>
      <c r="AC238" s="184">
        <f t="shared" si="507"/>
        <v>0</v>
      </c>
      <c r="AD238" s="184">
        <f t="shared" si="508"/>
        <v>0</v>
      </c>
      <c r="AE238" s="235"/>
      <c r="AF238" s="235"/>
      <c r="AG238" s="236"/>
      <c r="AH238" s="236"/>
      <c r="AI238" s="193"/>
      <c r="AJ238" s="237"/>
      <c r="AK238" s="237"/>
      <c r="AL238" s="238"/>
      <c r="AM238" s="232"/>
    </row>
    <row r="239" spans="1:39" s="10" customFormat="1" ht="40.5" customHeight="1" x14ac:dyDescent="0.2">
      <c r="B239" s="162"/>
      <c r="C239" s="163"/>
      <c r="D239" s="163"/>
      <c r="E239" s="164"/>
      <c r="F239" s="163"/>
      <c r="G239" s="163"/>
      <c r="H239" s="165"/>
      <c r="I239" s="166"/>
      <c r="J239" s="167"/>
      <c r="K239" s="167"/>
      <c r="L239" s="168"/>
      <c r="M239" s="169"/>
      <c r="N239" s="169"/>
      <c r="O239" s="169"/>
      <c r="P239" s="166"/>
      <c r="Q239" s="166"/>
      <c r="R239" s="166"/>
      <c r="S239" s="166"/>
      <c r="T239" s="166"/>
      <c r="U239" s="166"/>
      <c r="V239" s="166"/>
      <c r="W239" s="166"/>
      <c r="X239" s="166"/>
      <c r="Y239" s="166"/>
      <c r="Z239" s="166"/>
      <c r="AA239" s="166"/>
      <c r="AB239" s="170"/>
      <c r="AC239" s="171"/>
      <c r="AD239" s="171"/>
      <c r="AE239" s="172"/>
      <c r="AF239" s="170"/>
      <c r="AG239" s="166"/>
      <c r="AH239" s="166"/>
      <c r="AI239" s="166"/>
      <c r="AJ239" s="167"/>
      <c r="AK239" s="167"/>
      <c r="AL239" s="167"/>
      <c r="AM239" s="161"/>
    </row>
    <row r="240" spans="1:39" s="10" customFormat="1" ht="15" x14ac:dyDescent="0.25">
      <c r="P240"/>
      <c r="Q240"/>
      <c r="R240"/>
      <c r="S240"/>
      <c r="T240"/>
      <c r="U240"/>
    </row>
    <row r="241" spans="16:21" s="10" customFormat="1" ht="15" x14ac:dyDescent="0.25">
      <c r="P241"/>
      <c r="Q241"/>
      <c r="R241"/>
      <c r="S241"/>
      <c r="T241"/>
      <c r="U241"/>
    </row>
    <row r="242" spans="16:21" s="10" customFormat="1" ht="15" x14ac:dyDescent="0.25">
      <c r="P242"/>
      <c r="Q242"/>
      <c r="R242"/>
      <c r="S242"/>
      <c r="T242"/>
      <c r="U242"/>
    </row>
    <row r="243" spans="16:21" s="10" customFormat="1" x14ac:dyDescent="0.2"/>
    <row r="244" spans="16:21" s="10" customFormat="1" x14ac:dyDescent="0.2"/>
    <row r="245" spans="16:21" s="10" customFormat="1" x14ac:dyDescent="0.2"/>
    <row r="246" spans="16:21" s="10" customFormat="1" x14ac:dyDescent="0.2"/>
    <row r="247" spans="16:21" s="10" customFormat="1" x14ac:dyDescent="0.2"/>
    <row r="248" spans="16:21" s="10" customFormat="1" x14ac:dyDescent="0.2"/>
    <row r="249" spans="16:21" s="10" customFormat="1" x14ac:dyDescent="0.2"/>
    <row r="250" spans="16:21" s="10" customFormat="1" x14ac:dyDescent="0.2"/>
    <row r="251" spans="16:21" s="10" customFormat="1" x14ac:dyDescent="0.2"/>
    <row r="252" spans="16:21" s="10" customFormat="1" x14ac:dyDescent="0.2"/>
    <row r="253" spans="16:21" s="10" customFormat="1" x14ac:dyDescent="0.2"/>
    <row r="254" spans="16:21" s="10" customFormat="1" x14ac:dyDescent="0.2"/>
    <row r="255" spans="16:21" s="10" customFormat="1" x14ac:dyDescent="0.2"/>
    <row r="256" spans="16:21" s="10" customFormat="1" x14ac:dyDescent="0.2"/>
    <row r="257" s="10" customFormat="1" x14ac:dyDescent="0.2"/>
    <row r="258" s="10" customFormat="1" x14ac:dyDescent="0.2"/>
    <row r="259" s="10" customFormat="1" x14ac:dyDescent="0.2"/>
    <row r="260" s="10" customFormat="1" x14ac:dyDescent="0.2"/>
    <row r="261" s="10" customFormat="1" x14ac:dyDescent="0.2"/>
    <row r="262" s="10" customFormat="1" x14ac:dyDescent="0.2"/>
    <row r="263" s="10" customFormat="1" x14ac:dyDescent="0.2"/>
    <row r="264" s="10" customFormat="1" x14ac:dyDescent="0.2"/>
    <row r="265" s="10" customFormat="1" x14ac:dyDescent="0.2"/>
    <row r="266" s="10" customFormat="1" x14ac:dyDescent="0.2"/>
    <row r="267" s="10" customFormat="1" x14ac:dyDescent="0.2"/>
    <row r="268" s="10" customFormat="1" x14ac:dyDescent="0.2"/>
    <row r="269" s="10" customFormat="1" x14ac:dyDescent="0.2"/>
    <row r="270" s="10" customFormat="1" x14ac:dyDescent="0.2"/>
    <row r="271" s="10" customFormat="1" x14ac:dyDescent="0.2"/>
    <row r="272" s="10" customFormat="1" x14ac:dyDescent="0.2"/>
    <row r="273" s="10" customFormat="1" x14ac:dyDescent="0.2"/>
    <row r="274" s="10" customFormat="1" x14ac:dyDescent="0.2"/>
    <row r="275" s="10" customFormat="1" x14ac:dyDescent="0.2"/>
    <row r="276" s="10" customFormat="1" x14ac:dyDescent="0.2"/>
    <row r="277" s="10" customFormat="1" x14ac:dyDescent="0.2"/>
    <row r="278" s="10" customFormat="1" x14ac:dyDescent="0.2"/>
    <row r="279" s="10" customFormat="1" x14ac:dyDescent="0.2"/>
    <row r="280" s="10" customFormat="1" x14ac:dyDescent="0.2"/>
    <row r="281" s="10" customFormat="1" x14ac:dyDescent="0.2"/>
    <row r="282" s="10" customFormat="1" x14ac:dyDescent="0.2"/>
    <row r="283" s="10" customFormat="1" x14ac:dyDescent="0.2"/>
    <row r="284" s="10" customFormat="1" x14ac:dyDescent="0.2"/>
    <row r="285" s="10" customFormat="1" x14ac:dyDescent="0.2"/>
    <row r="286" s="10" customFormat="1" x14ac:dyDescent="0.2"/>
    <row r="287" s="10" customFormat="1" x14ac:dyDescent="0.2"/>
    <row r="288" s="10" customFormat="1" x14ac:dyDescent="0.2"/>
    <row r="289" s="10" customFormat="1" x14ac:dyDescent="0.2"/>
    <row r="290" s="10" customFormat="1" x14ac:dyDescent="0.2"/>
    <row r="291" s="10" customFormat="1" x14ac:dyDescent="0.2"/>
    <row r="292" s="10" customFormat="1" x14ac:dyDescent="0.2"/>
    <row r="293" s="10" customFormat="1" x14ac:dyDescent="0.2"/>
    <row r="294" s="10" customFormat="1" x14ac:dyDescent="0.2"/>
    <row r="295" s="10" customFormat="1" x14ac:dyDescent="0.2"/>
    <row r="296" s="10" customFormat="1" x14ac:dyDescent="0.2"/>
    <row r="297" s="10" customFormat="1" x14ac:dyDescent="0.2"/>
    <row r="298" s="10" customFormat="1" x14ac:dyDescent="0.2"/>
    <row r="299" s="10" customFormat="1" x14ac:dyDescent="0.2"/>
    <row r="300" s="10" customFormat="1" x14ac:dyDescent="0.2"/>
    <row r="301" s="10" customFormat="1" x14ac:dyDescent="0.2"/>
    <row r="302" s="10" customFormat="1" x14ac:dyDescent="0.2"/>
    <row r="303" s="10" customFormat="1" x14ac:dyDescent="0.2"/>
    <row r="304" s="10" customFormat="1" x14ac:dyDescent="0.2"/>
    <row r="305" s="10" customFormat="1" x14ac:dyDescent="0.2"/>
    <row r="306" s="10" customFormat="1" x14ac:dyDescent="0.2"/>
    <row r="307" s="10" customFormat="1" x14ac:dyDescent="0.2"/>
    <row r="308" s="10" customFormat="1" x14ac:dyDescent="0.2"/>
    <row r="309" s="10" customFormat="1" x14ac:dyDescent="0.2"/>
    <row r="310" s="10" customFormat="1" x14ac:dyDescent="0.2"/>
    <row r="311" s="10" customFormat="1" x14ac:dyDescent="0.2"/>
    <row r="312" s="10" customFormat="1" x14ac:dyDescent="0.2"/>
    <row r="313" s="10" customFormat="1" x14ac:dyDescent="0.2"/>
    <row r="314" s="10" customFormat="1" x14ac:dyDescent="0.2"/>
    <row r="315" s="10" customFormat="1" x14ac:dyDescent="0.2"/>
    <row r="316" s="10" customFormat="1" x14ac:dyDescent="0.2"/>
    <row r="317" s="10" customFormat="1" x14ac:dyDescent="0.2"/>
    <row r="318" s="10" customFormat="1" x14ac:dyDescent="0.2"/>
    <row r="319" s="10" customFormat="1" x14ac:dyDescent="0.2"/>
    <row r="320" s="10" customFormat="1" x14ac:dyDescent="0.2"/>
    <row r="321" s="10" customFormat="1" x14ac:dyDescent="0.2"/>
    <row r="322" s="10" customFormat="1" x14ac:dyDescent="0.2"/>
    <row r="323" s="10" customFormat="1" x14ac:dyDescent="0.2"/>
    <row r="324" s="10" customFormat="1" x14ac:dyDescent="0.2"/>
    <row r="325" s="10" customFormat="1" x14ac:dyDescent="0.2"/>
    <row r="326" s="10" customFormat="1" x14ac:dyDescent="0.2"/>
    <row r="327" s="10" customFormat="1" x14ac:dyDescent="0.2"/>
    <row r="328" s="10" customFormat="1" x14ac:dyDescent="0.2"/>
    <row r="329" s="10" customFormat="1" x14ac:dyDescent="0.2"/>
    <row r="330" s="10" customFormat="1" x14ac:dyDescent="0.2"/>
    <row r="331" s="10" customFormat="1" x14ac:dyDescent="0.2"/>
    <row r="332" s="10" customFormat="1" x14ac:dyDescent="0.2"/>
    <row r="333" s="10" customFormat="1" x14ac:dyDescent="0.2"/>
    <row r="334" s="10" customFormat="1" x14ac:dyDescent="0.2"/>
    <row r="335" s="10" customFormat="1" x14ac:dyDescent="0.2"/>
    <row r="336" s="10" customFormat="1" x14ac:dyDescent="0.2"/>
    <row r="337" s="10" customFormat="1" x14ac:dyDescent="0.2"/>
    <row r="338" s="10" customFormat="1" x14ac:dyDescent="0.2"/>
    <row r="339" s="10" customFormat="1" x14ac:dyDescent="0.2"/>
    <row r="340" s="10" customFormat="1" x14ac:dyDescent="0.2"/>
    <row r="341" s="10" customFormat="1" x14ac:dyDescent="0.2"/>
    <row r="342" s="10" customFormat="1" x14ac:dyDescent="0.2"/>
    <row r="343" s="10" customFormat="1" x14ac:dyDescent="0.2"/>
    <row r="344" s="10" customFormat="1" x14ac:dyDescent="0.2"/>
    <row r="345" s="10" customFormat="1" x14ac:dyDescent="0.2"/>
    <row r="346" s="10" customFormat="1" x14ac:dyDescent="0.2"/>
    <row r="347" s="10" customFormat="1" x14ac:dyDescent="0.2"/>
    <row r="348" s="10" customFormat="1" x14ac:dyDescent="0.2"/>
    <row r="349" s="10" customFormat="1" x14ac:dyDescent="0.2"/>
    <row r="350" s="10" customFormat="1" x14ac:dyDescent="0.2"/>
    <row r="351" s="10" customFormat="1" x14ac:dyDescent="0.2"/>
    <row r="352" s="10" customFormat="1" x14ac:dyDescent="0.2"/>
    <row r="353" s="10" customFormat="1" x14ac:dyDescent="0.2"/>
    <row r="354" s="10" customFormat="1" x14ac:dyDescent="0.2"/>
    <row r="355" s="10" customFormat="1" x14ac:dyDescent="0.2"/>
    <row r="356" s="10" customFormat="1" x14ac:dyDescent="0.2"/>
    <row r="357" s="10" customFormat="1" x14ac:dyDescent="0.2"/>
    <row r="358" s="10" customFormat="1" x14ac:dyDescent="0.2"/>
    <row r="359" s="10" customFormat="1" x14ac:dyDescent="0.2"/>
    <row r="360" s="10" customFormat="1" x14ac:dyDescent="0.2"/>
    <row r="361" s="10" customFormat="1" x14ac:dyDescent="0.2"/>
    <row r="362" s="10" customFormat="1" x14ac:dyDescent="0.2"/>
    <row r="363" s="10" customFormat="1" x14ac:dyDescent="0.2"/>
    <row r="364" s="10" customFormat="1" x14ac:dyDescent="0.2"/>
    <row r="365" s="10" customFormat="1" x14ac:dyDescent="0.2"/>
    <row r="366" s="10" customFormat="1" x14ac:dyDescent="0.2"/>
    <row r="367" s="10" customFormat="1" x14ac:dyDescent="0.2"/>
    <row r="368" s="10" customFormat="1" x14ac:dyDescent="0.2"/>
    <row r="369" s="10" customFormat="1" x14ac:dyDescent="0.2"/>
    <row r="370" s="10" customFormat="1" x14ac:dyDescent="0.2"/>
    <row r="371" s="10" customFormat="1" x14ac:dyDescent="0.2"/>
    <row r="372" s="10" customFormat="1" x14ac:dyDescent="0.2"/>
    <row r="373" s="10" customFormat="1" x14ac:dyDescent="0.2"/>
    <row r="374" s="10" customFormat="1" x14ac:dyDescent="0.2"/>
    <row r="375" s="10" customFormat="1" x14ac:dyDescent="0.2"/>
    <row r="376" s="10" customFormat="1" x14ac:dyDescent="0.2"/>
    <row r="377" s="10" customFormat="1" x14ac:dyDescent="0.2"/>
    <row r="378" s="10" customFormat="1" x14ac:dyDescent="0.2"/>
    <row r="379" s="10" customFormat="1" x14ac:dyDescent="0.2"/>
    <row r="380" s="10" customFormat="1" x14ac:dyDescent="0.2"/>
    <row r="381" s="10" customFormat="1" x14ac:dyDescent="0.2"/>
    <row r="382" s="10" customFormat="1" x14ac:dyDescent="0.2"/>
    <row r="383" s="10" customFormat="1" x14ac:dyDescent="0.2"/>
    <row r="384" s="10" customFormat="1" x14ac:dyDescent="0.2"/>
    <row r="385" s="10" customFormat="1" x14ac:dyDescent="0.2"/>
    <row r="386" s="10" customFormat="1" x14ac:dyDescent="0.2"/>
    <row r="387" s="10" customFormat="1" x14ac:dyDescent="0.2"/>
    <row r="388" s="10" customFormat="1" x14ac:dyDescent="0.2"/>
    <row r="389" s="10" customFormat="1" x14ac:dyDescent="0.2"/>
    <row r="390" s="10" customFormat="1" x14ac:dyDescent="0.2"/>
    <row r="391" s="10" customFormat="1" x14ac:dyDescent="0.2"/>
    <row r="392" s="10" customFormat="1" x14ac:dyDescent="0.2"/>
    <row r="393" s="10" customFormat="1" x14ac:dyDescent="0.2"/>
    <row r="394" s="10" customFormat="1" x14ac:dyDescent="0.2"/>
    <row r="395" s="10" customFormat="1" x14ac:dyDescent="0.2"/>
    <row r="396" s="10" customFormat="1" x14ac:dyDescent="0.2"/>
    <row r="397" s="10" customFormat="1" x14ac:dyDescent="0.2"/>
    <row r="398" s="10" customFormat="1" x14ac:dyDescent="0.2"/>
    <row r="399" s="10" customFormat="1" x14ac:dyDescent="0.2"/>
    <row r="400" s="10" customFormat="1" x14ac:dyDescent="0.2"/>
    <row r="401" s="10" customFormat="1" x14ac:dyDescent="0.2"/>
    <row r="402" s="10" customFormat="1" x14ac:dyDescent="0.2"/>
    <row r="403" s="10" customFormat="1" x14ac:dyDescent="0.2"/>
    <row r="404" s="10" customFormat="1" x14ac:dyDescent="0.2"/>
    <row r="405" s="10" customFormat="1" x14ac:dyDescent="0.2"/>
    <row r="406" s="10" customFormat="1" x14ac:dyDescent="0.2"/>
    <row r="407" s="10" customFormat="1" x14ac:dyDescent="0.2"/>
    <row r="408" s="10" customFormat="1" x14ac:dyDescent="0.2"/>
    <row r="409" s="10" customFormat="1" x14ac:dyDescent="0.2"/>
    <row r="410" s="10" customFormat="1" x14ac:dyDescent="0.2"/>
    <row r="411" s="10" customFormat="1" x14ac:dyDescent="0.2"/>
    <row r="412" s="10" customFormat="1" x14ac:dyDescent="0.2"/>
    <row r="413" s="10" customFormat="1" x14ac:dyDescent="0.2"/>
    <row r="414" s="10" customFormat="1" x14ac:dyDescent="0.2"/>
    <row r="415" s="10" customFormat="1" x14ac:dyDescent="0.2"/>
    <row r="416" s="10" customFormat="1" x14ac:dyDescent="0.2"/>
    <row r="417" s="10" customFormat="1" x14ac:dyDescent="0.2"/>
    <row r="418" s="10" customFormat="1" x14ac:dyDescent="0.2"/>
    <row r="419" s="10" customFormat="1" x14ac:dyDescent="0.2"/>
    <row r="420" s="10" customFormat="1" x14ac:dyDescent="0.2"/>
    <row r="421" s="10" customFormat="1" x14ac:dyDescent="0.2"/>
    <row r="422" s="10" customFormat="1" x14ac:dyDescent="0.2"/>
    <row r="423" s="10" customFormat="1" x14ac:dyDescent="0.2"/>
    <row r="424" s="10" customFormat="1" x14ac:dyDescent="0.2"/>
    <row r="425" s="10" customFormat="1" x14ac:dyDescent="0.2"/>
    <row r="426" s="10" customFormat="1" x14ac:dyDescent="0.2"/>
    <row r="427" s="10" customFormat="1" x14ac:dyDescent="0.2"/>
    <row r="428" s="10" customFormat="1" x14ac:dyDescent="0.2"/>
    <row r="429" s="10" customFormat="1" x14ac:dyDescent="0.2"/>
    <row r="430" s="10" customFormat="1" x14ac:dyDescent="0.2"/>
    <row r="431" s="10" customFormat="1" x14ac:dyDescent="0.2"/>
    <row r="432" s="10" customFormat="1" x14ac:dyDescent="0.2"/>
    <row r="433" s="10" customFormat="1" x14ac:dyDescent="0.2"/>
    <row r="434" s="10" customFormat="1" x14ac:dyDescent="0.2"/>
    <row r="435" s="10" customFormat="1" x14ac:dyDescent="0.2"/>
    <row r="436" s="10" customFormat="1" x14ac:dyDescent="0.2"/>
    <row r="437" s="10" customFormat="1" x14ac:dyDescent="0.2"/>
    <row r="438" s="10" customFormat="1" x14ac:dyDescent="0.2"/>
    <row r="439" s="10" customFormat="1" x14ac:dyDescent="0.2"/>
    <row r="440" s="10" customFormat="1" x14ac:dyDescent="0.2"/>
    <row r="441" s="10" customFormat="1" x14ac:dyDescent="0.2"/>
    <row r="442" s="10" customFormat="1" x14ac:dyDescent="0.2"/>
    <row r="443" s="10" customFormat="1" x14ac:dyDescent="0.2"/>
    <row r="444" s="10" customFormat="1" x14ac:dyDescent="0.2"/>
    <row r="445" s="10" customFormat="1" x14ac:dyDescent="0.2"/>
    <row r="446" s="10" customFormat="1" x14ac:dyDescent="0.2"/>
    <row r="447" s="10" customFormat="1" x14ac:dyDescent="0.2"/>
    <row r="448" s="10" customFormat="1" x14ac:dyDescent="0.2"/>
    <row r="449" s="10" customFormat="1" x14ac:dyDescent="0.2"/>
    <row r="450" s="10" customFormat="1" x14ac:dyDescent="0.2"/>
    <row r="451" s="10" customFormat="1" x14ac:dyDescent="0.2"/>
    <row r="452" s="10" customFormat="1" x14ac:dyDescent="0.2"/>
    <row r="453" s="10" customFormat="1" x14ac:dyDescent="0.2"/>
    <row r="454" s="10" customFormat="1" x14ac:dyDescent="0.2"/>
    <row r="455" s="10" customFormat="1" x14ac:dyDescent="0.2"/>
    <row r="456" s="10" customFormat="1" x14ac:dyDescent="0.2"/>
    <row r="457" s="10" customFormat="1" x14ac:dyDescent="0.2"/>
    <row r="458" s="10" customFormat="1" x14ac:dyDescent="0.2"/>
    <row r="459" s="10" customFormat="1" x14ac:dyDescent="0.2"/>
    <row r="460" s="10" customFormat="1" x14ac:dyDescent="0.2"/>
    <row r="461" s="10" customFormat="1" x14ac:dyDescent="0.2"/>
    <row r="462" s="10" customFormat="1" x14ac:dyDescent="0.2"/>
    <row r="463" s="10" customFormat="1" x14ac:dyDescent="0.2"/>
    <row r="464" s="10" customFormat="1" x14ac:dyDescent="0.2"/>
    <row r="465" s="10" customFormat="1" x14ac:dyDescent="0.2"/>
    <row r="466" s="10" customFormat="1" x14ac:dyDescent="0.2"/>
    <row r="467" s="10" customFormat="1" x14ac:dyDescent="0.2"/>
    <row r="468" s="10" customFormat="1" x14ac:dyDescent="0.2"/>
    <row r="469" s="10" customFormat="1" x14ac:dyDescent="0.2"/>
    <row r="470" s="10" customFormat="1" x14ac:dyDescent="0.2"/>
    <row r="471" s="10" customFormat="1" x14ac:dyDescent="0.2"/>
    <row r="472" s="10" customFormat="1" x14ac:dyDescent="0.2"/>
    <row r="473" s="10" customFormat="1" x14ac:dyDescent="0.2"/>
    <row r="474" s="10" customFormat="1" x14ac:dyDescent="0.2"/>
    <row r="475" s="10" customFormat="1" x14ac:dyDescent="0.2"/>
    <row r="476" s="10" customFormat="1" x14ac:dyDescent="0.2"/>
    <row r="477" s="10" customFormat="1" x14ac:dyDescent="0.2"/>
    <row r="478" s="10" customFormat="1" x14ac:dyDescent="0.2"/>
    <row r="479" s="10" customFormat="1" x14ac:dyDescent="0.2"/>
    <row r="480" s="10" customFormat="1" x14ac:dyDescent="0.2"/>
    <row r="481" s="10" customFormat="1" x14ac:dyDescent="0.2"/>
    <row r="482" s="10" customFormat="1" x14ac:dyDescent="0.2"/>
    <row r="483" s="10" customFormat="1" x14ac:dyDescent="0.2"/>
    <row r="484" s="10" customFormat="1" x14ac:dyDescent="0.2"/>
    <row r="485" s="10" customFormat="1" x14ac:dyDescent="0.2"/>
    <row r="486" s="10" customFormat="1" x14ac:dyDescent="0.2"/>
  </sheetData>
  <autoFilter ref="B18:G238"/>
  <mergeCells count="1205">
    <mergeCell ref="I224:I226"/>
    <mergeCell ref="J224:J226"/>
    <mergeCell ref="H215:H217"/>
    <mergeCell ref="I215:I217"/>
    <mergeCell ref="J215:J217"/>
    <mergeCell ref="H218:H220"/>
    <mergeCell ref="I218:I220"/>
    <mergeCell ref="J218:J220"/>
    <mergeCell ref="H209:H211"/>
    <mergeCell ref="I209:I211"/>
    <mergeCell ref="J209:J211"/>
    <mergeCell ref="H212:H214"/>
    <mergeCell ref="I212:I214"/>
    <mergeCell ref="J212:J214"/>
    <mergeCell ref="G224:G226"/>
    <mergeCell ref="E224:E226"/>
    <mergeCell ref="G209:G211"/>
    <mergeCell ref="C50:C52"/>
    <mergeCell ref="G41:G43"/>
    <mergeCell ref="I35:I37"/>
    <mergeCell ref="L209:L211"/>
    <mergeCell ref="G215:G217"/>
    <mergeCell ref="D215:D217"/>
    <mergeCell ref="C215:C217"/>
    <mergeCell ref="D218:D220"/>
    <mergeCell ref="C218:C220"/>
    <mergeCell ref="E209:E211"/>
    <mergeCell ref="E212:E214"/>
    <mergeCell ref="E215:E217"/>
    <mergeCell ref="E218:E220"/>
    <mergeCell ref="E221:E223"/>
    <mergeCell ref="H221:H223"/>
    <mergeCell ref="I221:I223"/>
    <mergeCell ref="J221:J223"/>
    <mergeCell ref="B80:B82"/>
    <mergeCell ref="L41:L43"/>
    <mergeCell ref="AH80:AH82"/>
    <mergeCell ref="G218:G220"/>
    <mergeCell ref="C212:C214"/>
    <mergeCell ref="D212:D214"/>
    <mergeCell ref="G212:G214"/>
    <mergeCell ref="B20:B22"/>
    <mergeCell ref="C20:C22"/>
    <mergeCell ref="E20:E22"/>
    <mergeCell ref="H20:H22"/>
    <mergeCell ref="J38:J40"/>
    <mergeCell ref="J41:J43"/>
    <mergeCell ref="E80:E82"/>
    <mergeCell ref="B26:B28"/>
    <mergeCell ref="B29:B31"/>
    <mergeCell ref="B32:B34"/>
    <mergeCell ref="E26:E28"/>
    <mergeCell ref="E29:E31"/>
    <mergeCell ref="J26:J28"/>
    <mergeCell ref="D50:D52"/>
    <mergeCell ref="E50:E52"/>
    <mergeCell ref="G50:G52"/>
    <mergeCell ref="H50:H52"/>
    <mergeCell ref="I50:I52"/>
    <mergeCell ref="J62:J64"/>
    <mergeCell ref="J68:J70"/>
    <mergeCell ref="J74:J76"/>
    <mergeCell ref="C209:C211"/>
    <mergeCell ref="D209:D211"/>
    <mergeCell ref="J44:J46"/>
    <mergeCell ref="B50:B52"/>
    <mergeCell ref="B8:G8"/>
    <mergeCell ref="H8:AL8"/>
    <mergeCell ref="H11:AL11"/>
    <mergeCell ref="H12:AL12"/>
    <mergeCell ref="B17:G17"/>
    <mergeCell ref="B18:B19"/>
    <mergeCell ref="D18:D19"/>
    <mergeCell ref="E18:E19"/>
    <mergeCell ref="F18:F19"/>
    <mergeCell ref="G18:G19"/>
    <mergeCell ref="H17:AM17"/>
    <mergeCell ref="AM18:AM19"/>
    <mergeCell ref="W19:Y19"/>
    <mergeCell ref="AJ20:AJ22"/>
    <mergeCell ref="AK20:AK22"/>
    <mergeCell ref="B13:AM13"/>
    <mergeCell ref="B16:AM16"/>
    <mergeCell ref="AM20:AM33"/>
    <mergeCell ref="AF23:AF25"/>
    <mergeCell ref="AG23:AG25"/>
    <mergeCell ref="C18:C19"/>
    <mergeCell ref="L26:L28"/>
    <mergeCell ref="D29:D31"/>
    <mergeCell ref="D32:D34"/>
    <mergeCell ref="E32:E34"/>
    <mergeCell ref="C32:C34"/>
    <mergeCell ref="AK29:AK31"/>
    <mergeCell ref="G20:G22"/>
    <mergeCell ref="AK26:AK28"/>
    <mergeCell ref="I26:I28"/>
    <mergeCell ref="H29:H31"/>
    <mergeCell ref="H32:H34"/>
    <mergeCell ref="G26:G28"/>
    <mergeCell ref="G29:G31"/>
    <mergeCell ref="AE26:AE28"/>
    <mergeCell ref="AF26:AF28"/>
    <mergeCell ref="G32:G34"/>
    <mergeCell ref="H26:H28"/>
    <mergeCell ref="I32:I34"/>
    <mergeCell ref="I29:I31"/>
    <mergeCell ref="D26:D28"/>
    <mergeCell ref="H23:H25"/>
    <mergeCell ref="I23:I25"/>
    <mergeCell ref="J23:J25"/>
    <mergeCell ref="D23:D25"/>
    <mergeCell ref="D20:D22"/>
    <mergeCell ref="AF20:AF22"/>
    <mergeCell ref="AE20:AE22"/>
    <mergeCell ref="AG20:AG22"/>
    <mergeCell ref="I41:I43"/>
    <mergeCell ref="B38:B40"/>
    <mergeCell ref="E35:E37"/>
    <mergeCell ref="E38:E40"/>
    <mergeCell ref="E41:E43"/>
    <mergeCell ref="D35:D37"/>
    <mergeCell ref="D38:D40"/>
    <mergeCell ref="D41:D43"/>
    <mergeCell ref="C38:C40"/>
    <mergeCell ref="H38:H40"/>
    <mergeCell ref="H41:H43"/>
    <mergeCell ref="G80:G82"/>
    <mergeCell ref="G173:G175"/>
    <mergeCell ref="H80:H82"/>
    <mergeCell ref="H173:H175"/>
    <mergeCell ref="I80:I82"/>
    <mergeCell ref="I173:I175"/>
    <mergeCell ref="H35:H37"/>
    <mergeCell ref="G44:G46"/>
    <mergeCell ref="H44:H46"/>
    <mergeCell ref="I44:I46"/>
    <mergeCell ref="H98:H100"/>
    <mergeCell ref="I98:I100"/>
    <mergeCell ref="I113:I115"/>
    <mergeCell ref="B113:B115"/>
    <mergeCell ref="B116:B118"/>
    <mergeCell ref="B119:B121"/>
    <mergeCell ref="C113:C115"/>
    <mergeCell ref="D113:D115"/>
    <mergeCell ref="E113:E115"/>
    <mergeCell ref="G113:G115"/>
    <mergeCell ref="B41:B43"/>
    <mergeCell ref="L80:L82"/>
    <mergeCell ref="J80:J82"/>
    <mergeCell ref="B44:B46"/>
    <mergeCell ref="C44:C46"/>
    <mergeCell ref="D44:D46"/>
    <mergeCell ref="E44:E46"/>
    <mergeCell ref="AH35:AH37"/>
    <mergeCell ref="AJ35:AJ37"/>
    <mergeCell ref="AK35:AK37"/>
    <mergeCell ref="AG32:AG34"/>
    <mergeCell ref="AH32:AH34"/>
    <mergeCell ref="L29:L31"/>
    <mergeCell ref="J29:J31"/>
    <mergeCell ref="AJ32:AJ34"/>
    <mergeCell ref="AE29:AE31"/>
    <mergeCell ref="AF80:AF82"/>
    <mergeCell ref="AG80:AG82"/>
    <mergeCell ref="AE35:AE37"/>
    <mergeCell ref="L32:L34"/>
    <mergeCell ref="L35:L37"/>
    <mergeCell ref="J32:J34"/>
    <mergeCell ref="B35:B37"/>
    <mergeCell ref="D80:D82"/>
    <mergeCell ref="C35:C37"/>
    <mergeCell ref="C80:C82"/>
    <mergeCell ref="C41:C43"/>
    <mergeCell ref="AF32:AF34"/>
    <mergeCell ref="L38:L40"/>
    <mergeCell ref="J35:J37"/>
    <mergeCell ref="G35:G37"/>
    <mergeCell ref="G38:G40"/>
    <mergeCell ref="I38:I40"/>
    <mergeCell ref="AL23:AL25"/>
    <mergeCell ref="C26:C28"/>
    <mergeCell ref="C29:C31"/>
    <mergeCell ref="AL32:AL34"/>
    <mergeCell ref="AL35:AL37"/>
    <mergeCell ref="AH20:AH22"/>
    <mergeCell ref="AL20:AL22"/>
    <mergeCell ref="H9:AL10"/>
    <mergeCell ref="AM11:AM12"/>
    <mergeCell ref="H18:K18"/>
    <mergeCell ref="L18:AH18"/>
    <mergeCell ref="L23:L25"/>
    <mergeCell ref="L20:L22"/>
    <mergeCell ref="AG26:AG28"/>
    <mergeCell ref="AG29:AG31"/>
    <mergeCell ref="AF29:AF31"/>
    <mergeCell ref="B9:G12"/>
    <mergeCell ref="AH23:AH25"/>
    <mergeCell ref="AJ23:AJ25"/>
    <mergeCell ref="AK23:AK25"/>
    <mergeCell ref="AF35:AF37"/>
    <mergeCell ref="AG35:AG37"/>
    <mergeCell ref="AK32:AK34"/>
    <mergeCell ref="C23:C25"/>
    <mergeCell ref="AL26:AL28"/>
    <mergeCell ref="AJ18:AL18"/>
    <mergeCell ref="I20:I22"/>
    <mergeCell ref="J20:J22"/>
    <mergeCell ref="B23:B25"/>
    <mergeCell ref="E23:E25"/>
    <mergeCell ref="G23:G25"/>
    <mergeCell ref="AE23:AE25"/>
    <mergeCell ref="AE80:AE82"/>
    <mergeCell ref="AL80:AL82"/>
    <mergeCell ref="AJ80:AJ82"/>
    <mergeCell ref="AK80:AK82"/>
    <mergeCell ref="AL29:AL31"/>
    <mergeCell ref="AH26:AH28"/>
    <mergeCell ref="AJ26:AJ28"/>
    <mergeCell ref="AH29:AH31"/>
    <mergeCell ref="AJ29:AJ31"/>
    <mergeCell ref="AL38:AL40"/>
    <mergeCell ref="AE41:AE43"/>
    <mergeCell ref="AF41:AF43"/>
    <mergeCell ref="AG41:AG43"/>
    <mergeCell ref="AH41:AH43"/>
    <mergeCell ref="AJ41:AJ43"/>
    <mergeCell ref="AL41:AL43"/>
    <mergeCell ref="AL83:AL85"/>
    <mergeCell ref="AE38:AE40"/>
    <mergeCell ref="AF38:AF40"/>
    <mergeCell ref="AG38:AG40"/>
    <mergeCell ref="AK41:AK43"/>
    <mergeCell ref="AH38:AH40"/>
    <mergeCell ref="AJ38:AJ40"/>
    <mergeCell ref="AK38:AK40"/>
    <mergeCell ref="AE32:AE34"/>
    <mergeCell ref="B83:B85"/>
    <mergeCell ref="C83:C85"/>
    <mergeCell ref="D83:D85"/>
    <mergeCell ref="E83:E85"/>
    <mergeCell ref="G83:G85"/>
    <mergeCell ref="H83:H85"/>
    <mergeCell ref="I83:I85"/>
    <mergeCell ref="J83:J85"/>
    <mergeCell ref="L83:L85"/>
    <mergeCell ref="AE83:AE85"/>
    <mergeCell ref="AF83:AF85"/>
    <mergeCell ref="AG83:AG85"/>
    <mergeCell ref="AH83:AH85"/>
    <mergeCell ref="AJ83:AJ85"/>
    <mergeCell ref="AK83:AK85"/>
    <mergeCell ref="AE86:AE88"/>
    <mergeCell ref="B236:B238"/>
    <mergeCell ref="C170:C172"/>
    <mergeCell ref="D170:D172"/>
    <mergeCell ref="E170:E172"/>
    <mergeCell ref="G170:G172"/>
    <mergeCell ref="H170:H172"/>
    <mergeCell ref="I170:I172"/>
    <mergeCell ref="J170:J172"/>
    <mergeCell ref="L236:L238"/>
    <mergeCell ref="D224:D226"/>
    <mergeCell ref="AE236:AE238"/>
    <mergeCell ref="E173:E175"/>
    <mergeCell ref="D173:D175"/>
    <mergeCell ref="C173:C175"/>
    <mergeCell ref="J173:J175"/>
    <mergeCell ref="H224:H226"/>
    <mergeCell ref="AF236:AF238"/>
    <mergeCell ref="AG236:AG238"/>
    <mergeCell ref="AH236:AH238"/>
    <mergeCell ref="AJ236:AJ238"/>
    <mergeCell ref="AK236:AK238"/>
    <mergeCell ref="AL236:AL238"/>
    <mergeCell ref="B104:B106"/>
    <mergeCell ref="B107:B109"/>
    <mergeCell ref="B110:B112"/>
    <mergeCell ref="B233:B235"/>
    <mergeCell ref="J89:J91"/>
    <mergeCell ref="L86:L88"/>
    <mergeCell ref="L89:L91"/>
    <mergeCell ref="J50:J52"/>
    <mergeCell ref="L50:L52"/>
    <mergeCell ref="AF44:AF46"/>
    <mergeCell ref="AG44:AG46"/>
    <mergeCell ref="AH44:AH46"/>
    <mergeCell ref="AJ44:AJ46"/>
    <mergeCell ref="AK44:AK46"/>
    <mergeCell ref="AL44:AL46"/>
    <mergeCell ref="B47:B49"/>
    <mergeCell ref="C47:C49"/>
    <mergeCell ref="D47:D49"/>
    <mergeCell ref="E47:E49"/>
    <mergeCell ref="G47:G49"/>
    <mergeCell ref="H47:H49"/>
    <mergeCell ref="I47:I49"/>
    <mergeCell ref="J47:J49"/>
    <mergeCell ref="L47:L49"/>
    <mergeCell ref="AE47:AE49"/>
    <mergeCell ref="AF47:AF49"/>
    <mergeCell ref="AG47:AG49"/>
    <mergeCell ref="AH47:AH49"/>
    <mergeCell ref="AJ47:AJ49"/>
    <mergeCell ref="AK47:AK49"/>
    <mergeCell ref="AL47:AL49"/>
    <mergeCell ref="L44:L46"/>
    <mergeCell ref="AE44:AE46"/>
    <mergeCell ref="J56:J58"/>
    <mergeCell ref="L56:L58"/>
    <mergeCell ref="AE50:AE52"/>
    <mergeCell ref="AF50:AF52"/>
    <mergeCell ref="AG50:AG52"/>
    <mergeCell ref="AH50:AH52"/>
    <mergeCell ref="AJ50:AJ52"/>
    <mergeCell ref="AK50:AK52"/>
    <mergeCell ref="AL50:AL52"/>
    <mergeCell ref="B53:B55"/>
    <mergeCell ref="C53:C55"/>
    <mergeCell ref="D53:D55"/>
    <mergeCell ref="E53:E55"/>
    <mergeCell ref="G53:G55"/>
    <mergeCell ref="H53:H55"/>
    <mergeCell ref="I53:I55"/>
    <mergeCell ref="J53:J55"/>
    <mergeCell ref="L53:L55"/>
    <mergeCell ref="AE53:AE55"/>
    <mergeCell ref="AF53:AF55"/>
    <mergeCell ref="AG53:AG55"/>
    <mergeCell ref="AH53:AH55"/>
    <mergeCell ref="AJ53:AJ55"/>
    <mergeCell ref="AK53:AK55"/>
    <mergeCell ref="AL53:AL55"/>
    <mergeCell ref="AE56:AE58"/>
    <mergeCell ref="AF56:AF58"/>
    <mergeCell ref="AG56:AG58"/>
    <mergeCell ref="AH56:AH58"/>
    <mergeCell ref="AJ56:AJ58"/>
    <mergeCell ref="AK56:AK58"/>
    <mergeCell ref="AL56:AL58"/>
    <mergeCell ref="B59:B61"/>
    <mergeCell ref="C59:C61"/>
    <mergeCell ref="D59:D61"/>
    <mergeCell ref="E59:E61"/>
    <mergeCell ref="G59:G61"/>
    <mergeCell ref="H59:H61"/>
    <mergeCell ref="I59:I61"/>
    <mergeCell ref="J59:J61"/>
    <mergeCell ref="L59:L61"/>
    <mergeCell ref="AE59:AE61"/>
    <mergeCell ref="AF59:AF61"/>
    <mergeCell ref="AG59:AG61"/>
    <mergeCell ref="AH59:AH61"/>
    <mergeCell ref="AJ59:AJ61"/>
    <mergeCell ref="AK59:AK61"/>
    <mergeCell ref="AL59:AL61"/>
    <mergeCell ref="B56:B58"/>
    <mergeCell ref="C56:C58"/>
    <mergeCell ref="D56:D58"/>
    <mergeCell ref="E56:E58"/>
    <mergeCell ref="G56:G58"/>
    <mergeCell ref="H56:H58"/>
    <mergeCell ref="I56:I58"/>
    <mergeCell ref="AE62:AE64"/>
    <mergeCell ref="AF62:AF64"/>
    <mergeCell ref="AG62:AG64"/>
    <mergeCell ref="AH62:AH64"/>
    <mergeCell ref="AJ62:AJ64"/>
    <mergeCell ref="AK62:AK64"/>
    <mergeCell ref="AL62:AL64"/>
    <mergeCell ref="B65:B67"/>
    <mergeCell ref="C65:C67"/>
    <mergeCell ref="D65:D67"/>
    <mergeCell ref="E65:E67"/>
    <mergeCell ref="G65:G67"/>
    <mergeCell ref="H65:H67"/>
    <mergeCell ref="I65:I67"/>
    <mergeCell ref="J65:J67"/>
    <mergeCell ref="L65:L67"/>
    <mergeCell ref="AE65:AE67"/>
    <mergeCell ref="AF65:AF67"/>
    <mergeCell ref="AG65:AG67"/>
    <mergeCell ref="AH65:AH67"/>
    <mergeCell ref="AJ65:AJ67"/>
    <mergeCell ref="AK65:AK67"/>
    <mergeCell ref="AL65:AL67"/>
    <mergeCell ref="B62:B64"/>
    <mergeCell ref="C62:C64"/>
    <mergeCell ref="D62:D64"/>
    <mergeCell ref="E62:E64"/>
    <mergeCell ref="G62:G64"/>
    <mergeCell ref="H62:H64"/>
    <mergeCell ref="I62:I64"/>
    <mergeCell ref="L62:L64"/>
    <mergeCell ref="AE68:AE70"/>
    <mergeCell ref="AF68:AF70"/>
    <mergeCell ref="AG68:AG70"/>
    <mergeCell ref="AH68:AH70"/>
    <mergeCell ref="AJ68:AJ70"/>
    <mergeCell ref="AK68:AK70"/>
    <mergeCell ref="AL68:AL70"/>
    <mergeCell ref="B71:B73"/>
    <mergeCell ref="C71:C73"/>
    <mergeCell ref="D71:D73"/>
    <mergeCell ref="E71:E73"/>
    <mergeCell ref="G71:G73"/>
    <mergeCell ref="H71:H73"/>
    <mergeCell ref="I71:I73"/>
    <mergeCell ref="J71:J73"/>
    <mergeCell ref="L71:L73"/>
    <mergeCell ref="AE71:AE73"/>
    <mergeCell ref="AF71:AF73"/>
    <mergeCell ref="AG71:AG73"/>
    <mergeCell ref="AH71:AH73"/>
    <mergeCell ref="AJ71:AJ73"/>
    <mergeCell ref="AK71:AK73"/>
    <mergeCell ref="AL71:AL73"/>
    <mergeCell ref="B68:B70"/>
    <mergeCell ref="C68:C70"/>
    <mergeCell ref="D68:D70"/>
    <mergeCell ref="E68:E70"/>
    <mergeCell ref="G68:G70"/>
    <mergeCell ref="H68:H70"/>
    <mergeCell ref="I68:I70"/>
    <mergeCell ref="F71:F72"/>
    <mergeCell ref="L68:L70"/>
    <mergeCell ref="AE74:AE76"/>
    <mergeCell ref="AF74:AF76"/>
    <mergeCell ref="AG74:AG76"/>
    <mergeCell ref="AH74:AH76"/>
    <mergeCell ref="AJ74:AJ76"/>
    <mergeCell ref="AK74:AK76"/>
    <mergeCell ref="AL74:AL76"/>
    <mergeCell ref="B77:B79"/>
    <mergeCell ref="C77:C79"/>
    <mergeCell ref="D77:D79"/>
    <mergeCell ref="E77:E79"/>
    <mergeCell ref="G77:G79"/>
    <mergeCell ref="H77:H79"/>
    <mergeCell ref="I77:I79"/>
    <mergeCell ref="J77:J79"/>
    <mergeCell ref="L77:L79"/>
    <mergeCell ref="AE77:AE79"/>
    <mergeCell ref="AF77:AF79"/>
    <mergeCell ref="AG77:AG79"/>
    <mergeCell ref="AH77:AH79"/>
    <mergeCell ref="AJ77:AJ79"/>
    <mergeCell ref="AK77:AK79"/>
    <mergeCell ref="AL77:AL79"/>
    <mergeCell ref="B74:B76"/>
    <mergeCell ref="C74:C76"/>
    <mergeCell ref="D74:D76"/>
    <mergeCell ref="E74:E76"/>
    <mergeCell ref="G74:G76"/>
    <mergeCell ref="H74:H76"/>
    <mergeCell ref="I74:I76"/>
    <mergeCell ref="L74:L76"/>
    <mergeCell ref="AF86:AF88"/>
    <mergeCell ref="AG86:AG88"/>
    <mergeCell ref="AH86:AH88"/>
    <mergeCell ref="AE89:AE91"/>
    <mergeCell ref="AF89:AF91"/>
    <mergeCell ref="AG89:AG91"/>
    <mergeCell ref="AH89:AH91"/>
    <mergeCell ref="AJ86:AJ88"/>
    <mergeCell ref="AK86:AK88"/>
    <mergeCell ref="B86:B88"/>
    <mergeCell ref="B89:B91"/>
    <mergeCell ref="B92:B94"/>
    <mergeCell ref="B95:B97"/>
    <mergeCell ref="B98:B100"/>
    <mergeCell ref="B101:B103"/>
    <mergeCell ref="C86:C88"/>
    <mergeCell ref="D86:D88"/>
    <mergeCell ref="E86:E88"/>
    <mergeCell ref="G86:G88"/>
    <mergeCell ref="C89:C91"/>
    <mergeCell ref="D89:D91"/>
    <mergeCell ref="E89:E91"/>
    <mergeCell ref="G89:G91"/>
    <mergeCell ref="H86:H88"/>
    <mergeCell ref="I86:I88"/>
    <mergeCell ref="J86:J88"/>
    <mergeCell ref="H89:H91"/>
    <mergeCell ref="I89:I91"/>
    <mergeCell ref="AE95:AE97"/>
    <mergeCell ref="AF95:AF97"/>
    <mergeCell ref="AG95:AG97"/>
    <mergeCell ref="AH95:AH97"/>
    <mergeCell ref="AJ92:AJ94"/>
    <mergeCell ref="AK92:AK94"/>
    <mergeCell ref="AL92:AL94"/>
    <mergeCell ref="AJ95:AJ97"/>
    <mergeCell ref="AK95:AK97"/>
    <mergeCell ref="AL95:AL97"/>
    <mergeCell ref="AL86:AL88"/>
    <mergeCell ref="AJ89:AJ91"/>
    <mergeCell ref="AK89:AK91"/>
    <mergeCell ref="AL89:AL91"/>
    <mergeCell ref="C92:C94"/>
    <mergeCell ref="D92:D94"/>
    <mergeCell ref="E92:E94"/>
    <mergeCell ref="G92:G94"/>
    <mergeCell ref="C95:C97"/>
    <mergeCell ref="D95:D97"/>
    <mergeCell ref="E95:E97"/>
    <mergeCell ref="G95:G97"/>
    <mergeCell ref="H92:H94"/>
    <mergeCell ref="I92:I94"/>
    <mergeCell ref="J92:J94"/>
    <mergeCell ref="H95:H97"/>
    <mergeCell ref="I95:I97"/>
    <mergeCell ref="J95:J97"/>
    <mergeCell ref="L92:L94"/>
    <mergeCell ref="L95:L97"/>
    <mergeCell ref="AE92:AE94"/>
    <mergeCell ref="AF92:AF94"/>
    <mergeCell ref="AG92:AG94"/>
    <mergeCell ref="AH92:AH94"/>
    <mergeCell ref="J98:J100"/>
    <mergeCell ref="J101:J103"/>
    <mergeCell ref="H101:H103"/>
    <mergeCell ref="I101:I103"/>
    <mergeCell ref="L101:L103"/>
    <mergeCell ref="L98:L100"/>
    <mergeCell ref="AE98:AE100"/>
    <mergeCell ref="C98:C100"/>
    <mergeCell ref="D98:D100"/>
    <mergeCell ref="E98:E100"/>
    <mergeCell ref="G98:G100"/>
    <mergeCell ref="E101:E103"/>
    <mergeCell ref="G101:G103"/>
    <mergeCell ref="D101:D103"/>
    <mergeCell ref="C101:C103"/>
    <mergeCell ref="AL104:AL106"/>
    <mergeCell ref="AE107:AE109"/>
    <mergeCell ref="AF107:AF109"/>
    <mergeCell ref="AG107:AG109"/>
    <mergeCell ref="AH107:AH109"/>
    <mergeCell ref="AJ107:AJ109"/>
    <mergeCell ref="AK107:AK109"/>
    <mergeCell ref="AL107:AL109"/>
    <mergeCell ref="AF98:AF100"/>
    <mergeCell ref="AG98:AG100"/>
    <mergeCell ref="AH98:AH100"/>
    <mergeCell ref="AJ98:AJ100"/>
    <mergeCell ref="AK98:AK100"/>
    <mergeCell ref="AL98:AL100"/>
    <mergeCell ref="AE101:AE103"/>
    <mergeCell ref="AF101:AF103"/>
    <mergeCell ref="AG101:AG103"/>
    <mergeCell ref="AH101:AH103"/>
    <mergeCell ref="AJ101:AJ103"/>
    <mergeCell ref="AK101:AK103"/>
    <mergeCell ref="AL101:AL103"/>
    <mergeCell ref="C104:C106"/>
    <mergeCell ref="D104:D106"/>
    <mergeCell ref="E104:E106"/>
    <mergeCell ref="G104:G106"/>
    <mergeCell ref="C107:C109"/>
    <mergeCell ref="D107:D109"/>
    <mergeCell ref="E107:E109"/>
    <mergeCell ref="G107:G109"/>
    <mergeCell ref="C110:C112"/>
    <mergeCell ref="D110:D112"/>
    <mergeCell ref="E110:E112"/>
    <mergeCell ref="G110:G112"/>
    <mergeCell ref="AE104:AE106"/>
    <mergeCell ref="AF104:AF106"/>
    <mergeCell ref="AG104:AG106"/>
    <mergeCell ref="AH104:AH106"/>
    <mergeCell ref="AJ104:AJ106"/>
    <mergeCell ref="L104:L106"/>
    <mergeCell ref="L110:L112"/>
    <mergeCell ref="L107:L109"/>
    <mergeCell ref="AE110:AE112"/>
    <mergeCell ref="AF110:AF112"/>
    <mergeCell ref="AG110:AG112"/>
    <mergeCell ref="AH110:AH112"/>
    <mergeCell ref="AJ110:AJ112"/>
    <mergeCell ref="AL110:AL112"/>
    <mergeCell ref="AE233:AE235"/>
    <mergeCell ref="AF233:AF235"/>
    <mergeCell ref="AG233:AG235"/>
    <mergeCell ref="AH233:AH235"/>
    <mergeCell ref="AJ233:AJ235"/>
    <mergeCell ref="AK233:AK235"/>
    <mergeCell ref="AL233:AL235"/>
    <mergeCell ref="AF113:AF115"/>
    <mergeCell ref="AG113:AG115"/>
    <mergeCell ref="AH113:AH115"/>
    <mergeCell ref="AJ113:AJ115"/>
    <mergeCell ref="AK113:AK115"/>
    <mergeCell ref="AL113:AL115"/>
    <mergeCell ref="AF116:AF118"/>
    <mergeCell ref="AG116:AG118"/>
    <mergeCell ref="AH116:AH118"/>
    <mergeCell ref="AJ116:AJ118"/>
    <mergeCell ref="AK116:AK118"/>
    <mergeCell ref="AL116:AL118"/>
    <mergeCell ref="AF119:AF121"/>
    <mergeCell ref="AE113:AE115"/>
    <mergeCell ref="AE116:AE118"/>
    <mergeCell ref="AG131:AG133"/>
    <mergeCell ref="AH131:AH133"/>
    <mergeCell ref="AE134:AE136"/>
    <mergeCell ref="AF134:AF136"/>
    <mergeCell ref="AG134:AG136"/>
    <mergeCell ref="AH134:AH136"/>
    <mergeCell ref="AJ134:AJ136"/>
    <mergeCell ref="AK134:AK136"/>
    <mergeCell ref="AL134:AL136"/>
    <mergeCell ref="AK152:AK154"/>
    <mergeCell ref="J113:J115"/>
    <mergeCell ref="H116:H118"/>
    <mergeCell ref="I116:I118"/>
    <mergeCell ref="J116:J118"/>
    <mergeCell ref="L113:L115"/>
    <mergeCell ref="L116:L118"/>
    <mergeCell ref="AE119:AE121"/>
    <mergeCell ref="AK110:AK112"/>
    <mergeCell ref="H104:H106"/>
    <mergeCell ref="I104:I106"/>
    <mergeCell ref="J104:J106"/>
    <mergeCell ref="H107:H109"/>
    <mergeCell ref="I107:I109"/>
    <mergeCell ref="J107:J109"/>
    <mergeCell ref="H110:H112"/>
    <mergeCell ref="I110:I112"/>
    <mergeCell ref="J110:J112"/>
    <mergeCell ref="AK104:AK106"/>
    <mergeCell ref="I119:I121"/>
    <mergeCell ref="J119:J121"/>
    <mergeCell ref="L119:L121"/>
    <mergeCell ref="C128:C130"/>
    <mergeCell ref="C116:C118"/>
    <mergeCell ref="D116:D118"/>
    <mergeCell ref="E116:E118"/>
    <mergeCell ref="G116:G118"/>
    <mergeCell ref="C119:C121"/>
    <mergeCell ref="D119:D121"/>
    <mergeCell ref="E119:E121"/>
    <mergeCell ref="G119:G121"/>
    <mergeCell ref="H113:H115"/>
    <mergeCell ref="B140:B142"/>
    <mergeCell ref="B143:B145"/>
    <mergeCell ref="B146:B148"/>
    <mergeCell ref="B149:B151"/>
    <mergeCell ref="B152:B154"/>
    <mergeCell ref="C155:C157"/>
    <mergeCell ref="D155:D157"/>
    <mergeCell ref="E155:E157"/>
    <mergeCell ref="G155:G157"/>
    <mergeCell ref="D128:D130"/>
    <mergeCell ref="E128:E130"/>
    <mergeCell ref="G128:G130"/>
    <mergeCell ref="C137:C139"/>
    <mergeCell ref="D137:D139"/>
    <mergeCell ref="E137:E139"/>
    <mergeCell ref="G137:G139"/>
    <mergeCell ref="B128:B130"/>
    <mergeCell ref="B131:B133"/>
    <mergeCell ref="B134:B136"/>
    <mergeCell ref="B137:B139"/>
    <mergeCell ref="H128:H130"/>
    <mergeCell ref="C131:C133"/>
    <mergeCell ref="AG119:AG121"/>
    <mergeCell ref="AH119:AH121"/>
    <mergeCell ref="AJ119:AJ121"/>
    <mergeCell ref="AK119:AK121"/>
    <mergeCell ref="AL119:AL121"/>
    <mergeCell ref="B122:B124"/>
    <mergeCell ref="B125:B127"/>
    <mergeCell ref="H122:H124"/>
    <mergeCell ref="I122:I124"/>
    <mergeCell ref="J122:J124"/>
    <mergeCell ref="H125:H127"/>
    <mergeCell ref="I125:I127"/>
    <mergeCell ref="J125:J127"/>
    <mergeCell ref="AH122:AH124"/>
    <mergeCell ref="AJ122:AJ124"/>
    <mergeCell ref="AK122:AK124"/>
    <mergeCell ref="AL122:AL124"/>
    <mergeCell ref="AH125:AH127"/>
    <mergeCell ref="AJ125:AJ127"/>
    <mergeCell ref="AK125:AK127"/>
    <mergeCell ref="AL125:AL127"/>
    <mergeCell ref="H119:H121"/>
    <mergeCell ref="C122:C124"/>
    <mergeCell ref="D122:D124"/>
    <mergeCell ref="E122:E124"/>
    <mergeCell ref="G122:G124"/>
    <mergeCell ref="C125:C127"/>
    <mergeCell ref="D125:D127"/>
    <mergeCell ref="E125:E127"/>
    <mergeCell ref="G125:G127"/>
    <mergeCell ref="I128:I130"/>
    <mergeCell ref="J128:J130"/>
    <mergeCell ref="L122:L124"/>
    <mergeCell ref="L125:L127"/>
    <mergeCell ref="L128:L130"/>
    <mergeCell ref="AE122:AE124"/>
    <mergeCell ref="AF122:AF124"/>
    <mergeCell ref="AG122:AG124"/>
    <mergeCell ref="AE125:AE127"/>
    <mergeCell ref="AF125:AF127"/>
    <mergeCell ref="AG125:AG127"/>
    <mergeCell ref="AE128:AE130"/>
    <mergeCell ref="AF128:AF130"/>
    <mergeCell ref="AG128:AG130"/>
    <mergeCell ref="AJ131:AJ133"/>
    <mergeCell ref="AK131:AK133"/>
    <mergeCell ref="AL131:AL133"/>
    <mergeCell ref="AH128:AH130"/>
    <mergeCell ref="AJ128:AJ130"/>
    <mergeCell ref="AK128:AK130"/>
    <mergeCell ref="AL128:AL130"/>
    <mergeCell ref="E131:E133"/>
    <mergeCell ref="G131:G133"/>
    <mergeCell ref="C134:C136"/>
    <mergeCell ref="D134:D136"/>
    <mergeCell ref="E134:E136"/>
    <mergeCell ref="G134:G136"/>
    <mergeCell ref="H131:H133"/>
    <mergeCell ref="I131:I133"/>
    <mergeCell ref="J131:J133"/>
    <mergeCell ref="H134:H136"/>
    <mergeCell ref="I134:I136"/>
    <mergeCell ref="J134:J136"/>
    <mergeCell ref="L131:L133"/>
    <mergeCell ref="L134:L136"/>
    <mergeCell ref="AE131:AE133"/>
    <mergeCell ref="AF131:AF133"/>
    <mergeCell ref="I137:I139"/>
    <mergeCell ref="J137:J139"/>
    <mergeCell ref="D131:D133"/>
    <mergeCell ref="H140:H142"/>
    <mergeCell ref="I140:I142"/>
    <mergeCell ref="J140:J142"/>
    <mergeCell ref="H143:H145"/>
    <mergeCell ref="I143:I145"/>
    <mergeCell ref="J143:J145"/>
    <mergeCell ref="C143:C145"/>
    <mergeCell ref="D143:D145"/>
    <mergeCell ref="E143:E145"/>
    <mergeCell ref="G143:G145"/>
    <mergeCell ref="C140:C142"/>
    <mergeCell ref="D140:D142"/>
    <mergeCell ref="E140:E142"/>
    <mergeCell ref="G140:G142"/>
    <mergeCell ref="H137:H139"/>
    <mergeCell ref="AL137:AL139"/>
    <mergeCell ref="AE140:AE142"/>
    <mergeCell ref="AF140:AF142"/>
    <mergeCell ref="AG140:AG142"/>
    <mergeCell ref="AH140:AH142"/>
    <mergeCell ref="AJ140:AJ142"/>
    <mergeCell ref="AK140:AK142"/>
    <mergeCell ref="AL140:AL142"/>
    <mergeCell ref="AE143:AE145"/>
    <mergeCell ref="AF143:AF145"/>
    <mergeCell ref="AG143:AG145"/>
    <mergeCell ref="AH143:AH145"/>
    <mergeCell ref="AJ143:AJ145"/>
    <mergeCell ref="AK143:AK145"/>
    <mergeCell ref="AL143:AL145"/>
    <mergeCell ref="L143:L145"/>
    <mergeCell ref="L137:L139"/>
    <mergeCell ref="L140:L142"/>
    <mergeCell ref="AE137:AE139"/>
    <mergeCell ref="AF137:AF139"/>
    <mergeCell ref="AG137:AG139"/>
    <mergeCell ref="AH137:AH139"/>
    <mergeCell ref="AJ137:AJ139"/>
    <mergeCell ref="AK137:AK139"/>
    <mergeCell ref="I146:I148"/>
    <mergeCell ref="J146:J148"/>
    <mergeCell ref="H149:H151"/>
    <mergeCell ref="I149:I151"/>
    <mergeCell ref="J149:J151"/>
    <mergeCell ref="H152:H154"/>
    <mergeCell ref="I152:I154"/>
    <mergeCell ref="J152:J154"/>
    <mergeCell ref="C149:C151"/>
    <mergeCell ref="D149:D151"/>
    <mergeCell ref="E149:E151"/>
    <mergeCell ref="G152:G154"/>
    <mergeCell ref="E152:E154"/>
    <mergeCell ref="D152:D154"/>
    <mergeCell ref="C152:C154"/>
    <mergeCell ref="C146:C148"/>
    <mergeCell ref="D146:D148"/>
    <mergeCell ref="E146:E148"/>
    <mergeCell ref="G146:G148"/>
    <mergeCell ref="H146:H148"/>
    <mergeCell ref="AE152:AE154"/>
    <mergeCell ref="AF152:AF154"/>
    <mergeCell ref="AG152:AG154"/>
    <mergeCell ref="AH152:AH154"/>
    <mergeCell ref="AJ152:AJ154"/>
    <mergeCell ref="AL152:AL154"/>
    <mergeCell ref="AE155:AE157"/>
    <mergeCell ref="AF155:AF157"/>
    <mergeCell ref="AG155:AG157"/>
    <mergeCell ref="AH155:AH157"/>
    <mergeCell ref="AJ155:AJ157"/>
    <mergeCell ref="AK155:AK157"/>
    <mergeCell ref="AL155:AL157"/>
    <mergeCell ref="L146:L148"/>
    <mergeCell ref="L149:L151"/>
    <mergeCell ref="AE146:AE148"/>
    <mergeCell ref="AF146:AF148"/>
    <mergeCell ref="AG146:AG148"/>
    <mergeCell ref="AH146:AH148"/>
    <mergeCell ref="AJ146:AJ148"/>
    <mergeCell ref="AK146:AK148"/>
    <mergeCell ref="AL146:AL148"/>
    <mergeCell ref="AE149:AE151"/>
    <mergeCell ref="AF149:AF151"/>
    <mergeCell ref="AG149:AG151"/>
    <mergeCell ref="AH149:AH151"/>
    <mergeCell ref="AJ149:AJ151"/>
    <mergeCell ref="AK149:AK151"/>
    <mergeCell ref="AL149:AL151"/>
    <mergeCell ref="L152:L154"/>
    <mergeCell ref="L155:L157"/>
    <mergeCell ref="B164:B166"/>
    <mergeCell ref="B167:B169"/>
    <mergeCell ref="H161:H163"/>
    <mergeCell ref="I161:I163"/>
    <mergeCell ref="J161:J163"/>
    <mergeCell ref="H164:H166"/>
    <mergeCell ref="I164:I166"/>
    <mergeCell ref="J164:J166"/>
    <mergeCell ref="H167:H169"/>
    <mergeCell ref="I167:I169"/>
    <mergeCell ref="J167:J169"/>
    <mergeCell ref="L158:L160"/>
    <mergeCell ref="L161:L163"/>
    <mergeCell ref="L164:L166"/>
    <mergeCell ref="H155:H157"/>
    <mergeCell ref="I155:I157"/>
    <mergeCell ref="J155:J157"/>
    <mergeCell ref="H158:H160"/>
    <mergeCell ref="I158:I160"/>
    <mergeCell ref="J158:J160"/>
    <mergeCell ref="B155:B157"/>
    <mergeCell ref="B158:B160"/>
    <mergeCell ref="G167:G169"/>
    <mergeCell ref="B161:B163"/>
    <mergeCell ref="AE158:AE160"/>
    <mergeCell ref="AF158:AF160"/>
    <mergeCell ref="AG158:AG160"/>
    <mergeCell ref="AH158:AH160"/>
    <mergeCell ref="AJ158:AJ160"/>
    <mergeCell ref="AK158:AK160"/>
    <mergeCell ref="AL158:AL160"/>
    <mergeCell ref="AE161:AE163"/>
    <mergeCell ref="AF161:AF163"/>
    <mergeCell ref="AG161:AG163"/>
    <mergeCell ref="AH161:AH163"/>
    <mergeCell ref="AJ161:AJ163"/>
    <mergeCell ref="AK161:AK163"/>
    <mergeCell ref="AL161:AL163"/>
    <mergeCell ref="B170:B172"/>
    <mergeCell ref="C158:C160"/>
    <mergeCell ref="D158:D160"/>
    <mergeCell ref="E158:E160"/>
    <mergeCell ref="G158:G160"/>
    <mergeCell ref="C161:C163"/>
    <mergeCell ref="D161:D163"/>
    <mergeCell ref="E161:E163"/>
    <mergeCell ref="G161:G163"/>
    <mergeCell ref="E164:E166"/>
    <mergeCell ref="G164:G166"/>
    <mergeCell ref="C164:C166"/>
    <mergeCell ref="D164:D166"/>
    <mergeCell ref="AK170:AK172"/>
    <mergeCell ref="AL170:AL172"/>
    <mergeCell ref="C167:C169"/>
    <mergeCell ref="D167:D169"/>
    <mergeCell ref="E167:E169"/>
    <mergeCell ref="AE164:AE166"/>
    <mergeCell ref="AF164:AF166"/>
    <mergeCell ref="AG164:AG166"/>
    <mergeCell ref="AH164:AH166"/>
    <mergeCell ref="AJ164:AJ166"/>
    <mergeCell ref="AK164:AK166"/>
    <mergeCell ref="AL164:AL166"/>
    <mergeCell ref="AE167:AE169"/>
    <mergeCell ref="AF167:AF169"/>
    <mergeCell ref="AG167:AG169"/>
    <mergeCell ref="AH167:AH169"/>
    <mergeCell ref="AJ167:AJ169"/>
    <mergeCell ref="AK167:AK169"/>
    <mergeCell ref="AL167:AL169"/>
    <mergeCell ref="AH179:AH181"/>
    <mergeCell ref="AJ179:AJ181"/>
    <mergeCell ref="AK179:AK181"/>
    <mergeCell ref="AL179:AL181"/>
    <mergeCell ref="AE170:AE172"/>
    <mergeCell ref="AF170:AF172"/>
    <mergeCell ref="AG170:AG172"/>
    <mergeCell ref="AH170:AH172"/>
    <mergeCell ref="AJ170:AJ172"/>
    <mergeCell ref="B173:B175"/>
    <mergeCell ref="B176:B178"/>
    <mergeCell ref="B179:B181"/>
    <mergeCell ref="B182:B184"/>
    <mergeCell ref="B185:B187"/>
    <mergeCell ref="L167:L169"/>
    <mergeCell ref="L170:L172"/>
    <mergeCell ref="C176:C178"/>
    <mergeCell ref="D176:D178"/>
    <mergeCell ref="E176:E178"/>
    <mergeCell ref="G176:G178"/>
    <mergeCell ref="C179:C181"/>
    <mergeCell ref="D179:D181"/>
    <mergeCell ref="E179:E181"/>
    <mergeCell ref="G179:G181"/>
    <mergeCell ref="H176:H178"/>
    <mergeCell ref="I176:I178"/>
    <mergeCell ref="J176:J178"/>
    <mergeCell ref="H179:H181"/>
    <mergeCell ref="I179:I181"/>
    <mergeCell ref="J179:J181"/>
    <mergeCell ref="L173:L175"/>
    <mergeCell ref="L176:L178"/>
    <mergeCell ref="L182:L184"/>
    <mergeCell ref="E185:E187"/>
    <mergeCell ref="D185:D187"/>
    <mergeCell ref="C185:C187"/>
    <mergeCell ref="G185:G187"/>
    <mergeCell ref="L185:L187"/>
    <mergeCell ref="C182:C184"/>
    <mergeCell ref="D182:D184"/>
    <mergeCell ref="E182:E184"/>
    <mergeCell ref="AE182:AE184"/>
    <mergeCell ref="AF182:AF184"/>
    <mergeCell ref="AG182:AG184"/>
    <mergeCell ref="AH182:AH184"/>
    <mergeCell ref="AJ182:AJ184"/>
    <mergeCell ref="AK182:AK184"/>
    <mergeCell ref="AL182:AL184"/>
    <mergeCell ref="AE185:AE187"/>
    <mergeCell ref="AF185:AF187"/>
    <mergeCell ref="AG185:AG187"/>
    <mergeCell ref="AH185:AH187"/>
    <mergeCell ref="AJ185:AJ187"/>
    <mergeCell ref="AK185:AK187"/>
    <mergeCell ref="AL185:AL187"/>
    <mergeCell ref="L179:L181"/>
    <mergeCell ref="AE173:AE175"/>
    <mergeCell ref="AF173:AF175"/>
    <mergeCell ref="AG173:AG175"/>
    <mergeCell ref="AH173:AH175"/>
    <mergeCell ref="AJ173:AJ175"/>
    <mergeCell ref="AK173:AK175"/>
    <mergeCell ref="AL173:AL175"/>
    <mergeCell ref="AE176:AE178"/>
    <mergeCell ref="AF176:AF178"/>
    <mergeCell ref="AG176:AG178"/>
    <mergeCell ref="AH176:AH178"/>
    <mergeCell ref="AJ176:AJ178"/>
    <mergeCell ref="AK176:AK178"/>
    <mergeCell ref="AL176:AL178"/>
    <mergeCell ref="AE179:AE181"/>
    <mergeCell ref="AF179:AF181"/>
    <mergeCell ref="AG179:AG181"/>
    <mergeCell ref="G182:G184"/>
    <mergeCell ref="C188:C190"/>
    <mergeCell ref="D188:D190"/>
    <mergeCell ref="E188:E190"/>
    <mergeCell ref="H182:H184"/>
    <mergeCell ref="I182:I184"/>
    <mergeCell ref="J182:J184"/>
    <mergeCell ref="H185:H187"/>
    <mergeCell ref="I185:I187"/>
    <mergeCell ref="J185:J187"/>
    <mergeCell ref="H188:H190"/>
    <mergeCell ref="I188:I190"/>
    <mergeCell ref="J188:J190"/>
    <mergeCell ref="H191:H193"/>
    <mergeCell ref="I191:I193"/>
    <mergeCell ref="J191:J193"/>
    <mergeCell ref="G188:G190"/>
    <mergeCell ref="C191:C193"/>
    <mergeCell ref="D191:D193"/>
    <mergeCell ref="E191:E193"/>
    <mergeCell ref="G191:G193"/>
    <mergeCell ref="H194:H196"/>
    <mergeCell ref="I194:I196"/>
    <mergeCell ref="J194:J196"/>
    <mergeCell ref="H197:H199"/>
    <mergeCell ref="I197:I199"/>
    <mergeCell ref="J197:J199"/>
    <mergeCell ref="H200:H202"/>
    <mergeCell ref="I200:I202"/>
    <mergeCell ref="J200:J202"/>
    <mergeCell ref="H203:H205"/>
    <mergeCell ref="I203:I205"/>
    <mergeCell ref="J203:J205"/>
    <mergeCell ref="C203:C205"/>
    <mergeCell ref="D203:D205"/>
    <mergeCell ref="E203:E205"/>
    <mergeCell ref="G203:G205"/>
    <mergeCell ref="B188:B190"/>
    <mergeCell ref="B191:B193"/>
    <mergeCell ref="B194:B196"/>
    <mergeCell ref="B197:B199"/>
    <mergeCell ref="B200:B202"/>
    <mergeCell ref="L188:L190"/>
    <mergeCell ref="L191:L193"/>
    <mergeCell ref="C194:C196"/>
    <mergeCell ref="D194:D196"/>
    <mergeCell ref="E194:E196"/>
    <mergeCell ref="G194:G196"/>
    <mergeCell ref="L194:L196"/>
    <mergeCell ref="B203:B205"/>
    <mergeCell ref="B206:B208"/>
    <mergeCell ref="B209:B211"/>
    <mergeCell ref="B212:B214"/>
    <mergeCell ref="B215:B217"/>
    <mergeCell ref="AE194:AE196"/>
    <mergeCell ref="AF194:AF196"/>
    <mergeCell ref="AG194:AG196"/>
    <mergeCell ref="AH194:AH196"/>
    <mergeCell ref="AJ194:AJ196"/>
    <mergeCell ref="AE200:AE202"/>
    <mergeCell ref="AF200:AF202"/>
    <mergeCell ref="AG200:AG202"/>
    <mergeCell ref="AH200:AH202"/>
    <mergeCell ref="AJ200:AJ202"/>
    <mergeCell ref="C206:C208"/>
    <mergeCell ref="D206:D208"/>
    <mergeCell ref="E206:E208"/>
    <mergeCell ref="G206:G208"/>
    <mergeCell ref="H206:H208"/>
    <mergeCell ref="I206:I208"/>
    <mergeCell ref="J206:J208"/>
    <mergeCell ref="L206:L208"/>
    <mergeCell ref="AE206:AE208"/>
    <mergeCell ref="AF206:AF208"/>
    <mergeCell ref="AK194:AK196"/>
    <mergeCell ref="AL194:AL196"/>
    <mergeCell ref="AE197:AE199"/>
    <mergeCell ref="AF197:AF199"/>
    <mergeCell ref="AG197:AG199"/>
    <mergeCell ref="AH197:AH199"/>
    <mergeCell ref="AJ197:AJ199"/>
    <mergeCell ref="AK197:AK199"/>
    <mergeCell ref="AL197:AL199"/>
    <mergeCell ref="AE188:AE190"/>
    <mergeCell ref="AF188:AF190"/>
    <mergeCell ref="AG188:AG190"/>
    <mergeCell ref="AH188:AH190"/>
    <mergeCell ref="AJ188:AJ190"/>
    <mergeCell ref="AK188:AK190"/>
    <mergeCell ref="AL188:AL190"/>
    <mergeCell ref="AE191:AE193"/>
    <mergeCell ref="AF191:AF193"/>
    <mergeCell ref="AG191:AG193"/>
    <mergeCell ref="AH191:AH193"/>
    <mergeCell ref="AJ191:AJ193"/>
    <mergeCell ref="AK191:AK193"/>
    <mergeCell ref="AL191:AL193"/>
    <mergeCell ref="AK200:AK202"/>
    <mergeCell ref="AL200:AL202"/>
    <mergeCell ref="C197:C199"/>
    <mergeCell ref="D197:D199"/>
    <mergeCell ref="E197:E199"/>
    <mergeCell ref="G197:G199"/>
    <mergeCell ref="C200:C202"/>
    <mergeCell ref="D200:D202"/>
    <mergeCell ref="E200:E202"/>
    <mergeCell ref="G200:G202"/>
    <mergeCell ref="L197:L199"/>
    <mergeCell ref="L200:L202"/>
    <mergeCell ref="L203:L205"/>
    <mergeCell ref="AE203:AE205"/>
    <mergeCell ref="AF203:AF205"/>
    <mergeCell ref="AG203:AG205"/>
    <mergeCell ref="AH203:AH205"/>
    <mergeCell ref="AJ203:AJ205"/>
    <mergeCell ref="AK203:AK205"/>
    <mergeCell ref="AL203:AL205"/>
    <mergeCell ref="AH206:AH208"/>
    <mergeCell ref="AJ206:AJ208"/>
    <mergeCell ref="AK206:AK208"/>
    <mergeCell ref="AL206:AL208"/>
    <mergeCell ref="L215:L217"/>
    <mergeCell ref="L218:L220"/>
    <mergeCell ref="L221:L223"/>
    <mergeCell ref="L224:L226"/>
    <mergeCell ref="AE209:AE211"/>
    <mergeCell ref="AF209:AF211"/>
    <mergeCell ref="AG209:AG211"/>
    <mergeCell ref="AH209:AH211"/>
    <mergeCell ref="AJ209:AJ211"/>
    <mergeCell ref="AK209:AK211"/>
    <mergeCell ref="AL209:AL211"/>
    <mergeCell ref="AE212:AE214"/>
    <mergeCell ref="AF212:AF214"/>
    <mergeCell ref="AG212:AG214"/>
    <mergeCell ref="AH212:AH214"/>
    <mergeCell ref="AJ212:AJ214"/>
    <mergeCell ref="AK212:AK214"/>
    <mergeCell ref="AL212:AL214"/>
    <mergeCell ref="AE215:AE217"/>
    <mergeCell ref="AF215:AF217"/>
    <mergeCell ref="AG215:AG217"/>
    <mergeCell ref="AH215:AH217"/>
    <mergeCell ref="AJ215:AJ217"/>
    <mergeCell ref="AK215:AK217"/>
    <mergeCell ref="AL215:AL217"/>
    <mergeCell ref="AE218:AE220"/>
    <mergeCell ref="L212:L214"/>
    <mergeCell ref="B227:B229"/>
    <mergeCell ref="B230:B232"/>
    <mergeCell ref="H227:H229"/>
    <mergeCell ref="I227:I229"/>
    <mergeCell ref="AF218:AF220"/>
    <mergeCell ref="AG218:AG220"/>
    <mergeCell ref="AH218:AH220"/>
    <mergeCell ref="AJ218:AJ220"/>
    <mergeCell ref="AK218:AK220"/>
    <mergeCell ref="AL218:AL220"/>
    <mergeCell ref="AE221:AE223"/>
    <mergeCell ref="AF221:AF223"/>
    <mergeCell ref="AG221:AG223"/>
    <mergeCell ref="AH221:AH223"/>
    <mergeCell ref="AJ221:AJ223"/>
    <mergeCell ref="AK221:AK223"/>
    <mergeCell ref="AL221:AL223"/>
    <mergeCell ref="AE224:AE226"/>
    <mergeCell ref="AF224:AF226"/>
    <mergeCell ref="AG224:AG226"/>
    <mergeCell ref="AH224:AH226"/>
    <mergeCell ref="AJ224:AJ226"/>
    <mergeCell ref="AK224:AK226"/>
    <mergeCell ref="AL224:AL226"/>
    <mergeCell ref="B218:B220"/>
    <mergeCell ref="B221:B223"/>
    <mergeCell ref="B224:B226"/>
    <mergeCell ref="C224:C226"/>
    <mergeCell ref="D221:D223"/>
    <mergeCell ref="C221:C223"/>
    <mergeCell ref="G221:G223"/>
    <mergeCell ref="J227:J229"/>
    <mergeCell ref="H230:H232"/>
    <mergeCell ref="I230:I232"/>
    <mergeCell ref="J230:J232"/>
    <mergeCell ref="H233:H235"/>
    <mergeCell ref="I233:I235"/>
    <mergeCell ref="J233:J235"/>
    <mergeCell ref="H236:H238"/>
    <mergeCell ref="I236:I238"/>
    <mergeCell ref="J236:J238"/>
    <mergeCell ref="C227:C229"/>
    <mergeCell ref="D227:D229"/>
    <mergeCell ref="E227:E229"/>
    <mergeCell ref="G227:G229"/>
    <mergeCell ref="G230:G232"/>
    <mergeCell ref="E230:E232"/>
    <mergeCell ref="D230:D232"/>
    <mergeCell ref="C230:C232"/>
    <mergeCell ref="C233:C235"/>
    <mergeCell ref="D233:D235"/>
    <mergeCell ref="E233:E235"/>
    <mergeCell ref="G233:G235"/>
    <mergeCell ref="C236:C238"/>
    <mergeCell ref="D236:D238"/>
    <mergeCell ref="E236:E238"/>
    <mergeCell ref="G236:G238"/>
    <mergeCell ref="AM35:AM48"/>
    <mergeCell ref="AM50:AM63"/>
    <mergeCell ref="AM65:AM77"/>
    <mergeCell ref="AM80:AM93"/>
    <mergeCell ref="AM95:AM109"/>
    <mergeCell ref="AM110:AM123"/>
    <mergeCell ref="AM125:AM138"/>
    <mergeCell ref="AM140:AM152"/>
    <mergeCell ref="AM155:AM169"/>
    <mergeCell ref="AM170:AM183"/>
    <mergeCell ref="AM185:AM198"/>
    <mergeCell ref="AM200:AM210"/>
    <mergeCell ref="AM212:AM225"/>
    <mergeCell ref="AM227:AM236"/>
    <mergeCell ref="L227:L229"/>
    <mergeCell ref="L230:L232"/>
    <mergeCell ref="L233:L235"/>
    <mergeCell ref="AE227:AE229"/>
    <mergeCell ref="AF227:AF229"/>
    <mergeCell ref="AG227:AG229"/>
    <mergeCell ref="AH227:AH229"/>
    <mergeCell ref="AJ227:AJ229"/>
    <mergeCell ref="AK227:AK229"/>
    <mergeCell ref="AL227:AL229"/>
    <mergeCell ref="AE230:AE232"/>
    <mergeCell ref="AF230:AF232"/>
    <mergeCell ref="AG230:AG232"/>
    <mergeCell ref="AH230:AH232"/>
    <mergeCell ref="AJ230:AJ232"/>
    <mergeCell ref="AK230:AK232"/>
    <mergeCell ref="AL230:AL232"/>
    <mergeCell ref="AG206:AG208"/>
  </mergeCells>
  <conditionalFormatting sqref="J20:L20 J23 L23 K21:K24">
    <cfRule type="expression" dxfId="711" priority="881">
      <formula>J20="Alto"</formula>
    </cfRule>
    <cfRule type="expression" dxfId="710" priority="883">
      <formula>J20="Extremo"</formula>
    </cfRule>
    <cfRule type="expression" dxfId="709" priority="885">
      <formula>J20="Moderado"</formula>
    </cfRule>
    <cfRule type="expression" dxfId="708" priority="887">
      <formula>J20="Bajo"</formula>
    </cfRule>
  </conditionalFormatting>
  <conditionalFormatting sqref="AL20 AL23">
    <cfRule type="expression" dxfId="707" priority="869">
      <formula>AL20="Alto"</formula>
    </cfRule>
    <cfRule type="expression" dxfId="706" priority="870">
      <formula>AL20="Extremo"</formula>
    </cfRule>
    <cfRule type="expression" dxfId="705" priority="871">
      <formula>AL20="Moderado"</formula>
    </cfRule>
    <cfRule type="expression" dxfId="704" priority="872">
      <formula>AL20="Bajo"</formula>
    </cfRule>
  </conditionalFormatting>
  <conditionalFormatting sqref="K26:K27">
    <cfRule type="expression" dxfId="703" priority="853">
      <formula>K26="Alto"</formula>
    </cfRule>
    <cfRule type="expression" dxfId="702" priority="854">
      <formula>K26="Extremo"</formula>
    </cfRule>
    <cfRule type="expression" dxfId="701" priority="855">
      <formula>K26="Moderado"</formula>
    </cfRule>
    <cfRule type="expression" dxfId="700" priority="856">
      <formula>K26="Bajo"</formula>
    </cfRule>
  </conditionalFormatting>
  <conditionalFormatting sqref="K41:K42">
    <cfRule type="expression" dxfId="699" priority="805">
      <formula>K41="Alto"</formula>
    </cfRule>
    <cfRule type="expression" dxfId="698" priority="806">
      <formula>K41="Extremo"</formula>
    </cfRule>
    <cfRule type="expression" dxfId="697" priority="807">
      <formula>K41="Moderado"</formula>
    </cfRule>
    <cfRule type="expression" dxfId="696" priority="808">
      <formula>K41="Bajo"</formula>
    </cfRule>
  </conditionalFormatting>
  <conditionalFormatting sqref="K29:K30">
    <cfRule type="expression" dxfId="695" priority="845">
      <formula>K29="Alto"</formula>
    </cfRule>
    <cfRule type="expression" dxfId="694" priority="846">
      <formula>K29="Extremo"</formula>
    </cfRule>
    <cfRule type="expression" dxfId="693" priority="847">
      <formula>K29="Moderado"</formula>
    </cfRule>
    <cfRule type="expression" dxfId="692" priority="848">
      <formula>K29="Bajo"</formula>
    </cfRule>
  </conditionalFormatting>
  <conditionalFormatting sqref="AL29 AL32 AL35 AL41">
    <cfRule type="expression" dxfId="691" priority="797">
      <formula>AL29="Alto"</formula>
    </cfRule>
    <cfRule type="expression" dxfId="690" priority="798">
      <formula>AL29="Extremo"</formula>
    </cfRule>
    <cfRule type="expression" dxfId="689" priority="799">
      <formula>AL29="Moderado"</formula>
    </cfRule>
    <cfRule type="expression" dxfId="688" priority="800">
      <formula>AL29="Bajo"</formula>
    </cfRule>
  </conditionalFormatting>
  <conditionalFormatting sqref="K32:K33">
    <cfRule type="expression" dxfId="687" priority="837">
      <formula>K32="Alto"</formula>
    </cfRule>
    <cfRule type="expression" dxfId="686" priority="838">
      <formula>K32="Extremo"</formula>
    </cfRule>
    <cfRule type="expression" dxfId="685" priority="839">
      <formula>K32="Moderado"</formula>
    </cfRule>
    <cfRule type="expression" dxfId="684" priority="840">
      <formula>K32="Bajo"</formula>
    </cfRule>
  </conditionalFormatting>
  <conditionalFormatting sqref="L26">
    <cfRule type="expression" dxfId="683" priority="833">
      <formula>L26="Alto"</formula>
    </cfRule>
    <cfRule type="expression" dxfId="682" priority="834">
      <formula>L26="Extremo"</formula>
    </cfRule>
    <cfRule type="expression" dxfId="681" priority="835">
      <formula>L26="Moderado"</formula>
    </cfRule>
    <cfRule type="expression" dxfId="680" priority="836">
      <formula>L26="Bajo"</formula>
    </cfRule>
  </conditionalFormatting>
  <conditionalFormatting sqref="L29 L32">
    <cfRule type="expression" dxfId="679" priority="829">
      <formula>L29="Alto"</formula>
    </cfRule>
    <cfRule type="expression" dxfId="678" priority="830">
      <formula>L29="Extremo"</formula>
    </cfRule>
    <cfRule type="expression" dxfId="677" priority="831">
      <formula>L29="Moderado"</formula>
    </cfRule>
    <cfRule type="expression" dxfId="676" priority="832">
      <formula>L29="Bajo"</formula>
    </cfRule>
  </conditionalFormatting>
  <conditionalFormatting sqref="K35:K36">
    <cfRule type="expression" dxfId="675" priority="825">
      <formula>K35="Alto"</formula>
    </cfRule>
    <cfRule type="expression" dxfId="674" priority="826">
      <formula>K35="Extremo"</formula>
    </cfRule>
    <cfRule type="expression" dxfId="673" priority="827">
      <formula>K35="Moderado"</formula>
    </cfRule>
    <cfRule type="expression" dxfId="672" priority="828">
      <formula>K35="Bajo"</formula>
    </cfRule>
  </conditionalFormatting>
  <conditionalFormatting sqref="L35">
    <cfRule type="expression" dxfId="671" priority="821">
      <formula>L35="Alto"</formula>
    </cfRule>
    <cfRule type="expression" dxfId="670" priority="822">
      <formula>L35="Extremo"</formula>
    </cfRule>
    <cfRule type="expression" dxfId="669" priority="823">
      <formula>L35="Moderado"</formula>
    </cfRule>
    <cfRule type="expression" dxfId="668" priority="824">
      <formula>L35="Bajo"</formula>
    </cfRule>
  </conditionalFormatting>
  <conditionalFormatting sqref="K37">
    <cfRule type="expression" dxfId="667" priority="817">
      <formula>K37="Alto"</formula>
    </cfRule>
    <cfRule type="expression" dxfId="666" priority="818">
      <formula>K37="Extremo"</formula>
    </cfRule>
    <cfRule type="expression" dxfId="665" priority="819">
      <formula>K37="Moderado"</formula>
    </cfRule>
    <cfRule type="expression" dxfId="664" priority="820">
      <formula>K37="Bajo"</formula>
    </cfRule>
  </conditionalFormatting>
  <conditionalFormatting sqref="K38:K39">
    <cfRule type="expression" dxfId="663" priority="813">
      <formula>K38="Alto"</formula>
    </cfRule>
    <cfRule type="expression" dxfId="662" priority="814">
      <formula>K38="Extremo"</formula>
    </cfRule>
    <cfRule type="expression" dxfId="661" priority="815">
      <formula>K38="Moderado"</formula>
    </cfRule>
    <cfRule type="expression" dxfId="660" priority="816">
      <formula>K38="Bajo"</formula>
    </cfRule>
  </conditionalFormatting>
  <conditionalFormatting sqref="L38">
    <cfRule type="expression" dxfId="659" priority="809">
      <formula>L38="Alto"</formula>
    </cfRule>
    <cfRule type="expression" dxfId="658" priority="810">
      <formula>L38="Extremo"</formula>
    </cfRule>
    <cfRule type="expression" dxfId="657" priority="811">
      <formula>L38="Moderado"</formula>
    </cfRule>
    <cfRule type="expression" dxfId="656" priority="812">
      <formula>L38="Bajo"</formula>
    </cfRule>
  </conditionalFormatting>
  <conditionalFormatting sqref="AL26">
    <cfRule type="expression" dxfId="655" priority="789">
      <formula>AL26="Alto"</formula>
    </cfRule>
    <cfRule type="expression" dxfId="654" priority="790">
      <formula>AL26="Extremo"</formula>
    </cfRule>
    <cfRule type="expression" dxfId="653" priority="791">
      <formula>AL26="Moderado"</formula>
    </cfRule>
    <cfRule type="expression" dxfId="652" priority="792">
      <formula>AL26="Bajo"</formula>
    </cfRule>
  </conditionalFormatting>
  <conditionalFormatting sqref="L41">
    <cfRule type="expression" dxfId="651" priority="801">
      <formula>L41="Alto"</formula>
    </cfRule>
    <cfRule type="expression" dxfId="650" priority="802">
      <formula>L41="Extremo"</formula>
    </cfRule>
    <cfRule type="expression" dxfId="649" priority="803">
      <formula>L41="Moderado"</formula>
    </cfRule>
    <cfRule type="expression" dxfId="648" priority="804">
      <formula>L41="Bajo"</formula>
    </cfRule>
  </conditionalFormatting>
  <conditionalFormatting sqref="AL38">
    <cfRule type="expression" dxfId="647" priority="793">
      <formula>AL38="Alto"</formula>
    </cfRule>
    <cfRule type="expression" dxfId="646" priority="794">
      <formula>AL38="Extremo"</formula>
    </cfRule>
    <cfRule type="expression" dxfId="645" priority="795">
      <formula>AL38="Moderado"</formula>
    </cfRule>
    <cfRule type="expression" dxfId="644" priority="796">
      <formula>AL38="Bajo"</formula>
    </cfRule>
  </conditionalFormatting>
  <conditionalFormatting sqref="K80:K81">
    <cfRule type="expression" dxfId="643" priority="501">
      <formula>K80="Alto"</formula>
    </cfRule>
    <cfRule type="expression" dxfId="642" priority="502">
      <formula>K80="Extremo"</formula>
    </cfRule>
    <cfRule type="expression" dxfId="641" priority="503">
      <formula>K80="Moderado"</formula>
    </cfRule>
    <cfRule type="expression" dxfId="640" priority="504">
      <formula>K80="Bajo"</formula>
    </cfRule>
  </conditionalFormatting>
  <conditionalFormatting sqref="J26 J29 J32 J35 J38 J41 J50 J53">
    <cfRule type="expression" dxfId="639" priority="673">
      <formula>J26="Alto"</formula>
    </cfRule>
    <cfRule type="expression" dxfId="638" priority="674">
      <formula>J26="Extremo"</formula>
    </cfRule>
    <cfRule type="expression" dxfId="637" priority="675">
      <formula>J26="Moderado"</formula>
    </cfRule>
    <cfRule type="expression" dxfId="636" priority="676">
      <formula>J26="Bajo"</formula>
    </cfRule>
  </conditionalFormatting>
  <conditionalFormatting sqref="K83:K84">
    <cfRule type="expression" dxfId="635" priority="493">
      <formula>K83="Alto"</formula>
    </cfRule>
    <cfRule type="expression" dxfId="634" priority="494">
      <formula>K83="Extremo"</formula>
    </cfRule>
    <cfRule type="expression" dxfId="633" priority="495">
      <formula>K83="Moderado"</formula>
    </cfRule>
    <cfRule type="expression" dxfId="632" priority="496">
      <formula>K83="Bajo"</formula>
    </cfRule>
  </conditionalFormatting>
  <conditionalFormatting sqref="K46">
    <cfRule type="expression" dxfId="631" priority="653">
      <formula>K46="Alto"</formula>
    </cfRule>
    <cfRule type="expression" dxfId="630" priority="654">
      <formula>K46="Extremo"</formula>
    </cfRule>
    <cfRule type="expression" dxfId="629" priority="655">
      <formula>K46="Moderado"</formula>
    </cfRule>
    <cfRule type="expression" dxfId="628" priority="656">
      <formula>K46="Bajo"</formula>
    </cfRule>
  </conditionalFormatting>
  <conditionalFormatting sqref="J44">
    <cfRule type="expression" dxfId="627" priority="669">
      <formula>J44="Alto"</formula>
    </cfRule>
    <cfRule type="expression" dxfId="626" priority="670">
      <formula>J44="Extremo"</formula>
    </cfRule>
    <cfRule type="expression" dxfId="625" priority="671">
      <formula>J44="Moderado"</formula>
    </cfRule>
    <cfRule type="expression" dxfId="624" priority="672">
      <formula>J44="Bajo"</formula>
    </cfRule>
  </conditionalFormatting>
  <conditionalFormatting sqref="L59">
    <cfRule type="expression" dxfId="623" priority="589">
      <formula>L59="Alto"</formula>
    </cfRule>
    <cfRule type="expression" dxfId="622" priority="590">
      <formula>L59="Extremo"</formula>
    </cfRule>
    <cfRule type="expression" dxfId="621" priority="591">
      <formula>L59="Moderado"</formula>
    </cfRule>
    <cfRule type="expression" dxfId="620" priority="592">
      <formula>L59="Bajo"</formula>
    </cfRule>
  </conditionalFormatting>
  <conditionalFormatting sqref="K56:K57">
    <cfRule type="expression" dxfId="619" priority="605">
      <formula>K56="Alto"</formula>
    </cfRule>
    <cfRule type="expression" dxfId="618" priority="606">
      <formula>K56="Extremo"</formula>
    </cfRule>
    <cfRule type="expression" dxfId="617" priority="607">
      <formula>K56="Moderado"</formula>
    </cfRule>
    <cfRule type="expression" dxfId="616" priority="608">
      <formula>K56="Bajo"</formula>
    </cfRule>
  </conditionalFormatting>
  <conditionalFormatting sqref="K59:K60">
    <cfRule type="expression" dxfId="615" priority="593">
      <formula>K59="Alto"</formula>
    </cfRule>
    <cfRule type="expression" dxfId="614" priority="594">
      <formula>K59="Extremo"</formula>
    </cfRule>
    <cfRule type="expression" dxfId="613" priority="595">
      <formula>K59="Moderado"</formula>
    </cfRule>
    <cfRule type="expression" dxfId="612" priority="596">
      <formula>K59="Bajo"</formula>
    </cfRule>
  </conditionalFormatting>
  <conditionalFormatting sqref="K58">
    <cfRule type="expression" dxfId="611" priority="597">
      <formula>K58="Alto"</formula>
    </cfRule>
    <cfRule type="expression" dxfId="610" priority="598">
      <formula>K58="Extremo"</formula>
    </cfRule>
    <cfRule type="expression" dxfId="609" priority="599">
      <formula>K58="Moderado"</formula>
    </cfRule>
    <cfRule type="expression" dxfId="608" priority="600">
      <formula>K58="Bajo"</formula>
    </cfRule>
  </conditionalFormatting>
  <conditionalFormatting sqref="L80">
    <cfRule type="expression" dxfId="607" priority="497">
      <formula>L80="Alto"</formula>
    </cfRule>
    <cfRule type="expression" dxfId="606" priority="498">
      <formula>L80="Extremo"</formula>
    </cfRule>
    <cfRule type="expression" dxfId="605" priority="499">
      <formula>L80="Moderado"</formula>
    </cfRule>
    <cfRule type="expression" dxfId="604" priority="500">
      <formula>L80="Bajo"</formula>
    </cfRule>
  </conditionalFormatting>
  <conditionalFormatting sqref="K55">
    <cfRule type="expression" dxfId="603" priority="617">
      <formula>K55="Alto"</formula>
    </cfRule>
    <cfRule type="expression" dxfId="602" priority="618">
      <formula>K55="Extremo"</formula>
    </cfRule>
    <cfRule type="expression" dxfId="601" priority="619">
      <formula>K55="Moderado"</formula>
    </cfRule>
    <cfRule type="expression" dxfId="600" priority="620">
      <formula>K55="Bajo"</formula>
    </cfRule>
  </conditionalFormatting>
  <conditionalFormatting sqref="L56">
    <cfRule type="expression" dxfId="599" priority="601">
      <formula>L56="Alto"</formula>
    </cfRule>
    <cfRule type="expression" dxfId="598" priority="602">
      <formula>L56="Extremo"</formula>
    </cfRule>
    <cfRule type="expression" dxfId="597" priority="603">
      <formula>L56="Moderado"</formula>
    </cfRule>
    <cfRule type="expression" dxfId="596" priority="604">
      <formula>L56="Bajo"</formula>
    </cfRule>
  </conditionalFormatting>
  <conditionalFormatting sqref="J56 J59">
    <cfRule type="expression" dxfId="595" priority="609">
      <formula>J56="Alto"</formula>
    </cfRule>
    <cfRule type="expression" dxfId="594" priority="610">
      <formula>J56="Extremo"</formula>
    </cfRule>
    <cfRule type="expression" dxfId="593" priority="611">
      <formula>J56="Moderado"</formula>
    </cfRule>
    <cfRule type="expression" dxfId="592" priority="612">
      <formula>J56="Bajo"</formula>
    </cfRule>
  </conditionalFormatting>
  <conditionalFormatting sqref="AL50 AL53">
    <cfRule type="expression" dxfId="591" priority="613">
      <formula>AL50="Alto"</formula>
    </cfRule>
    <cfRule type="expression" dxfId="590" priority="614">
      <formula>AL50="Extremo"</formula>
    </cfRule>
    <cfRule type="expression" dxfId="589" priority="615">
      <formula>AL50="Moderado"</formula>
    </cfRule>
    <cfRule type="expression" dxfId="588" priority="616">
      <formula>AL50="Bajo"</formula>
    </cfRule>
  </conditionalFormatting>
  <conditionalFormatting sqref="K52">
    <cfRule type="expression" dxfId="587" priority="629">
      <formula>K52="Alto"</formula>
    </cfRule>
    <cfRule type="expression" dxfId="586" priority="630">
      <formula>K52="Extremo"</formula>
    </cfRule>
    <cfRule type="expression" dxfId="585" priority="631">
      <formula>K52="Moderado"</formula>
    </cfRule>
    <cfRule type="expression" dxfId="584" priority="632">
      <formula>K52="Bajo"</formula>
    </cfRule>
  </conditionalFormatting>
  <conditionalFormatting sqref="AL71 AL74">
    <cfRule type="expression" dxfId="583" priority="517">
      <formula>AL71="Alto"</formula>
    </cfRule>
    <cfRule type="expression" dxfId="582" priority="518">
      <formula>AL71="Extremo"</formula>
    </cfRule>
    <cfRule type="expression" dxfId="581" priority="519">
      <formula>AL71="Moderado"</formula>
    </cfRule>
    <cfRule type="expression" dxfId="580" priority="520">
      <formula>AL71="Bajo"</formula>
    </cfRule>
  </conditionalFormatting>
  <conditionalFormatting sqref="L53">
    <cfRule type="expression" dxfId="579" priority="621">
      <formula>L53="Alto"</formula>
    </cfRule>
    <cfRule type="expression" dxfId="578" priority="622">
      <formula>L53="Extremo"</formula>
    </cfRule>
    <cfRule type="expression" dxfId="577" priority="623">
      <formula>L53="Moderado"</formula>
    </cfRule>
    <cfRule type="expression" dxfId="576" priority="624">
      <formula>L53="Bajo"</formula>
    </cfRule>
  </conditionalFormatting>
  <conditionalFormatting sqref="K53:K54">
    <cfRule type="expression" dxfId="575" priority="625">
      <formula>K53="Alto"</formula>
    </cfRule>
    <cfRule type="expression" dxfId="574" priority="626">
      <formula>K53="Extremo"</formula>
    </cfRule>
    <cfRule type="expression" dxfId="573" priority="627">
      <formula>K53="Moderado"</formula>
    </cfRule>
    <cfRule type="expression" dxfId="572" priority="628">
      <formula>K53="Bajo"</formula>
    </cfRule>
  </conditionalFormatting>
  <conditionalFormatting sqref="L47">
    <cfRule type="expression" dxfId="571" priority="645">
      <formula>L47="Alto"</formula>
    </cfRule>
    <cfRule type="expression" dxfId="570" priority="646">
      <formula>L47="Extremo"</formula>
    </cfRule>
    <cfRule type="expression" dxfId="569" priority="647">
      <formula>L47="Moderado"</formula>
    </cfRule>
    <cfRule type="expression" dxfId="568" priority="648">
      <formula>L47="Bajo"</formula>
    </cfRule>
  </conditionalFormatting>
  <conditionalFormatting sqref="K74:K75">
    <cfRule type="expression" dxfId="567" priority="525">
      <formula>K74="Alto"</formula>
    </cfRule>
    <cfRule type="expression" dxfId="566" priority="526">
      <formula>K74="Extremo"</formula>
    </cfRule>
    <cfRule type="expression" dxfId="565" priority="527">
      <formula>K74="Moderado"</formula>
    </cfRule>
    <cfRule type="expression" dxfId="564" priority="528">
      <formula>K74="Bajo"</formula>
    </cfRule>
  </conditionalFormatting>
  <conditionalFormatting sqref="K50:K51">
    <cfRule type="expression" dxfId="563" priority="637">
      <formula>K50="Alto"</formula>
    </cfRule>
    <cfRule type="expression" dxfId="562" priority="638">
      <formula>K50="Extremo"</formula>
    </cfRule>
    <cfRule type="expression" dxfId="561" priority="639">
      <formula>K50="Moderado"</formula>
    </cfRule>
    <cfRule type="expression" dxfId="560" priority="640">
      <formula>K50="Bajo"</formula>
    </cfRule>
  </conditionalFormatting>
  <conditionalFormatting sqref="L107">
    <cfRule type="expression" dxfId="559" priority="389">
      <formula>L107="Alto"</formula>
    </cfRule>
    <cfRule type="expression" dxfId="558" priority="390">
      <formula>L107="Extremo"</formula>
    </cfRule>
    <cfRule type="expression" dxfId="557" priority="391">
      <formula>L107="Moderado"</formula>
    </cfRule>
    <cfRule type="expression" dxfId="556" priority="392">
      <formula>L107="Bajo"</formula>
    </cfRule>
  </conditionalFormatting>
  <conditionalFormatting sqref="L71">
    <cfRule type="expression" dxfId="555" priority="529">
      <formula>L71="Alto"</formula>
    </cfRule>
    <cfRule type="expression" dxfId="554" priority="530">
      <formula>L71="Extremo"</formula>
    </cfRule>
    <cfRule type="expression" dxfId="553" priority="531">
      <formula>L71="Moderado"</formula>
    </cfRule>
    <cfRule type="expression" dxfId="552" priority="532">
      <formula>L71="Bajo"</formula>
    </cfRule>
  </conditionalFormatting>
  <conditionalFormatting sqref="L50">
    <cfRule type="expression" dxfId="551" priority="633">
      <formula>L50="Alto"</formula>
    </cfRule>
    <cfRule type="expression" dxfId="550" priority="634">
      <formula>L50="Extremo"</formula>
    </cfRule>
    <cfRule type="expression" dxfId="549" priority="635">
      <formula>L50="Moderado"</formula>
    </cfRule>
    <cfRule type="expression" dxfId="548" priority="636">
      <formula>L50="Bajo"</formula>
    </cfRule>
  </conditionalFormatting>
  <conditionalFormatting sqref="L44">
    <cfRule type="expression" dxfId="547" priority="657">
      <formula>L44="Alto"</formula>
    </cfRule>
    <cfRule type="expression" dxfId="546" priority="658">
      <formula>L44="Extremo"</formula>
    </cfRule>
    <cfRule type="expression" dxfId="545" priority="659">
      <formula>L44="Moderado"</formula>
    </cfRule>
    <cfRule type="expression" dxfId="544" priority="660">
      <formula>L44="Bajo"</formula>
    </cfRule>
  </conditionalFormatting>
  <conditionalFormatting sqref="K77:K78">
    <cfRule type="expression" dxfId="543" priority="509">
      <formula>K77="Alto"</formula>
    </cfRule>
    <cfRule type="expression" dxfId="542" priority="510">
      <formula>K77="Extremo"</formula>
    </cfRule>
    <cfRule type="expression" dxfId="541" priority="511">
      <formula>K77="Moderado"</formula>
    </cfRule>
    <cfRule type="expression" dxfId="540" priority="512">
      <formula>K77="Bajo"</formula>
    </cfRule>
  </conditionalFormatting>
  <conditionalFormatting sqref="K47:K48">
    <cfRule type="expression" dxfId="539" priority="649">
      <formula>K47="Alto"</formula>
    </cfRule>
    <cfRule type="expression" dxfId="538" priority="650">
      <formula>K47="Extremo"</formula>
    </cfRule>
    <cfRule type="expression" dxfId="537" priority="651">
      <formula>K47="Moderado"</formula>
    </cfRule>
    <cfRule type="expression" dxfId="536" priority="652">
      <formula>K47="Bajo"</formula>
    </cfRule>
  </conditionalFormatting>
  <conditionalFormatting sqref="L101">
    <cfRule type="expression" dxfId="535" priority="429">
      <formula>L101="Alto"</formula>
    </cfRule>
    <cfRule type="expression" dxfId="534" priority="430">
      <formula>L101="Extremo"</formula>
    </cfRule>
    <cfRule type="expression" dxfId="533" priority="431">
      <formula>L101="Moderado"</formula>
    </cfRule>
    <cfRule type="expression" dxfId="532" priority="432">
      <formula>L101="Bajo"</formula>
    </cfRule>
  </conditionalFormatting>
  <conditionalFormatting sqref="K98:K99">
    <cfRule type="expression" dxfId="531" priority="425">
      <formula>K98="Alto"</formula>
    </cfRule>
    <cfRule type="expression" dxfId="530" priority="426">
      <formula>K98="Extremo"</formula>
    </cfRule>
    <cfRule type="expression" dxfId="529" priority="427">
      <formula>K98="Moderado"</formula>
    </cfRule>
    <cfRule type="expression" dxfId="528" priority="428">
      <formula>K98="Bajo"</formula>
    </cfRule>
  </conditionalFormatting>
  <conditionalFormatting sqref="L62">
    <cfRule type="expression" dxfId="527" priority="573">
      <formula>L62="Alto"</formula>
    </cfRule>
    <cfRule type="expression" dxfId="526" priority="574">
      <formula>L62="Extremo"</formula>
    </cfRule>
    <cfRule type="expression" dxfId="525" priority="575">
      <formula>L62="Moderado"</formula>
    </cfRule>
    <cfRule type="expression" dxfId="524" priority="576">
      <formula>L62="Bajo"</formula>
    </cfRule>
  </conditionalFormatting>
  <conditionalFormatting sqref="L98">
    <cfRule type="expression" dxfId="523" priority="421">
      <formula>L98="Alto"</formula>
    </cfRule>
    <cfRule type="expression" dxfId="522" priority="422">
      <formula>L98="Extremo"</formula>
    </cfRule>
    <cfRule type="expression" dxfId="521" priority="423">
      <formula>L98="Moderado"</formula>
    </cfRule>
    <cfRule type="expression" dxfId="520" priority="424">
      <formula>L98="Bajo"</formula>
    </cfRule>
  </conditionalFormatting>
  <conditionalFormatting sqref="J47">
    <cfRule type="expression" dxfId="519" priority="665">
      <formula>J47="Alto"</formula>
    </cfRule>
    <cfRule type="expression" dxfId="518" priority="666">
      <formula>J47="Extremo"</formula>
    </cfRule>
    <cfRule type="expression" dxfId="517" priority="667">
      <formula>J47="Moderado"</formula>
    </cfRule>
    <cfRule type="expression" dxfId="516" priority="668">
      <formula>J47="Bajo"</formula>
    </cfRule>
  </conditionalFormatting>
  <conditionalFormatting sqref="K44:K45">
    <cfRule type="expression" dxfId="515" priority="661">
      <formula>K44="Alto"</formula>
    </cfRule>
    <cfRule type="expression" dxfId="514" priority="662">
      <formula>K44="Extremo"</formula>
    </cfRule>
    <cfRule type="expression" dxfId="513" priority="663">
      <formula>K44="Moderado"</formula>
    </cfRule>
    <cfRule type="expression" dxfId="512" priority="664">
      <formula>K44="Bajo"</formula>
    </cfRule>
  </conditionalFormatting>
  <conditionalFormatting sqref="L68">
    <cfRule type="expression" dxfId="511" priority="557">
      <formula>L68="Alto"</formula>
    </cfRule>
    <cfRule type="expression" dxfId="510" priority="558">
      <formula>L68="Extremo"</formula>
    </cfRule>
    <cfRule type="expression" dxfId="509" priority="559">
      <formula>L68="Moderado"</formula>
    </cfRule>
    <cfRule type="expression" dxfId="508" priority="560">
      <formula>L68="Bajo"</formula>
    </cfRule>
  </conditionalFormatting>
  <conditionalFormatting sqref="AL62 AL65 AL68">
    <cfRule type="expression" dxfId="507" priority="553">
      <formula>AL62="Alto"</formula>
    </cfRule>
    <cfRule type="expression" dxfId="506" priority="554">
      <formula>AL62="Extremo"</formula>
    </cfRule>
    <cfRule type="expression" dxfId="505" priority="555">
      <formula>AL62="Moderado"</formula>
    </cfRule>
    <cfRule type="expression" dxfId="504" priority="556">
      <formula>AL62="Bajo"</formula>
    </cfRule>
  </conditionalFormatting>
  <conditionalFormatting sqref="J71 J74">
    <cfRule type="expression" dxfId="503" priority="549">
      <formula>J71="Alto"</formula>
    </cfRule>
    <cfRule type="expression" dxfId="502" priority="550">
      <formula>J71="Extremo"</formula>
    </cfRule>
    <cfRule type="expression" dxfId="501" priority="551">
      <formula>J71="Moderado"</formula>
    </cfRule>
    <cfRule type="expression" dxfId="500" priority="552">
      <formula>J71="Bajo"</formula>
    </cfRule>
  </conditionalFormatting>
  <conditionalFormatting sqref="K71:K72">
    <cfRule type="expression" dxfId="499" priority="545">
      <formula>K71="Alto"</formula>
    </cfRule>
    <cfRule type="expression" dxfId="498" priority="546">
      <formula>K71="Extremo"</formula>
    </cfRule>
    <cfRule type="expression" dxfId="497" priority="547">
      <formula>K71="Moderado"</formula>
    </cfRule>
    <cfRule type="expression" dxfId="496" priority="548">
      <formula>K71="Bajo"</formula>
    </cfRule>
  </conditionalFormatting>
  <conditionalFormatting sqref="AL44 AL47">
    <cfRule type="expression" dxfId="495" priority="641">
      <formula>AL44="Alto"</formula>
    </cfRule>
    <cfRule type="expression" dxfId="494" priority="642">
      <formula>AL44="Extremo"</formula>
    </cfRule>
    <cfRule type="expression" dxfId="493" priority="643">
      <formula>AL44="Moderado"</formula>
    </cfRule>
    <cfRule type="expression" dxfId="492" priority="644">
      <formula>AL44="Bajo"</formula>
    </cfRule>
  </conditionalFormatting>
  <conditionalFormatting sqref="J77 J80 J83">
    <cfRule type="expression" dxfId="491" priority="513">
      <formula>J77="Alto"</formula>
    </cfRule>
    <cfRule type="expression" dxfId="490" priority="514">
      <formula>J77="Extremo"</formula>
    </cfRule>
    <cfRule type="expression" dxfId="489" priority="515">
      <formula>J77="Moderado"</formula>
    </cfRule>
    <cfRule type="expression" dxfId="488" priority="516">
      <formula>J77="Bajo"</formula>
    </cfRule>
  </conditionalFormatting>
  <conditionalFormatting sqref="L110">
    <cfRule type="expression" dxfId="487" priority="397">
      <formula>L110="Alto"</formula>
    </cfRule>
    <cfRule type="expression" dxfId="486" priority="398">
      <formula>L110="Extremo"</formula>
    </cfRule>
    <cfRule type="expression" dxfId="485" priority="399">
      <formula>L110="Moderado"</formula>
    </cfRule>
    <cfRule type="expression" dxfId="484" priority="400">
      <formula>L110="Bajo"</formula>
    </cfRule>
  </conditionalFormatting>
  <conditionalFormatting sqref="L77">
    <cfRule type="expression" dxfId="483" priority="505">
      <formula>L77="Alto"</formula>
    </cfRule>
    <cfRule type="expression" dxfId="482" priority="506">
      <formula>L77="Extremo"</formula>
    </cfRule>
    <cfRule type="expression" dxfId="481" priority="507">
      <formula>L77="Moderado"</formula>
    </cfRule>
    <cfRule type="expression" dxfId="480" priority="508">
      <formula>L77="Bajo"</formula>
    </cfRule>
  </conditionalFormatting>
  <conditionalFormatting sqref="L146">
    <cfRule type="expression" dxfId="479" priority="277">
      <formula>L146="Alto"</formula>
    </cfRule>
    <cfRule type="expression" dxfId="478" priority="278">
      <formula>L146="Extremo"</formula>
    </cfRule>
    <cfRule type="expression" dxfId="477" priority="279">
      <formula>L146="Moderado"</formula>
    </cfRule>
    <cfRule type="expression" dxfId="476" priority="280">
      <formula>L146="Bajo"</formula>
    </cfRule>
  </conditionalFormatting>
  <conditionalFormatting sqref="L74">
    <cfRule type="expression" dxfId="475" priority="521">
      <formula>L74="Alto"</formula>
    </cfRule>
    <cfRule type="expression" dxfId="474" priority="522">
      <formula>L74="Extremo"</formula>
    </cfRule>
    <cfRule type="expression" dxfId="473" priority="523">
      <formula>L74="Moderado"</formula>
    </cfRule>
    <cfRule type="expression" dxfId="472" priority="524">
      <formula>L74="Bajo"</formula>
    </cfRule>
  </conditionalFormatting>
  <conditionalFormatting sqref="K113:K114">
    <cfRule type="expression" dxfId="471" priority="381">
      <formula>K113="Alto"</formula>
    </cfRule>
    <cfRule type="expression" dxfId="470" priority="382">
      <formula>K113="Extremo"</formula>
    </cfRule>
    <cfRule type="expression" dxfId="469" priority="383">
      <formula>K113="Moderado"</formula>
    </cfRule>
    <cfRule type="expression" dxfId="468" priority="384">
      <formula>K113="Bajo"</formula>
    </cfRule>
  </conditionalFormatting>
  <conditionalFormatting sqref="K110:K111">
    <cfRule type="expression" dxfId="467" priority="401">
      <formula>K110="Alto"</formula>
    </cfRule>
    <cfRule type="expression" dxfId="466" priority="402">
      <formula>K110="Extremo"</formula>
    </cfRule>
    <cfRule type="expression" dxfId="465" priority="403">
      <formula>K110="Moderado"</formula>
    </cfRule>
    <cfRule type="expression" dxfId="464" priority="404">
      <formula>K110="Bajo"</formula>
    </cfRule>
  </conditionalFormatting>
  <conditionalFormatting sqref="L140">
    <cfRule type="expression" dxfId="463" priority="285">
      <formula>L140="Alto"</formula>
    </cfRule>
    <cfRule type="expression" dxfId="462" priority="286">
      <formula>L140="Extremo"</formula>
    </cfRule>
    <cfRule type="expression" dxfId="461" priority="287">
      <formula>L140="Moderado"</formula>
    </cfRule>
    <cfRule type="expression" dxfId="460" priority="288">
      <formula>L140="Bajo"</formula>
    </cfRule>
  </conditionalFormatting>
  <conditionalFormatting sqref="K107:K108">
    <cfRule type="expression" dxfId="459" priority="393">
      <formula>K107="Alto"</formula>
    </cfRule>
    <cfRule type="expression" dxfId="458" priority="394">
      <formula>K107="Extremo"</formula>
    </cfRule>
    <cfRule type="expression" dxfId="457" priority="395">
      <formula>K107="Moderado"</formula>
    </cfRule>
    <cfRule type="expression" dxfId="456" priority="396">
      <formula>K107="Bajo"</formula>
    </cfRule>
  </conditionalFormatting>
  <conditionalFormatting sqref="J89">
    <cfRule type="expression" dxfId="455" priority="477">
      <formula>J89="Alto"</formula>
    </cfRule>
    <cfRule type="expression" dxfId="454" priority="478">
      <formula>J89="Extremo"</formula>
    </cfRule>
    <cfRule type="expression" dxfId="453" priority="479">
      <formula>J89="Moderado"</formula>
    </cfRule>
    <cfRule type="expression" dxfId="452" priority="480">
      <formula>J89="Bajo"</formula>
    </cfRule>
  </conditionalFormatting>
  <conditionalFormatting sqref="K86:K87">
    <cfRule type="expression" dxfId="451" priority="473">
      <formula>K86="Alto"</formula>
    </cfRule>
    <cfRule type="expression" dxfId="450" priority="474">
      <formula>K86="Extremo"</formula>
    </cfRule>
    <cfRule type="expression" dxfId="449" priority="475">
      <formula>K86="Moderado"</formula>
    </cfRule>
    <cfRule type="expression" dxfId="448" priority="476">
      <formula>K86="Bajo"</formula>
    </cfRule>
  </conditionalFormatting>
  <conditionalFormatting sqref="L86">
    <cfRule type="expression" dxfId="447" priority="469">
      <formula>L86="Alto"</formula>
    </cfRule>
    <cfRule type="expression" dxfId="446" priority="470">
      <formula>L86="Extremo"</formula>
    </cfRule>
    <cfRule type="expression" dxfId="445" priority="471">
      <formula>L86="Moderado"</formula>
    </cfRule>
    <cfRule type="expression" dxfId="444" priority="472">
      <formula>L86="Bajo"</formula>
    </cfRule>
  </conditionalFormatting>
  <conditionalFormatting sqref="L83">
    <cfRule type="expression" dxfId="443" priority="489">
      <formula>L83="Alto"</formula>
    </cfRule>
    <cfRule type="expression" dxfId="442" priority="490">
      <formula>L83="Extremo"</formula>
    </cfRule>
    <cfRule type="expression" dxfId="441" priority="491">
      <formula>L83="Moderado"</formula>
    </cfRule>
    <cfRule type="expression" dxfId="440" priority="492">
      <formula>L83="Bajo"</formula>
    </cfRule>
  </conditionalFormatting>
  <conditionalFormatting sqref="AL56 AL59">
    <cfRule type="expression" dxfId="439" priority="585">
      <formula>AL56="Alto"</formula>
    </cfRule>
    <cfRule type="expression" dxfId="438" priority="586">
      <formula>AL56="Extremo"</formula>
    </cfRule>
    <cfRule type="expression" dxfId="437" priority="587">
      <formula>AL56="Moderado"</formula>
    </cfRule>
    <cfRule type="expression" dxfId="436" priority="588">
      <formula>AL56="Bajo"</formula>
    </cfRule>
  </conditionalFormatting>
  <conditionalFormatting sqref="J62 J65 J68">
    <cfRule type="expression" dxfId="435" priority="581">
      <formula>J62="Alto"</formula>
    </cfRule>
    <cfRule type="expression" dxfId="434" priority="582">
      <formula>J62="Extremo"</formula>
    </cfRule>
    <cfRule type="expression" dxfId="433" priority="583">
      <formula>J62="Moderado"</formula>
    </cfRule>
    <cfRule type="expression" dxfId="432" priority="584">
      <formula>J62="Bajo"</formula>
    </cfRule>
  </conditionalFormatting>
  <conditionalFormatting sqref="K62:K63">
    <cfRule type="expression" dxfId="431" priority="577">
      <formula>K62="Alto"</formula>
    </cfRule>
    <cfRule type="expression" dxfId="430" priority="578">
      <formula>K62="Extremo"</formula>
    </cfRule>
    <cfRule type="expression" dxfId="429" priority="579">
      <formula>K62="Moderado"</formula>
    </cfRule>
    <cfRule type="expression" dxfId="428" priority="580">
      <formula>K62="Bajo"</formula>
    </cfRule>
  </conditionalFormatting>
  <conditionalFormatting sqref="L95">
    <cfRule type="expression" dxfId="427" priority="437">
      <formula>L95="Alto"</formula>
    </cfRule>
    <cfRule type="expression" dxfId="426" priority="438">
      <formula>L95="Extremo"</formula>
    </cfRule>
    <cfRule type="expression" dxfId="425" priority="439">
      <formula>L95="Moderado"</formula>
    </cfRule>
    <cfRule type="expression" dxfId="424" priority="440">
      <formula>L95="Bajo"</formula>
    </cfRule>
  </conditionalFormatting>
  <conditionalFormatting sqref="K65:K66">
    <cfRule type="expression" dxfId="423" priority="569">
      <formula>K65="Alto"</formula>
    </cfRule>
    <cfRule type="expression" dxfId="422" priority="570">
      <formula>K65="Extremo"</formula>
    </cfRule>
    <cfRule type="expression" dxfId="421" priority="571">
      <formula>K65="Moderado"</formula>
    </cfRule>
    <cfRule type="expression" dxfId="420" priority="572">
      <formula>K65="Bajo"</formula>
    </cfRule>
  </conditionalFormatting>
  <conditionalFormatting sqref="L65">
    <cfRule type="expression" dxfId="419" priority="565">
      <formula>L65="Alto"</formula>
    </cfRule>
    <cfRule type="expression" dxfId="418" priority="566">
      <formula>L65="Extremo"</formula>
    </cfRule>
    <cfRule type="expression" dxfId="417" priority="567">
      <formula>L65="Moderado"</formula>
    </cfRule>
    <cfRule type="expression" dxfId="416" priority="568">
      <formula>L65="Bajo"</formula>
    </cfRule>
  </conditionalFormatting>
  <conditionalFormatting sqref="K68:K69">
    <cfRule type="expression" dxfId="415" priority="561">
      <formula>K68="Alto"</formula>
    </cfRule>
    <cfRule type="expression" dxfId="414" priority="562">
      <formula>K68="Extremo"</formula>
    </cfRule>
    <cfRule type="expression" dxfId="413" priority="563">
      <formula>K68="Moderado"</formula>
    </cfRule>
    <cfRule type="expression" dxfId="412" priority="564">
      <formula>K68="Bajo"</formula>
    </cfRule>
  </conditionalFormatting>
  <conditionalFormatting sqref="K100">
    <cfRule type="expression" dxfId="411" priority="417">
      <formula>K100="Alto"</formula>
    </cfRule>
    <cfRule type="expression" dxfId="410" priority="418">
      <formula>K100="Extremo"</formula>
    </cfRule>
    <cfRule type="expression" dxfId="409" priority="419">
      <formula>K100="Moderado"</formula>
    </cfRule>
    <cfRule type="expression" dxfId="408" priority="420">
      <formula>K100="Bajo"</formula>
    </cfRule>
  </conditionalFormatting>
  <conditionalFormatting sqref="J104 J107 J110 J113 J116 J119 J122 J125 J128 J131 J134 J137 J140 J143 J146 J149 J152 J155 J158 J161 J164 J167 J170 J173 J176 J179 J182 J185 J188 J191 J194 J197 J200 J203 J206 J209 J212 J215 J218 J221 J224 J227 J230 J233 J236">
    <cfRule type="expression" dxfId="407" priority="413">
      <formula>J104="Alto"</formula>
    </cfRule>
    <cfRule type="expression" dxfId="406" priority="414">
      <formula>J104="Extremo"</formula>
    </cfRule>
    <cfRule type="expression" dxfId="405" priority="415">
      <formula>J104="Moderado"</formula>
    </cfRule>
    <cfRule type="expression" dxfId="404" priority="416">
      <formula>J104="Bajo"</formula>
    </cfRule>
  </conditionalFormatting>
  <conditionalFormatting sqref="K104:K105">
    <cfRule type="expression" dxfId="403" priority="409">
      <formula>K104="Alto"</formula>
    </cfRule>
    <cfRule type="expression" dxfId="402" priority="410">
      <formula>K104="Extremo"</formula>
    </cfRule>
    <cfRule type="expression" dxfId="401" priority="411">
      <formula>K104="Moderado"</formula>
    </cfRule>
    <cfRule type="expression" dxfId="400" priority="412">
      <formula>K104="Bajo"</formula>
    </cfRule>
  </conditionalFormatting>
  <conditionalFormatting sqref="K146:K147">
    <cfRule type="expression" dxfId="399" priority="281">
      <formula>K146="Alto"</formula>
    </cfRule>
    <cfRule type="expression" dxfId="398" priority="282">
      <formula>K146="Extremo"</formula>
    </cfRule>
    <cfRule type="expression" dxfId="397" priority="283">
      <formula>K146="Moderado"</formula>
    </cfRule>
    <cfRule type="expression" dxfId="396" priority="284">
      <formula>K146="Bajo"</formula>
    </cfRule>
  </conditionalFormatting>
  <conditionalFormatting sqref="L116">
    <cfRule type="expression" dxfId="395" priority="369">
      <formula>L116="Alto"</formula>
    </cfRule>
    <cfRule type="expression" dxfId="394" priority="370">
      <formula>L116="Extremo"</formula>
    </cfRule>
    <cfRule type="expression" dxfId="393" priority="371">
      <formula>L116="Moderado"</formula>
    </cfRule>
    <cfRule type="expression" dxfId="392" priority="372">
      <formula>L116="Bajo"</formula>
    </cfRule>
  </conditionalFormatting>
  <conditionalFormatting sqref="K89:K90">
    <cfRule type="expression" dxfId="391" priority="465">
      <formula>K89="Alto"</formula>
    </cfRule>
    <cfRule type="expression" dxfId="390" priority="466">
      <formula>K89="Extremo"</formula>
    </cfRule>
    <cfRule type="expression" dxfId="389" priority="467">
      <formula>K89="Moderado"</formula>
    </cfRule>
    <cfRule type="expression" dxfId="388" priority="468">
      <formula>K89="Bajo"</formula>
    </cfRule>
  </conditionalFormatting>
  <conditionalFormatting sqref="K109">
    <cfRule type="expression" dxfId="387" priority="385">
      <formula>K109="Alto"</formula>
    </cfRule>
    <cfRule type="expression" dxfId="386" priority="386">
      <formula>K109="Extremo"</formula>
    </cfRule>
    <cfRule type="expression" dxfId="385" priority="387">
      <formula>K109="Moderado"</formula>
    </cfRule>
    <cfRule type="expression" dxfId="384" priority="388">
      <formula>K109="Bajo"</formula>
    </cfRule>
  </conditionalFormatting>
  <conditionalFormatting sqref="L149">
    <cfRule type="expression" dxfId="383" priority="269">
      <formula>L149="Alto"</formula>
    </cfRule>
    <cfRule type="expression" dxfId="382" priority="270">
      <formula>L149="Extremo"</formula>
    </cfRule>
    <cfRule type="expression" dxfId="381" priority="271">
      <formula>L149="Moderado"</formula>
    </cfRule>
    <cfRule type="expression" dxfId="380" priority="272">
      <formula>L149="Bajo"</formula>
    </cfRule>
  </conditionalFormatting>
  <conditionalFormatting sqref="L113">
    <cfRule type="expression" dxfId="379" priority="377">
      <formula>L113="Alto"</formula>
    </cfRule>
    <cfRule type="expression" dxfId="378" priority="378">
      <formula>L113="Extremo"</formula>
    </cfRule>
    <cfRule type="expression" dxfId="377" priority="379">
      <formula>L113="Moderado"</formula>
    </cfRule>
    <cfRule type="expression" dxfId="376" priority="380">
      <formula>L113="Bajo"</formula>
    </cfRule>
  </conditionalFormatting>
  <conditionalFormatting sqref="AL77 AL80 AL83 AL236 AL86 AL89 AL95 AL92 AL98 AL101 AL104 AL233 AL107 AL110 AL113 AL116 AL119 AL122 AL125 AL128 AL131 AL134 AL137 AL140 AL143 AL146 AL149 AL152 AL155 AL167 AL170 AL158 AL161 AL164 AL173 AL176 AL179 AL182 AL185 AL188 AL191 AL194 AL197 AL200 AL203 AL206 AL209 AL212 AL215 AL218 AL221 AL224 AL227 AL230">
    <cfRule type="expression" dxfId="375" priority="485">
      <formula>AL77="Alto"</formula>
    </cfRule>
    <cfRule type="expression" dxfId="374" priority="486">
      <formula>AL77="Extremo"</formula>
    </cfRule>
    <cfRule type="expression" dxfId="373" priority="487">
      <formula>AL77="Moderado"</formula>
    </cfRule>
    <cfRule type="expression" dxfId="372" priority="488">
      <formula>AL77="Bajo"</formula>
    </cfRule>
  </conditionalFormatting>
  <conditionalFormatting sqref="J86">
    <cfRule type="expression" dxfId="371" priority="481">
      <formula>J86="Alto"</formula>
    </cfRule>
    <cfRule type="expression" dxfId="370" priority="482">
      <formula>J86="Extremo"</formula>
    </cfRule>
    <cfRule type="expression" dxfId="369" priority="483">
      <formula>J86="Moderado"</formula>
    </cfRule>
    <cfRule type="expression" dxfId="368" priority="484">
      <formula>J86="Bajo"</formula>
    </cfRule>
  </conditionalFormatting>
  <conditionalFormatting sqref="K140:K141">
    <cfRule type="expression" dxfId="367" priority="289">
      <formula>K140="Alto"</formula>
    </cfRule>
    <cfRule type="expression" dxfId="366" priority="290">
      <formula>K140="Extremo"</formula>
    </cfRule>
    <cfRule type="expression" dxfId="365" priority="291">
      <formula>K140="Moderado"</formula>
    </cfRule>
    <cfRule type="expression" dxfId="364" priority="292">
      <formula>K140="Bajo"</formula>
    </cfRule>
  </conditionalFormatting>
  <conditionalFormatting sqref="L119">
    <cfRule type="expression" dxfId="363" priority="361">
      <formula>L119="Alto"</formula>
    </cfRule>
    <cfRule type="expression" dxfId="362" priority="362">
      <formula>L119="Extremo"</formula>
    </cfRule>
    <cfRule type="expression" dxfId="361" priority="363">
      <formula>L119="Moderado"</formula>
    </cfRule>
    <cfRule type="expression" dxfId="360" priority="364">
      <formula>L119="Bajo"</formula>
    </cfRule>
  </conditionalFormatting>
  <conditionalFormatting sqref="L155">
    <cfRule type="expression" dxfId="359" priority="257">
      <formula>L155="Alto"</formula>
    </cfRule>
    <cfRule type="expression" dxfId="358" priority="258">
      <formula>L155="Extremo"</formula>
    </cfRule>
    <cfRule type="expression" dxfId="357" priority="259">
      <formula>L155="Moderado"</formula>
    </cfRule>
    <cfRule type="expression" dxfId="356" priority="260">
      <formula>L155="Bajo"</formula>
    </cfRule>
  </conditionalFormatting>
  <conditionalFormatting sqref="K116:K117">
    <cfRule type="expression" dxfId="355" priority="373">
      <formula>K116="Alto"</formula>
    </cfRule>
    <cfRule type="expression" dxfId="354" priority="374">
      <formula>K116="Extremo"</formula>
    </cfRule>
    <cfRule type="expression" dxfId="353" priority="375">
      <formula>K116="Moderado"</formula>
    </cfRule>
    <cfRule type="expression" dxfId="352" priority="376">
      <formula>K116="Bajo"</formula>
    </cfRule>
  </conditionalFormatting>
  <conditionalFormatting sqref="K119:K120">
    <cfRule type="expression" dxfId="351" priority="365">
      <formula>K119="Alto"</formula>
    </cfRule>
    <cfRule type="expression" dxfId="350" priority="366">
      <formula>K119="Extremo"</formula>
    </cfRule>
    <cfRule type="expression" dxfId="349" priority="367">
      <formula>K119="Moderado"</formula>
    </cfRule>
    <cfRule type="expression" dxfId="348" priority="368">
      <formula>K119="Bajo"</formula>
    </cfRule>
  </conditionalFormatting>
  <conditionalFormatting sqref="K155">
    <cfRule type="expression" dxfId="347" priority="249">
      <formula>K155="Alto"</formula>
    </cfRule>
    <cfRule type="expression" dxfId="346" priority="250">
      <formula>K155="Extremo"</formula>
    </cfRule>
    <cfRule type="expression" dxfId="345" priority="251">
      <formula>K155="Moderado"</formula>
    </cfRule>
    <cfRule type="expression" dxfId="344" priority="252">
      <formula>K155="Bajo"</formula>
    </cfRule>
  </conditionalFormatting>
  <conditionalFormatting sqref="K122:K123">
    <cfRule type="expression" dxfId="343" priority="357">
      <formula>K122="Alto"</formula>
    </cfRule>
    <cfRule type="expression" dxfId="342" priority="358">
      <formula>K122="Extremo"</formula>
    </cfRule>
    <cfRule type="expression" dxfId="341" priority="359">
      <formula>K122="Moderado"</formula>
    </cfRule>
    <cfRule type="expression" dxfId="340" priority="360">
      <formula>K122="Bajo"</formula>
    </cfRule>
  </conditionalFormatting>
  <conditionalFormatting sqref="L122">
    <cfRule type="expression" dxfId="339" priority="353">
      <formula>L122="Alto"</formula>
    </cfRule>
    <cfRule type="expression" dxfId="338" priority="354">
      <formula>L122="Extremo"</formula>
    </cfRule>
    <cfRule type="expression" dxfId="337" priority="355">
      <formula>L122="Moderado"</formula>
    </cfRule>
    <cfRule type="expression" dxfId="336" priority="356">
      <formula>L122="Bajo"</formula>
    </cfRule>
  </conditionalFormatting>
  <conditionalFormatting sqref="L89">
    <cfRule type="expression" dxfId="335" priority="461">
      <formula>L89="Alto"</formula>
    </cfRule>
    <cfRule type="expression" dxfId="334" priority="462">
      <formula>L89="Extremo"</formula>
    </cfRule>
    <cfRule type="expression" dxfId="333" priority="463">
      <formula>L89="Moderado"</formula>
    </cfRule>
    <cfRule type="expression" dxfId="332" priority="464">
      <formula>L89="Bajo"</formula>
    </cfRule>
  </conditionalFormatting>
  <conditionalFormatting sqref="J92">
    <cfRule type="expression" dxfId="331" priority="457">
      <formula>J92="Alto"</formula>
    </cfRule>
    <cfRule type="expression" dxfId="330" priority="458">
      <formula>J92="Extremo"</formula>
    </cfRule>
    <cfRule type="expression" dxfId="329" priority="459">
      <formula>J92="Moderado"</formula>
    </cfRule>
    <cfRule type="expression" dxfId="328" priority="460">
      <formula>J92="Bajo"</formula>
    </cfRule>
  </conditionalFormatting>
  <conditionalFormatting sqref="J95 J98 J101">
    <cfRule type="expression" dxfId="327" priority="453">
      <formula>J95="Alto"</formula>
    </cfRule>
    <cfRule type="expression" dxfId="326" priority="454">
      <formula>J95="Extremo"</formula>
    </cfRule>
    <cfRule type="expression" dxfId="325" priority="455">
      <formula>J95="Moderado"</formula>
    </cfRule>
    <cfRule type="expression" dxfId="324" priority="456">
      <formula>J95="Bajo"</formula>
    </cfRule>
  </conditionalFormatting>
  <conditionalFormatting sqref="K92:K93">
    <cfRule type="expression" dxfId="323" priority="449">
      <formula>K92="Alto"</formula>
    </cfRule>
    <cfRule type="expression" dxfId="322" priority="450">
      <formula>K92="Extremo"</formula>
    </cfRule>
    <cfRule type="expression" dxfId="321" priority="451">
      <formula>K92="Moderado"</formula>
    </cfRule>
    <cfRule type="expression" dxfId="320" priority="452">
      <formula>K92="Bajo"</formula>
    </cfRule>
  </conditionalFormatting>
  <conditionalFormatting sqref="L92">
    <cfRule type="expression" dxfId="319" priority="445">
      <formula>L92="Alto"</formula>
    </cfRule>
    <cfRule type="expression" dxfId="318" priority="446">
      <formula>L92="Extremo"</formula>
    </cfRule>
    <cfRule type="expression" dxfId="317" priority="447">
      <formula>L92="Moderado"</formula>
    </cfRule>
    <cfRule type="expression" dxfId="316" priority="448">
      <formula>L92="Bajo"</formula>
    </cfRule>
  </conditionalFormatting>
  <conditionalFormatting sqref="K95:K96">
    <cfRule type="expression" dxfId="315" priority="441">
      <formula>K95="Alto"</formula>
    </cfRule>
    <cfRule type="expression" dxfId="314" priority="442">
      <formula>K95="Extremo"</formula>
    </cfRule>
    <cfRule type="expression" dxfId="313" priority="443">
      <formula>K95="Moderado"</formula>
    </cfRule>
    <cfRule type="expression" dxfId="312" priority="444">
      <formula>K95="Bajo"</formula>
    </cfRule>
  </conditionalFormatting>
  <conditionalFormatting sqref="K134">
    <cfRule type="expression" dxfId="311" priority="325">
      <formula>K134="Alto"</formula>
    </cfRule>
    <cfRule type="expression" dxfId="310" priority="326">
      <formula>K134="Extremo"</formula>
    </cfRule>
    <cfRule type="expression" dxfId="309" priority="327">
      <formula>K134="Moderado"</formula>
    </cfRule>
    <cfRule type="expression" dxfId="308" priority="328">
      <formula>K134="Bajo"</formula>
    </cfRule>
  </conditionalFormatting>
  <conditionalFormatting sqref="K101:K102">
    <cfRule type="expression" dxfId="307" priority="433">
      <formula>K101="Alto"</formula>
    </cfRule>
    <cfRule type="expression" dxfId="306" priority="434">
      <formula>K101="Extremo"</formula>
    </cfRule>
    <cfRule type="expression" dxfId="305" priority="435">
      <formula>K101="Moderado"</formula>
    </cfRule>
    <cfRule type="expression" dxfId="304" priority="436">
      <formula>K101="Bajo"</formula>
    </cfRule>
  </conditionalFormatting>
  <conditionalFormatting sqref="K144:K145">
    <cfRule type="expression" dxfId="303" priority="305">
      <formula>K144="Alto"</formula>
    </cfRule>
    <cfRule type="expression" dxfId="302" priority="306">
      <formula>K144="Extremo"</formula>
    </cfRule>
    <cfRule type="expression" dxfId="301" priority="307">
      <formula>K144="Moderado"</formula>
    </cfRule>
    <cfRule type="expression" dxfId="300" priority="308">
      <formula>K144="Bajo"</formula>
    </cfRule>
  </conditionalFormatting>
  <conditionalFormatting sqref="L143">
    <cfRule type="expression" dxfId="299" priority="309">
      <formula>L143="Alto"</formula>
    </cfRule>
    <cfRule type="expression" dxfId="298" priority="310">
      <formula>L143="Extremo"</formula>
    </cfRule>
    <cfRule type="expression" dxfId="297" priority="311">
      <formula>L143="Moderado"</formula>
    </cfRule>
    <cfRule type="expression" dxfId="296" priority="312">
      <formula>L143="Bajo"</formula>
    </cfRule>
  </conditionalFormatting>
  <conditionalFormatting sqref="K143">
    <cfRule type="expression" dxfId="295" priority="301">
      <formula>K143="Alto"</formula>
    </cfRule>
    <cfRule type="expression" dxfId="294" priority="302">
      <formula>K143="Extremo"</formula>
    </cfRule>
    <cfRule type="expression" dxfId="293" priority="303">
      <formula>K143="Moderado"</formula>
    </cfRule>
    <cfRule type="expression" dxfId="292" priority="304">
      <formula>K143="Bajo"</formula>
    </cfRule>
  </conditionalFormatting>
  <conditionalFormatting sqref="K137:K138">
    <cfRule type="expression" dxfId="291" priority="297">
      <formula>K137="Alto"</formula>
    </cfRule>
    <cfRule type="expression" dxfId="290" priority="298">
      <formula>K137="Extremo"</formula>
    </cfRule>
    <cfRule type="expression" dxfId="289" priority="299">
      <formula>K137="Moderado"</formula>
    </cfRule>
    <cfRule type="expression" dxfId="288" priority="300">
      <formula>K137="Bajo"</formula>
    </cfRule>
  </conditionalFormatting>
  <conditionalFormatting sqref="L104">
    <cfRule type="expression" dxfId="287" priority="405">
      <formula>L104="Alto"</formula>
    </cfRule>
    <cfRule type="expression" dxfId="286" priority="406">
      <formula>L104="Extremo"</formula>
    </cfRule>
    <cfRule type="expression" dxfId="285" priority="407">
      <formula>L104="Moderado"</formula>
    </cfRule>
    <cfRule type="expression" dxfId="284" priority="408">
      <formula>L104="Bajo"</formula>
    </cfRule>
  </conditionalFormatting>
  <conditionalFormatting sqref="K152:K153">
    <cfRule type="expression" dxfId="283" priority="265">
      <formula>K152="Alto"</formula>
    </cfRule>
    <cfRule type="expression" dxfId="282" priority="266">
      <formula>K152="Extremo"</formula>
    </cfRule>
    <cfRule type="expression" dxfId="281" priority="267">
      <formula>K152="Moderado"</formula>
    </cfRule>
    <cfRule type="expression" dxfId="280" priority="268">
      <formula>K152="Bajo"</formula>
    </cfRule>
  </conditionalFormatting>
  <conditionalFormatting sqref="K149:K150">
    <cfRule type="expression" dxfId="279" priority="273">
      <formula>K149="Alto"</formula>
    </cfRule>
    <cfRule type="expression" dxfId="278" priority="274">
      <formula>K149="Extremo"</formula>
    </cfRule>
    <cfRule type="expression" dxfId="277" priority="275">
      <formula>K149="Moderado"</formula>
    </cfRule>
    <cfRule type="expression" dxfId="276" priority="276">
      <formula>K149="Bajo"</formula>
    </cfRule>
  </conditionalFormatting>
  <conditionalFormatting sqref="K156:K157">
    <cfRule type="expression" dxfId="275" priority="253">
      <formula>K156="Alto"</formula>
    </cfRule>
    <cfRule type="expression" dxfId="274" priority="254">
      <formula>K156="Extremo"</formula>
    </cfRule>
    <cfRule type="expression" dxfId="273" priority="255">
      <formula>K156="Moderado"</formula>
    </cfRule>
    <cfRule type="expression" dxfId="272" priority="256">
      <formula>K156="Bajo"</formula>
    </cfRule>
  </conditionalFormatting>
  <conditionalFormatting sqref="L194">
    <cfRule type="expression" dxfId="271" priority="145">
      <formula>L194="Alto"</formula>
    </cfRule>
    <cfRule type="expression" dxfId="270" priority="146">
      <formula>L194="Extremo"</formula>
    </cfRule>
    <cfRule type="expression" dxfId="269" priority="147">
      <formula>L194="Moderado"</formula>
    </cfRule>
    <cfRule type="expression" dxfId="268" priority="148">
      <formula>L194="Bajo"</formula>
    </cfRule>
  </conditionalFormatting>
  <conditionalFormatting sqref="L152">
    <cfRule type="expression" dxfId="267" priority="261">
      <formula>L152="Alto"</formula>
    </cfRule>
    <cfRule type="expression" dxfId="266" priority="262">
      <formula>L152="Extremo"</formula>
    </cfRule>
    <cfRule type="expression" dxfId="265" priority="263">
      <formula>L152="Moderado"</formula>
    </cfRule>
    <cfRule type="expression" dxfId="264" priority="264">
      <formula>L152="Bajo"</formula>
    </cfRule>
  </conditionalFormatting>
  <conditionalFormatting sqref="K158:K159">
    <cfRule type="expression" dxfId="263" priority="245">
      <formula>K158="Alto"</formula>
    </cfRule>
    <cfRule type="expression" dxfId="262" priority="246">
      <formula>K158="Extremo"</formula>
    </cfRule>
    <cfRule type="expression" dxfId="261" priority="247">
      <formula>K158="Moderado"</formula>
    </cfRule>
    <cfRule type="expression" dxfId="260" priority="248">
      <formula>K158="Bajo"</formula>
    </cfRule>
  </conditionalFormatting>
  <conditionalFormatting sqref="L158">
    <cfRule type="expression" dxfId="259" priority="241">
      <formula>L158="Alto"</formula>
    </cfRule>
    <cfRule type="expression" dxfId="258" priority="242">
      <formula>L158="Extremo"</formula>
    </cfRule>
    <cfRule type="expression" dxfId="257" priority="243">
      <formula>L158="Moderado"</formula>
    </cfRule>
    <cfRule type="expression" dxfId="256" priority="244">
      <formula>L158="Bajo"</formula>
    </cfRule>
  </conditionalFormatting>
  <conditionalFormatting sqref="K125:K126">
    <cfRule type="expression" dxfId="255" priority="349">
      <formula>K125="Alto"</formula>
    </cfRule>
    <cfRule type="expression" dxfId="254" priority="350">
      <formula>K125="Extremo"</formula>
    </cfRule>
    <cfRule type="expression" dxfId="253" priority="351">
      <formula>K125="Moderado"</formula>
    </cfRule>
    <cfRule type="expression" dxfId="252" priority="352">
      <formula>K125="Bajo"</formula>
    </cfRule>
  </conditionalFormatting>
  <conditionalFormatting sqref="L125">
    <cfRule type="expression" dxfId="251" priority="345">
      <formula>L125="Alto"</formula>
    </cfRule>
    <cfRule type="expression" dxfId="250" priority="346">
      <formula>L125="Extremo"</formula>
    </cfRule>
    <cfRule type="expression" dxfId="249" priority="347">
      <formula>L125="Moderado"</formula>
    </cfRule>
    <cfRule type="expression" dxfId="248" priority="348">
      <formula>L125="Bajo"</formula>
    </cfRule>
  </conditionalFormatting>
  <conditionalFormatting sqref="K128:K129">
    <cfRule type="expression" dxfId="247" priority="341">
      <formula>K128="Alto"</formula>
    </cfRule>
    <cfRule type="expression" dxfId="246" priority="342">
      <formula>K128="Extremo"</formula>
    </cfRule>
    <cfRule type="expression" dxfId="245" priority="343">
      <formula>K128="Moderado"</formula>
    </cfRule>
    <cfRule type="expression" dxfId="244" priority="344">
      <formula>K128="Bajo"</formula>
    </cfRule>
  </conditionalFormatting>
  <conditionalFormatting sqref="L128">
    <cfRule type="expression" dxfId="243" priority="337">
      <formula>L128="Alto"</formula>
    </cfRule>
    <cfRule type="expression" dxfId="242" priority="338">
      <formula>L128="Extremo"</formula>
    </cfRule>
    <cfRule type="expression" dxfId="241" priority="339">
      <formula>L128="Moderado"</formula>
    </cfRule>
    <cfRule type="expression" dxfId="240" priority="340">
      <formula>L128="Bajo"</formula>
    </cfRule>
  </conditionalFormatting>
  <conditionalFormatting sqref="K131:K132">
    <cfRule type="expression" dxfId="239" priority="333">
      <formula>K131="Alto"</formula>
    </cfRule>
    <cfRule type="expression" dxfId="238" priority="334">
      <formula>K131="Extremo"</formula>
    </cfRule>
    <cfRule type="expression" dxfId="237" priority="335">
      <formula>K131="Moderado"</formula>
    </cfRule>
    <cfRule type="expression" dxfId="236" priority="336">
      <formula>K131="Bajo"</formula>
    </cfRule>
  </conditionalFormatting>
  <conditionalFormatting sqref="L131">
    <cfRule type="expression" dxfId="235" priority="329">
      <formula>L131="Alto"</formula>
    </cfRule>
    <cfRule type="expression" dxfId="234" priority="330">
      <formula>L131="Extremo"</formula>
    </cfRule>
    <cfRule type="expression" dxfId="233" priority="331">
      <formula>L131="Moderado"</formula>
    </cfRule>
    <cfRule type="expression" dxfId="232" priority="332">
      <formula>L131="Bajo"</formula>
    </cfRule>
  </conditionalFormatting>
  <conditionalFormatting sqref="L134">
    <cfRule type="expression" dxfId="231" priority="321">
      <formula>L134="Alto"</formula>
    </cfRule>
    <cfRule type="expression" dxfId="230" priority="322">
      <formula>L134="Extremo"</formula>
    </cfRule>
    <cfRule type="expression" dxfId="229" priority="323">
      <formula>L134="Moderado"</formula>
    </cfRule>
    <cfRule type="expression" dxfId="228" priority="324">
      <formula>L134="Bajo"</formula>
    </cfRule>
  </conditionalFormatting>
  <conditionalFormatting sqref="K135:K136">
    <cfRule type="expression" dxfId="227" priority="317">
      <formula>K135="Alto"</formula>
    </cfRule>
    <cfRule type="expression" dxfId="226" priority="318">
      <formula>K135="Extremo"</formula>
    </cfRule>
    <cfRule type="expression" dxfId="225" priority="319">
      <formula>K135="Moderado"</formula>
    </cfRule>
    <cfRule type="expression" dxfId="224" priority="320">
      <formula>K135="Bajo"</formula>
    </cfRule>
  </conditionalFormatting>
  <conditionalFormatting sqref="L137">
    <cfRule type="expression" dxfId="223" priority="293">
      <formula>L137="Alto"</formula>
    </cfRule>
    <cfRule type="expression" dxfId="222" priority="294">
      <formula>L137="Extremo"</formula>
    </cfRule>
    <cfRule type="expression" dxfId="221" priority="295">
      <formula>L137="Moderado"</formula>
    </cfRule>
    <cfRule type="expression" dxfId="220" priority="296">
      <formula>L137="Bajo"</formula>
    </cfRule>
  </conditionalFormatting>
  <conditionalFormatting sqref="K191:K192">
    <cfRule type="expression" dxfId="219" priority="153">
      <formula>K191="Alto"</formula>
    </cfRule>
    <cfRule type="expression" dxfId="218" priority="154">
      <formula>K191="Extremo"</formula>
    </cfRule>
    <cfRule type="expression" dxfId="217" priority="155">
      <formula>K191="Moderado"</formula>
    </cfRule>
    <cfRule type="expression" dxfId="216" priority="156">
      <formula>K191="Bajo"</formula>
    </cfRule>
  </conditionalFormatting>
  <conditionalFormatting sqref="K195:K196">
    <cfRule type="expression" dxfId="215" priority="141">
      <formula>K195="Alto"</formula>
    </cfRule>
    <cfRule type="expression" dxfId="214" priority="142">
      <formula>K195="Extremo"</formula>
    </cfRule>
    <cfRule type="expression" dxfId="213" priority="143">
      <formula>K195="Moderado"</formula>
    </cfRule>
    <cfRule type="expression" dxfId="212" priority="144">
      <formula>K195="Bajo"</formula>
    </cfRule>
  </conditionalFormatting>
  <conditionalFormatting sqref="K161:K162">
    <cfRule type="expression" dxfId="211" priority="237">
      <formula>K161="Alto"</formula>
    </cfRule>
    <cfRule type="expression" dxfId="210" priority="238">
      <formula>K161="Extremo"</formula>
    </cfRule>
    <cfRule type="expression" dxfId="209" priority="239">
      <formula>K161="Moderado"</formula>
    </cfRule>
    <cfRule type="expression" dxfId="208" priority="240">
      <formula>K161="Bajo"</formula>
    </cfRule>
  </conditionalFormatting>
  <conditionalFormatting sqref="L161">
    <cfRule type="expression" dxfId="207" priority="233">
      <formula>L161="Alto"</formula>
    </cfRule>
    <cfRule type="expression" dxfId="206" priority="234">
      <formula>L161="Extremo"</formula>
    </cfRule>
    <cfRule type="expression" dxfId="205" priority="235">
      <formula>L161="Moderado"</formula>
    </cfRule>
    <cfRule type="expression" dxfId="204" priority="236">
      <formula>L161="Bajo"</formula>
    </cfRule>
  </conditionalFormatting>
  <conditionalFormatting sqref="K164:K165">
    <cfRule type="expression" dxfId="203" priority="229">
      <formula>K164="Alto"</formula>
    </cfRule>
    <cfRule type="expression" dxfId="202" priority="230">
      <formula>K164="Extremo"</formula>
    </cfRule>
    <cfRule type="expression" dxfId="201" priority="231">
      <formula>K164="Moderado"</formula>
    </cfRule>
    <cfRule type="expression" dxfId="200" priority="232">
      <formula>K164="Bajo"</formula>
    </cfRule>
  </conditionalFormatting>
  <conditionalFormatting sqref="L164">
    <cfRule type="expression" dxfId="199" priority="225">
      <formula>L164="Alto"</formula>
    </cfRule>
    <cfRule type="expression" dxfId="198" priority="226">
      <formula>L164="Extremo"</formula>
    </cfRule>
    <cfRule type="expression" dxfId="197" priority="227">
      <formula>L164="Moderado"</formula>
    </cfRule>
    <cfRule type="expression" dxfId="196" priority="228">
      <formula>L164="Bajo"</formula>
    </cfRule>
  </conditionalFormatting>
  <conditionalFormatting sqref="L167">
    <cfRule type="expression" dxfId="195" priority="221">
      <formula>L167="Alto"</formula>
    </cfRule>
    <cfRule type="expression" dxfId="194" priority="222">
      <formula>L167="Extremo"</formula>
    </cfRule>
    <cfRule type="expression" dxfId="193" priority="223">
      <formula>L167="Moderado"</formula>
    </cfRule>
    <cfRule type="expression" dxfId="192" priority="224">
      <formula>L167="Bajo"</formula>
    </cfRule>
  </conditionalFormatting>
  <conditionalFormatting sqref="K168:K169">
    <cfRule type="expression" dxfId="191" priority="217">
      <formula>K168="Alto"</formula>
    </cfRule>
    <cfRule type="expression" dxfId="190" priority="218">
      <formula>K168="Extremo"</formula>
    </cfRule>
    <cfRule type="expression" dxfId="189" priority="219">
      <formula>K168="Moderado"</formula>
    </cfRule>
    <cfRule type="expression" dxfId="188" priority="220">
      <formula>K168="Bajo"</formula>
    </cfRule>
  </conditionalFormatting>
  <conditionalFormatting sqref="K167">
    <cfRule type="expression" dxfId="187" priority="213">
      <formula>K167="Alto"</formula>
    </cfRule>
    <cfRule type="expression" dxfId="186" priority="214">
      <formula>K167="Extremo"</formula>
    </cfRule>
    <cfRule type="expression" dxfId="185" priority="215">
      <formula>K167="Moderado"</formula>
    </cfRule>
    <cfRule type="expression" dxfId="184" priority="216">
      <formula>K167="Bajo"</formula>
    </cfRule>
  </conditionalFormatting>
  <conditionalFormatting sqref="K170:K171">
    <cfRule type="expression" dxfId="183" priority="209">
      <formula>K170="Alto"</formula>
    </cfRule>
    <cfRule type="expression" dxfId="182" priority="210">
      <formula>K170="Extremo"</formula>
    </cfRule>
    <cfRule type="expression" dxfId="181" priority="211">
      <formula>K170="Moderado"</formula>
    </cfRule>
    <cfRule type="expression" dxfId="180" priority="212">
      <formula>K170="Bajo"</formula>
    </cfRule>
  </conditionalFormatting>
  <conditionalFormatting sqref="L170">
    <cfRule type="expression" dxfId="179" priority="205">
      <formula>L170="Alto"</formula>
    </cfRule>
    <cfRule type="expression" dxfId="178" priority="206">
      <formula>L170="Extremo"</formula>
    </cfRule>
    <cfRule type="expression" dxfId="177" priority="207">
      <formula>L170="Moderado"</formula>
    </cfRule>
    <cfRule type="expression" dxfId="176" priority="208">
      <formula>L170="Bajo"</formula>
    </cfRule>
  </conditionalFormatting>
  <conditionalFormatting sqref="K173:K174">
    <cfRule type="expression" dxfId="175" priority="201">
      <formula>K173="Alto"</formula>
    </cfRule>
    <cfRule type="expression" dxfId="174" priority="202">
      <formula>K173="Extremo"</formula>
    </cfRule>
    <cfRule type="expression" dxfId="173" priority="203">
      <formula>K173="Moderado"</formula>
    </cfRule>
    <cfRule type="expression" dxfId="172" priority="204">
      <formula>K173="Bajo"</formula>
    </cfRule>
  </conditionalFormatting>
  <conditionalFormatting sqref="L173">
    <cfRule type="expression" dxfId="171" priority="197">
      <formula>L173="Alto"</formula>
    </cfRule>
    <cfRule type="expression" dxfId="170" priority="198">
      <formula>L173="Extremo"</formula>
    </cfRule>
    <cfRule type="expression" dxfId="169" priority="199">
      <formula>L173="Moderado"</formula>
    </cfRule>
    <cfRule type="expression" dxfId="168" priority="200">
      <formula>L173="Bajo"</formula>
    </cfRule>
  </conditionalFormatting>
  <conditionalFormatting sqref="K176:K177">
    <cfRule type="expression" dxfId="167" priority="193">
      <formula>K176="Alto"</formula>
    </cfRule>
    <cfRule type="expression" dxfId="166" priority="194">
      <formula>K176="Extremo"</formula>
    </cfRule>
    <cfRule type="expression" dxfId="165" priority="195">
      <formula>K176="Moderado"</formula>
    </cfRule>
    <cfRule type="expression" dxfId="164" priority="196">
      <formula>K176="Bajo"</formula>
    </cfRule>
  </conditionalFormatting>
  <conditionalFormatting sqref="L176">
    <cfRule type="expression" dxfId="163" priority="189">
      <formula>L176="Alto"</formula>
    </cfRule>
    <cfRule type="expression" dxfId="162" priority="190">
      <formula>L176="Extremo"</formula>
    </cfRule>
    <cfRule type="expression" dxfId="161" priority="191">
      <formula>L176="Moderado"</formula>
    </cfRule>
    <cfRule type="expression" dxfId="160" priority="192">
      <formula>L176="Bajo"</formula>
    </cfRule>
  </conditionalFormatting>
  <conditionalFormatting sqref="K179:K180">
    <cfRule type="expression" dxfId="159" priority="185">
      <formula>K179="Alto"</formula>
    </cfRule>
    <cfRule type="expression" dxfId="158" priority="186">
      <formula>K179="Extremo"</formula>
    </cfRule>
    <cfRule type="expression" dxfId="157" priority="187">
      <formula>K179="Moderado"</formula>
    </cfRule>
    <cfRule type="expression" dxfId="156" priority="188">
      <formula>K179="Bajo"</formula>
    </cfRule>
  </conditionalFormatting>
  <conditionalFormatting sqref="L179">
    <cfRule type="expression" dxfId="155" priority="181">
      <formula>L179="Alto"</formula>
    </cfRule>
    <cfRule type="expression" dxfId="154" priority="182">
      <formula>L179="Extremo"</formula>
    </cfRule>
    <cfRule type="expression" dxfId="153" priority="183">
      <formula>L179="Moderado"</formula>
    </cfRule>
    <cfRule type="expression" dxfId="152" priority="184">
      <formula>L179="Bajo"</formula>
    </cfRule>
  </conditionalFormatting>
  <conditionalFormatting sqref="K182:K183">
    <cfRule type="expression" dxfId="151" priority="177">
      <formula>K182="Alto"</formula>
    </cfRule>
    <cfRule type="expression" dxfId="150" priority="178">
      <formula>K182="Extremo"</formula>
    </cfRule>
    <cfRule type="expression" dxfId="149" priority="179">
      <formula>K182="Moderado"</formula>
    </cfRule>
    <cfRule type="expression" dxfId="148" priority="180">
      <formula>K182="Bajo"</formula>
    </cfRule>
  </conditionalFormatting>
  <conditionalFormatting sqref="L182">
    <cfRule type="expression" dxfId="147" priority="173">
      <formula>L182="Alto"</formula>
    </cfRule>
    <cfRule type="expression" dxfId="146" priority="174">
      <formula>L182="Extremo"</formula>
    </cfRule>
    <cfRule type="expression" dxfId="145" priority="175">
      <formula>L182="Moderado"</formula>
    </cfRule>
    <cfRule type="expression" dxfId="144" priority="176">
      <formula>L182="Bajo"</formula>
    </cfRule>
  </conditionalFormatting>
  <conditionalFormatting sqref="K185:K186">
    <cfRule type="expression" dxfId="143" priority="169">
      <formula>K185="Alto"</formula>
    </cfRule>
    <cfRule type="expression" dxfId="142" priority="170">
      <formula>K185="Extremo"</formula>
    </cfRule>
    <cfRule type="expression" dxfId="141" priority="171">
      <formula>K185="Moderado"</formula>
    </cfRule>
    <cfRule type="expression" dxfId="140" priority="172">
      <formula>K185="Bajo"</formula>
    </cfRule>
  </conditionalFormatting>
  <conditionalFormatting sqref="L185">
    <cfRule type="expression" dxfId="139" priority="165">
      <formula>L185="Alto"</formula>
    </cfRule>
    <cfRule type="expression" dxfId="138" priority="166">
      <formula>L185="Extremo"</formula>
    </cfRule>
    <cfRule type="expression" dxfId="137" priority="167">
      <formula>L185="Moderado"</formula>
    </cfRule>
    <cfRule type="expression" dxfId="136" priority="168">
      <formula>L185="Bajo"</formula>
    </cfRule>
  </conditionalFormatting>
  <conditionalFormatting sqref="K188:K189">
    <cfRule type="expression" dxfId="135" priority="161">
      <formula>K188="Alto"</formula>
    </cfRule>
    <cfRule type="expression" dxfId="134" priority="162">
      <formula>K188="Extremo"</formula>
    </cfRule>
    <cfRule type="expression" dxfId="133" priority="163">
      <formula>K188="Moderado"</formula>
    </cfRule>
    <cfRule type="expression" dxfId="132" priority="164">
      <formula>K188="Bajo"</formula>
    </cfRule>
  </conditionalFormatting>
  <conditionalFormatting sqref="L188">
    <cfRule type="expression" dxfId="131" priority="157">
      <formula>L188="Alto"</formula>
    </cfRule>
    <cfRule type="expression" dxfId="130" priority="158">
      <formula>L188="Extremo"</formula>
    </cfRule>
    <cfRule type="expression" dxfId="129" priority="159">
      <formula>L188="Moderado"</formula>
    </cfRule>
    <cfRule type="expression" dxfId="128" priority="160">
      <formula>L188="Bajo"</formula>
    </cfRule>
  </conditionalFormatting>
  <conditionalFormatting sqref="L191">
    <cfRule type="expression" dxfId="127" priority="149">
      <formula>L191="Alto"</formula>
    </cfRule>
    <cfRule type="expression" dxfId="126" priority="150">
      <formula>L191="Extremo"</formula>
    </cfRule>
    <cfRule type="expression" dxfId="125" priority="151">
      <formula>L191="Moderado"</formula>
    </cfRule>
    <cfRule type="expression" dxfId="124" priority="152">
      <formula>L191="Bajo"</formula>
    </cfRule>
  </conditionalFormatting>
  <conditionalFormatting sqref="K194">
    <cfRule type="expression" dxfId="123" priority="137">
      <formula>K194="Alto"</formula>
    </cfRule>
    <cfRule type="expression" dxfId="122" priority="138">
      <formula>K194="Extremo"</formula>
    </cfRule>
    <cfRule type="expression" dxfId="121" priority="139">
      <formula>K194="Moderado"</formula>
    </cfRule>
    <cfRule type="expression" dxfId="120" priority="140">
      <formula>K194="Bajo"</formula>
    </cfRule>
  </conditionalFormatting>
  <conditionalFormatting sqref="K197:K198">
    <cfRule type="expression" dxfId="119" priority="133">
      <formula>K197="Alto"</formula>
    </cfRule>
    <cfRule type="expression" dxfId="118" priority="134">
      <formula>K197="Extremo"</formula>
    </cfRule>
    <cfRule type="expression" dxfId="117" priority="135">
      <formula>K197="Moderado"</formula>
    </cfRule>
    <cfRule type="expression" dxfId="116" priority="136">
      <formula>K197="Bajo"</formula>
    </cfRule>
  </conditionalFormatting>
  <conditionalFormatting sqref="L197">
    <cfRule type="expression" dxfId="115" priority="129">
      <formula>L197="Alto"</formula>
    </cfRule>
    <cfRule type="expression" dxfId="114" priority="130">
      <formula>L197="Extremo"</formula>
    </cfRule>
    <cfRule type="expression" dxfId="113" priority="131">
      <formula>L197="Moderado"</formula>
    </cfRule>
    <cfRule type="expression" dxfId="112" priority="132">
      <formula>L197="Bajo"</formula>
    </cfRule>
  </conditionalFormatting>
  <conditionalFormatting sqref="K200:K201">
    <cfRule type="expression" dxfId="111" priority="125">
      <formula>K200="Alto"</formula>
    </cfRule>
    <cfRule type="expression" dxfId="110" priority="126">
      <formula>K200="Extremo"</formula>
    </cfRule>
    <cfRule type="expression" dxfId="109" priority="127">
      <formula>K200="Moderado"</formula>
    </cfRule>
    <cfRule type="expression" dxfId="108" priority="128">
      <formula>K200="Bajo"</formula>
    </cfRule>
  </conditionalFormatting>
  <conditionalFormatting sqref="L200">
    <cfRule type="expression" dxfId="107" priority="121">
      <formula>L200="Alto"</formula>
    </cfRule>
    <cfRule type="expression" dxfId="106" priority="122">
      <formula>L200="Extremo"</formula>
    </cfRule>
    <cfRule type="expression" dxfId="105" priority="123">
      <formula>L200="Moderado"</formula>
    </cfRule>
    <cfRule type="expression" dxfId="104" priority="124">
      <formula>L200="Bajo"</formula>
    </cfRule>
  </conditionalFormatting>
  <conditionalFormatting sqref="L203">
    <cfRule type="expression" dxfId="103" priority="117">
      <formula>L203="Alto"</formula>
    </cfRule>
    <cfRule type="expression" dxfId="102" priority="118">
      <formula>L203="Extremo"</formula>
    </cfRule>
    <cfRule type="expression" dxfId="101" priority="119">
      <formula>L203="Moderado"</formula>
    </cfRule>
    <cfRule type="expression" dxfId="100" priority="120">
      <formula>L203="Bajo"</formula>
    </cfRule>
  </conditionalFormatting>
  <conditionalFormatting sqref="K204:K205">
    <cfRule type="expression" dxfId="99" priority="113">
      <formula>K204="Alto"</formula>
    </cfRule>
    <cfRule type="expression" dxfId="98" priority="114">
      <formula>K204="Extremo"</formula>
    </cfRule>
    <cfRule type="expression" dxfId="97" priority="115">
      <formula>K204="Moderado"</formula>
    </cfRule>
    <cfRule type="expression" dxfId="96" priority="116">
      <formula>K204="Bajo"</formula>
    </cfRule>
  </conditionalFormatting>
  <conditionalFormatting sqref="K203">
    <cfRule type="expression" dxfId="95" priority="109">
      <formula>K203="Alto"</formula>
    </cfRule>
    <cfRule type="expression" dxfId="94" priority="110">
      <formula>K203="Extremo"</formula>
    </cfRule>
    <cfRule type="expression" dxfId="93" priority="111">
      <formula>K203="Moderado"</formula>
    </cfRule>
    <cfRule type="expression" dxfId="92" priority="112">
      <formula>K203="Bajo"</formula>
    </cfRule>
  </conditionalFormatting>
  <conditionalFormatting sqref="K206:K207">
    <cfRule type="expression" dxfId="91" priority="105">
      <formula>K206="Alto"</formula>
    </cfRule>
    <cfRule type="expression" dxfId="90" priority="106">
      <formula>K206="Extremo"</formula>
    </cfRule>
    <cfRule type="expression" dxfId="89" priority="107">
      <formula>K206="Moderado"</formula>
    </cfRule>
    <cfRule type="expression" dxfId="88" priority="108">
      <formula>K206="Bajo"</formula>
    </cfRule>
  </conditionalFormatting>
  <conditionalFormatting sqref="L206">
    <cfRule type="expression" dxfId="87" priority="101">
      <formula>L206="Alto"</formula>
    </cfRule>
    <cfRule type="expression" dxfId="86" priority="102">
      <formula>L206="Extremo"</formula>
    </cfRule>
    <cfRule type="expression" dxfId="85" priority="103">
      <formula>L206="Moderado"</formula>
    </cfRule>
    <cfRule type="expression" dxfId="84" priority="104">
      <formula>L206="Bajo"</formula>
    </cfRule>
  </conditionalFormatting>
  <conditionalFormatting sqref="K209:K210">
    <cfRule type="expression" dxfId="83" priority="81">
      <formula>K209="Alto"</formula>
    </cfRule>
    <cfRule type="expression" dxfId="82" priority="82">
      <formula>K209="Extremo"</formula>
    </cfRule>
    <cfRule type="expression" dxfId="81" priority="83">
      <formula>K209="Moderado"</formula>
    </cfRule>
    <cfRule type="expression" dxfId="80" priority="84">
      <formula>K209="Bajo"</formula>
    </cfRule>
  </conditionalFormatting>
  <conditionalFormatting sqref="L209">
    <cfRule type="expression" dxfId="79" priority="77">
      <formula>L209="Alto"</formula>
    </cfRule>
    <cfRule type="expression" dxfId="78" priority="78">
      <formula>L209="Extremo"</formula>
    </cfRule>
    <cfRule type="expression" dxfId="77" priority="79">
      <formula>L209="Moderado"</formula>
    </cfRule>
    <cfRule type="expression" dxfId="76" priority="80">
      <formula>L209="Bajo"</formula>
    </cfRule>
  </conditionalFormatting>
  <conditionalFormatting sqref="L221">
    <cfRule type="expression" dxfId="75" priority="41">
      <formula>L221="Alto"</formula>
    </cfRule>
    <cfRule type="expression" dxfId="74" priority="42">
      <formula>L221="Extremo"</formula>
    </cfRule>
    <cfRule type="expression" dxfId="73" priority="43">
      <formula>L221="Moderado"</formula>
    </cfRule>
    <cfRule type="expression" dxfId="72" priority="44">
      <formula>L221="Bajo"</formula>
    </cfRule>
  </conditionalFormatting>
  <conditionalFormatting sqref="K215:K216">
    <cfRule type="expression" dxfId="71" priority="69">
      <formula>K215="Alto"</formula>
    </cfRule>
    <cfRule type="expression" dxfId="70" priority="70">
      <formula>K215="Extremo"</formula>
    </cfRule>
    <cfRule type="expression" dxfId="69" priority="71">
      <formula>K215="Moderado"</formula>
    </cfRule>
    <cfRule type="expression" dxfId="68" priority="72">
      <formula>K215="Bajo"</formula>
    </cfRule>
  </conditionalFormatting>
  <conditionalFormatting sqref="L215">
    <cfRule type="expression" dxfId="67" priority="65">
      <formula>L215="Alto"</formula>
    </cfRule>
    <cfRule type="expression" dxfId="66" priority="66">
      <formula>L215="Extremo"</formula>
    </cfRule>
    <cfRule type="expression" dxfId="65" priority="67">
      <formula>L215="Moderado"</formula>
    </cfRule>
    <cfRule type="expression" dxfId="64" priority="68">
      <formula>L215="Bajo"</formula>
    </cfRule>
  </conditionalFormatting>
  <conditionalFormatting sqref="K212:K213">
    <cfRule type="expression" dxfId="63" priority="61">
      <formula>K212="Alto"</formula>
    </cfRule>
    <cfRule type="expression" dxfId="62" priority="62">
      <formula>K212="Extremo"</formula>
    </cfRule>
    <cfRule type="expression" dxfId="61" priority="63">
      <formula>K212="Moderado"</formula>
    </cfRule>
    <cfRule type="expression" dxfId="60" priority="64">
      <formula>K212="Bajo"</formula>
    </cfRule>
  </conditionalFormatting>
  <conditionalFormatting sqref="L212">
    <cfRule type="expression" dxfId="59" priority="57">
      <formula>L212="Alto"</formula>
    </cfRule>
    <cfRule type="expression" dxfId="58" priority="58">
      <formula>L212="Extremo"</formula>
    </cfRule>
    <cfRule type="expression" dxfId="57" priority="59">
      <formula>L212="Moderado"</formula>
    </cfRule>
    <cfRule type="expression" dxfId="56" priority="60">
      <formula>L212="Bajo"</formula>
    </cfRule>
  </conditionalFormatting>
  <conditionalFormatting sqref="K218:K219">
    <cfRule type="expression" dxfId="55" priority="53">
      <formula>K218="Alto"</formula>
    </cfRule>
    <cfRule type="expression" dxfId="54" priority="54">
      <formula>K218="Extremo"</formula>
    </cfRule>
    <cfRule type="expression" dxfId="53" priority="55">
      <formula>K218="Moderado"</formula>
    </cfRule>
    <cfRule type="expression" dxfId="52" priority="56">
      <formula>K218="Bajo"</formula>
    </cfRule>
  </conditionalFormatting>
  <conditionalFormatting sqref="L218">
    <cfRule type="expression" dxfId="51" priority="49">
      <formula>L218="Alto"</formula>
    </cfRule>
    <cfRule type="expression" dxfId="50" priority="50">
      <formula>L218="Extremo"</formula>
    </cfRule>
    <cfRule type="expression" dxfId="49" priority="51">
      <formula>L218="Moderado"</formula>
    </cfRule>
    <cfRule type="expression" dxfId="48" priority="52">
      <formula>L218="Bajo"</formula>
    </cfRule>
  </conditionalFormatting>
  <conditionalFormatting sqref="K221:K222">
    <cfRule type="expression" dxfId="47" priority="45">
      <formula>K221="Alto"</formula>
    </cfRule>
    <cfRule type="expression" dxfId="46" priority="46">
      <formula>K221="Extremo"</formula>
    </cfRule>
    <cfRule type="expression" dxfId="45" priority="47">
      <formula>K221="Moderado"</formula>
    </cfRule>
    <cfRule type="expression" dxfId="44" priority="48">
      <formula>K221="Bajo"</formula>
    </cfRule>
  </conditionalFormatting>
  <conditionalFormatting sqref="L233">
    <cfRule type="expression" dxfId="43" priority="9">
      <formula>L233="Alto"</formula>
    </cfRule>
    <cfRule type="expression" dxfId="42" priority="10">
      <formula>L233="Extremo"</formula>
    </cfRule>
    <cfRule type="expression" dxfId="41" priority="11">
      <formula>L233="Moderado"</formula>
    </cfRule>
    <cfRule type="expression" dxfId="40" priority="12">
      <formula>L233="Bajo"</formula>
    </cfRule>
  </conditionalFormatting>
  <conditionalFormatting sqref="K224:K225">
    <cfRule type="expression" dxfId="39" priority="37">
      <formula>K224="Alto"</formula>
    </cfRule>
    <cfRule type="expression" dxfId="38" priority="38">
      <formula>K224="Extremo"</formula>
    </cfRule>
    <cfRule type="expression" dxfId="37" priority="39">
      <formula>K224="Moderado"</formula>
    </cfRule>
    <cfRule type="expression" dxfId="36" priority="40">
      <formula>K224="Bajo"</formula>
    </cfRule>
  </conditionalFormatting>
  <conditionalFormatting sqref="L224">
    <cfRule type="expression" dxfId="35" priority="33">
      <formula>L224="Alto"</formula>
    </cfRule>
    <cfRule type="expression" dxfId="34" priority="34">
      <formula>L224="Extremo"</formula>
    </cfRule>
    <cfRule type="expression" dxfId="33" priority="35">
      <formula>L224="Moderado"</formula>
    </cfRule>
    <cfRule type="expression" dxfId="32" priority="36">
      <formula>L224="Bajo"</formula>
    </cfRule>
  </conditionalFormatting>
  <conditionalFormatting sqref="K227:K228">
    <cfRule type="expression" dxfId="31" priority="29">
      <formula>K227="Alto"</formula>
    </cfRule>
    <cfRule type="expression" dxfId="30" priority="30">
      <formula>K227="Extremo"</formula>
    </cfRule>
    <cfRule type="expression" dxfId="29" priority="31">
      <formula>K227="Moderado"</formula>
    </cfRule>
    <cfRule type="expression" dxfId="28" priority="32">
      <formula>K227="Bajo"</formula>
    </cfRule>
  </conditionalFormatting>
  <conditionalFormatting sqref="L227">
    <cfRule type="expression" dxfId="27" priority="25">
      <formula>L227="Alto"</formula>
    </cfRule>
    <cfRule type="expression" dxfId="26" priority="26">
      <formula>L227="Extremo"</formula>
    </cfRule>
    <cfRule type="expression" dxfId="25" priority="27">
      <formula>L227="Moderado"</formula>
    </cfRule>
    <cfRule type="expression" dxfId="24" priority="28">
      <formula>L227="Bajo"</formula>
    </cfRule>
  </conditionalFormatting>
  <conditionalFormatting sqref="K230:K231">
    <cfRule type="expression" dxfId="23" priority="21">
      <formula>K230="Alto"</formula>
    </cfRule>
    <cfRule type="expression" dxfId="22" priority="22">
      <formula>K230="Extremo"</formula>
    </cfRule>
    <cfRule type="expression" dxfId="21" priority="23">
      <formula>K230="Moderado"</formula>
    </cfRule>
    <cfRule type="expression" dxfId="20" priority="24">
      <formula>K230="Bajo"</formula>
    </cfRule>
  </conditionalFormatting>
  <conditionalFormatting sqref="L230">
    <cfRule type="expression" dxfId="19" priority="17">
      <formula>L230="Alto"</formula>
    </cfRule>
    <cfRule type="expression" dxfId="18" priority="18">
      <formula>L230="Extremo"</formula>
    </cfRule>
    <cfRule type="expression" dxfId="17" priority="19">
      <formula>L230="Moderado"</formula>
    </cfRule>
    <cfRule type="expression" dxfId="16" priority="20">
      <formula>L230="Bajo"</formula>
    </cfRule>
  </conditionalFormatting>
  <conditionalFormatting sqref="K233:K234">
    <cfRule type="expression" dxfId="15" priority="13">
      <formula>K233="Alto"</formula>
    </cfRule>
    <cfRule type="expression" dxfId="14" priority="14">
      <formula>K233="Extremo"</formula>
    </cfRule>
    <cfRule type="expression" dxfId="13" priority="15">
      <formula>K233="Moderado"</formula>
    </cfRule>
    <cfRule type="expression" dxfId="12" priority="16">
      <formula>K233="Bajo"</formula>
    </cfRule>
  </conditionalFormatting>
  <conditionalFormatting sqref="L236">
    <cfRule type="expression" dxfId="11" priority="1">
      <formula>L236="Alto"</formula>
    </cfRule>
    <cfRule type="expression" dxfId="10" priority="2">
      <formula>L236="Extremo"</formula>
    </cfRule>
    <cfRule type="expression" dxfId="9" priority="3">
      <formula>L236="Moderado"</formula>
    </cfRule>
    <cfRule type="expression" dxfId="8" priority="4">
      <formula>L236="Bajo"</formula>
    </cfRule>
  </conditionalFormatting>
  <conditionalFormatting sqref="K236:K237">
    <cfRule type="expression" dxfId="7" priority="5">
      <formula>K236="Alto"</formula>
    </cfRule>
    <cfRule type="expression" dxfId="6" priority="6">
      <formula>K236="Extremo"</formula>
    </cfRule>
    <cfRule type="expression" dxfId="5" priority="7">
      <formula>K236="Moderado"</formula>
    </cfRule>
    <cfRule type="expression" dxfId="4" priority="8">
      <formula>K236="Bajo"</formula>
    </cfRule>
  </conditionalFormatting>
  <pageMargins left="0.11811023622047245" right="0.11811023622047245" top="0.74803149606299213" bottom="0.74803149606299213" header="0.31496062992125984" footer="0.31496062992125984"/>
  <pageSetup paperSize="5" scale="17" fitToHeight="0" orientation="landscape" r:id="rId1"/>
  <rowBreaks count="14" manualBreakCount="14">
    <brk id="33" max="38" man="1"/>
    <brk id="48" max="38" man="1"/>
    <brk id="64" max="38" man="1"/>
    <brk id="77" max="38" man="1"/>
    <brk id="94" max="38" man="1"/>
    <brk id="109" max="38" man="1"/>
    <brk id="124" max="38" man="1"/>
    <brk id="139" max="38" man="1"/>
    <brk id="154" max="38" man="1"/>
    <brk id="169" max="38" man="1"/>
    <brk id="183" max="38" man="1"/>
    <brk id="198" max="38" man="1"/>
    <brk id="211" max="38" man="1"/>
    <brk id="226" max="38"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Hoja1!$K$13:$K$17</xm:f>
          </x14:formula1>
          <xm:sqref>I20:I21 I23:I24 I29:I30 I32:I33 I35:I36 I38:I39 I41:I42 I83:I84 I26:I27 I71:I72 I218:I219 I77:I78 I44:I45 I47:I48 I50:I51 I56:I57 I53:I54 I74:I75 I68:I69 I59:I60 I62:I63 I65:I66 I80:I81 I86:I87 I89:I90 I92:I93 I95:I96 I98:I99 I101:I102 I104:I105 I107:I108 I110:I111 I113:I114 I116:I117 I119:I120 I122:I123 I125:I126 I128:I129 I131:I132 I134:I135 I137:I138 I140:I141 I143:I144 I146:I147 I149:I150 I152:I153 I155:I156 I167:I168 I206:I207 I158:I159 I164:I165 I161:I162 I170:I171 I173:I174 I176:I177 I179:I180 I188:I189 I182:I183 I203:I204 I185:I186 I194:I195 I197:I198 I191:I192 I200:I201 I224:I225 I209:I210 I215:I216 I212:I213 I221:I222 I233:I234 I227:I228 I230:I231 I236:I237</xm:sqref>
        </x14:dataValidation>
        <x14:dataValidation type="list" allowBlank="1" showInputMessage="1" showErrorMessage="1">
          <x14:formula1>
            <xm:f>Hoja1!$O$13:$O$14</xm:f>
          </x14:formula1>
          <xm:sqref>Z20:Z239 S20:S239 Q20:Q239</xm:sqref>
        </x14:dataValidation>
        <x14:dataValidation type="list" allowBlank="1" showInputMessage="1" showErrorMessage="1">
          <x14:formula1>
            <xm:f>Hoja1!$N$12:$N$19</xm:f>
          </x14:formula1>
          <xm:sqref>E20:E239</xm:sqref>
        </x14:dataValidation>
        <x14:dataValidation type="list" allowBlank="1" showInputMessage="1" showErrorMessage="1">
          <x14:formula1>
            <xm:f>Hoja1!$J$13:$J$17</xm:f>
          </x14:formula1>
          <xm:sqref>H20:H239</xm:sqref>
        </x14:dataValidation>
        <x14:dataValidation type="list" allowBlank="1" showInputMessage="1" showErrorMessage="1">
          <x14:formula1>
            <xm:f>Hoja1!$S$12:$S$19</xm:f>
          </x14:formula1>
          <xm:sqref>V20:V239</xm:sqref>
        </x14:dataValidation>
        <x14:dataValidation type="list" allowBlank="1" showInputMessage="1">
          <x14:formula1>
            <xm:f>Hoja1!$R$22:$R$24</xm:f>
          </x14:formula1>
          <xm:sqref>W20:Y239</xm:sqref>
        </x14:dataValidation>
        <x14:dataValidation type="list" allowBlank="1" showInputMessage="1" showErrorMessage="1">
          <x14:formula1>
            <xm:f>Hoja1!$P$13:$P$14</xm:f>
          </x14:formula1>
          <xm:sqref>P20:P239</xm:sqref>
        </x14:dataValidation>
        <x14:dataValidation type="list" allowBlank="1" showInputMessage="1" showErrorMessage="1">
          <x14:formula1>
            <xm:f>Hoja1!$N$22:$N$24</xm:f>
          </x14:formula1>
          <xm:sqref>L20:L239</xm:sqref>
        </x14:dataValidation>
        <x14:dataValidation type="list" allowBlank="1" showInputMessage="1" showErrorMessage="1">
          <x14:formula1>
            <xm:f>Hoja1!$R$12:$R$15</xm:f>
          </x14:formula1>
          <xm:sqref>K20:K239</xm:sqref>
        </x14:dataValidation>
        <x14:dataValidation type="list" allowBlank="1" showInputMessage="1" showErrorMessage="1">
          <x14:formula1>
            <xm:f>Hoja1!$U$12</xm:f>
          </x14:formula1>
          <xm:sqref>U20:U239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CD199"/>
  <sheetViews>
    <sheetView showGridLines="0" topLeftCell="I1" zoomScale="60" zoomScaleNormal="60" workbookViewId="0">
      <selection activeCell="J18" sqref="J18:J20"/>
    </sheetView>
  </sheetViews>
  <sheetFormatPr baseColWidth="10" defaultRowHeight="15" x14ac:dyDescent="0.25"/>
  <cols>
    <col min="1" max="1" width="23.85546875" style="1" customWidth="1"/>
    <col min="2" max="2" width="19.85546875" style="1" customWidth="1"/>
    <col min="3" max="3" width="44.7109375" customWidth="1"/>
    <col min="4" max="4" width="5.42578125" style="1" hidden="1" customWidth="1"/>
    <col min="5" max="5" width="35" customWidth="1"/>
    <col min="6" max="6" width="28.85546875" customWidth="1"/>
    <col min="7" max="7" width="67.42578125" style="1" customWidth="1"/>
    <col min="8" max="10" width="25.85546875" style="1" customWidth="1"/>
    <col min="11" max="11" width="44.7109375" style="1" customWidth="1"/>
    <col min="12" max="12" width="24" style="1" customWidth="1"/>
    <col min="13" max="13" width="20.28515625" style="1" customWidth="1"/>
    <col min="14" max="16" width="31.85546875" style="1" customWidth="1"/>
    <col min="17" max="18" width="30.5703125" style="1" hidden="1" customWidth="1"/>
    <col min="19" max="21" width="3.28515625" style="1" hidden="1" customWidth="1"/>
    <col min="22" max="22" width="34.140625" style="1" hidden="1" customWidth="1"/>
    <col min="23" max="23" width="23" style="1" customWidth="1"/>
    <col min="24" max="24" width="20.28515625" style="1" customWidth="1"/>
    <col min="25" max="25" width="21.140625" hidden="1" customWidth="1"/>
    <col min="26" max="26" width="14.7109375" customWidth="1"/>
  </cols>
  <sheetData>
    <row r="1" spans="1:82" s="1" customFormat="1" ht="15.75" thickBot="1" x14ac:dyDescent="0.3">
      <c r="A1" s="17"/>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row>
    <row r="2" spans="1:82" s="180" customFormat="1" ht="36.75" customHeight="1" x14ac:dyDescent="0.2">
      <c r="A2" s="381" t="s">
        <v>70</v>
      </c>
      <c r="B2" s="382"/>
      <c r="C2" s="382"/>
      <c r="D2" s="178"/>
      <c r="E2" s="416" t="s">
        <v>78</v>
      </c>
      <c r="F2" s="417"/>
      <c r="G2" s="417"/>
      <c r="H2" s="417"/>
      <c r="I2" s="417"/>
      <c r="J2" s="417"/>
      <c r="K2" s="417"/>
      <c r="L2" s="417"/>
      <c r="M2" s="417"/>
      <c r="N2" s="417"/>
      <c r="O2" s="418"/>
      <c r="P2" s="396" t="s">
        <v>156</v>
      </c>
      <c r="Q2" s="396"/>
      <c r="R2" s="396"/>
      <c r="S2" s="396"/>
      <c r="T2" s="396"/>
      <c r="U2" s="396"/>
      <c r="V2" s="396"/>
      <c r="W2" s="396"/>
      <c r="X2" s="397"/>
      <c r="Y2" s="173"/>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c r="BV2" s="179"/>
      <c r="BW2" s="179"/>
      <c r="BX2" s="179"/>
      <c r="BY2" s="179"/>
      <c r="BZ2" s="179"/>
      <c r="CA2" s="179"/>
      <c r="CB2" s="179"/>
      <c r="CC2" s="179"/>
      <c r="CD2" s="179"/>
    </row>
    <row r="3" spans="1:82" s="180" customFormat="1" ht="27" customHeight="1" x14ac:dyDescent="0.2">
      <c r="A3" s="407"/>
      <c r="B3" s="408"/>
      <c r="C3" s="409"/>
      <c r="D3" s="177"/>
      <c r="E3" s="400" t="s">
        <v>68</v>
      </c>
      <c r="F3" s="400"/>
      <c r="G3" s="400"/>
      <c r="H3" s="400"/>
      <c r="I3" s="400"/>
      <c r="J3" s="400"/>
      <c r="K3" s="400"/>
      <c r="L3" s="400"/>
      <c r="M3" s="400"/>
      <c r="N3" s="400"/>
      <c r="O3" s="400"/>
      <c r="P3" s="323" t="s">
        <v>153</v>
      </c>
      <c r="Q3" s="324"/>
      <c r="R3" s="324"/>
      <c r="S3" s="324"/>
      <c r="T3" s="324"/>
      <c r="U3" s="324"/>
      <c r="V3" s="324"/>
      <c r="W3" s="324"/>
      <c r="X3" s="325"/>
      <c r="Y3" s="176"/>
      <c r="Z3" s="179"/>
      <c r="AA3" s="179"/>
      <c r="AB3" s="179"/>
      <c r="AC3" s="179"/>
      <c r="AD3" s="179"/>
      <c r="AE3" s="179"/>
      <c r="AF3" s="179"/>
      <c r="AG3" s="179"/>
      <c r="AH3" s="179"/>
      <c r="AI3" s="179"/>
      <c r="AJ3" s="179"/>
      <c r="AK3" s="179"/>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c r="BV3" s="179"/>
      <c r="BW3" s="179"/>
      <c r="BX3" s="179"/>
      <c r="BY3" s="179"/>
      <c r="BZ3" s="179"/>
      <c r="CA3" s="179"/>
      <c r="CB3" s="179"/>
      <c r="CC3" s="179"/>
      <c r="CD3" s="179"/>
    </row>
    <row r="4" spans="1:82" s="180" customFormat="1" ht="27.75" customHeight="1" x14ac:dyDescent="0.2">
      <c r="A4" s="410"/>
      <c r="B4" s="411"/>
      <c r="C4" s="412"/>
      <c r="D4" s="181"/>
      <c r="E4" s="400"/>
      <c r="F4" s="400"/>
      <c r="G4" s="400"/>
      <c r="H4" s="400"/>
      <c r="I4" s="400"/>
      <c r="J4" s="400"/>
      <c r="K4" s="400"/>
      <c r="L4" s="400"/>
      <c r="M4" s="400"/>
      <c r="N4" s="400"/>
      <c r="O4" s="400"/>
      <c r="P4" s="398" t="s">
        <v>155</v>
      </c>
      <c r="Q4" s="398"/>
      <c r="R4" s="398"/>
      <c r="S4" s="398"/>
      <c r="T4" s="398"/>
      <c r="U4" s="398"/>
      <c r="V4" s="398"/>
      <c r="W4" s="398"/>
      <c r="X4" s="399"/>
      <c r="Y4" s="174"/>
      <c r="Z4" s="179"/>
      <c r="AA4" s="179"/>
      <c r="AB4" s="179"/>
      <c r="AC4" s="179"/>
      <c r="AD4" s="179"/>
      <c r="AE4" s="179"/>
      <c r="AF4" s="179"/>
      <c r="AG4" s="179"/>
      <c r="AH4" s="179"/>
      <c r="AI4" s="179"/>
      <c r="AJ4" s="179"/>
      <c r="AK4" s="179"/>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c r="BV4" s="179"/>
      <c r="BW4" s="179"/>
      <c r="BX4" s="179"/>
      <c r="BY4" s="179"/>
      <c r="BZ4" s="179"/>
      <c r="CA4" s="179"/>
      <c r="CB4" s="179"/>
      <c r="CC4" s="179"/>
      <c r="CD4" s="179"/>
    </row>
    <row r="5" spans="1:82" s="180" customFormat="1" ht="24.75" customHeight="1" x14ac:dyDescent="0.2">
      <c r="A5" s="410"/>
      <c r="B5" s="411"/>
      <c r="C5" s="412"/>
      <c r="D5" s="181"/>
      <c r="E5" s="317" t="s">
        <v>69</v>
      </c>
      <c r="F5" s="318"/>
      <c r="G5" s="318"/>
      <c r="H5" s="318"/>
      <c r="I5" s="318"/>
      <c r="J5" s="318"/>
      <c r="K5" s="318"/>
      <c r="L5" s="318"/>
      <c r="M5" s="318"/>
      <c r="N5" s="318"/>
      <c r="O5" s="319"/>
      <c r="P5" s="401" t="s">
        <v>77</v>
      </c>
      <c r="Q5" s="402"/>
      <c r="R5" s="402"/>
      <c r="S5" s="402"/>
      <c r="T5" s="402"/>
      <c r="U5" s="402"/>
      <c r="V5" s="402"/>
      <c r="W5" s="402"/>
      <c r="X5" s="403"/>
      <c r="Y5" s="174"/>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c r="BC5" s="179"/>
      <c r="BD5" s="179"/>
      <c r="BE5" s="179"/>
      <c r="BF5" s="179"/>
      <c r="BG5" s="179"/>
      <c r="BH5" s="179"/>
      <c r="BI5" s="179"/>
      <c r="BJ5" s="179"/>
      <c r="BK5" s="179"/>
      <c r="BL5" s="179"/>
      <c r="BM5" s="179"/>
      <c r="BN5" s="179"/>
      <c r="BO5" s="179"/>
      <c r="BP5" s="179"/>
      <c r="BQ5" s="179"/>
      <c r="BR5" s="179"/>
      <c r="BS5" s="179"/>
      <c r="BT5" s="179"/>
      <c r="BU5" s="179"/>
      <c r="BV5" s="179"/>
      <c r="BW5" s="179"/>
      <c r="BX5" s="179"/>
      <c r="BY5" s="179"/>
      <c r="BZ5" s="179"/>
      <c r="CA5" s="179"/>
      <c r="CB5" s="179"/>
      <c r="CC5" s="179"/>
      <c r="CD5" s="179"/>
    </row>
    <row r="6" spans="1:82" s="180" customFormat="1" ht="33" customHeight="1" thickBot="1" x14ac:dyDescent="0.25">
      <c r="A6" s="413"/>
      <c r="B6" s="414"/>
      <c r="C6" s="415"/>
      <c r="D6" s="182"/>
      <c r="E6" s="320" t="s">
        <v>76</v>
      </c>
      <c r="F6" s="321"/>
      <c r="G6" s="321"/>
      <c r="H6" s="321"/>
      <c r="I6" s="321"/>
      <c r="J6" s="321"/>
      <c r="K6" s="321"/>
      <c r="L6" s="321"/>
      <c r="M6" s="321"/>
      <c r="N6" s="321"/>
      <c r="O6" s="322"/>
      <c r="P6" s="404"/>
      <c r="Q6" s="405"/>
      <c r="R6" s="405"/>
      <c r="S6" s="405"/>
      <c r="T6" s="405"/>
      <c r="U6" s="405"/>
      <c r="V6" s="405"/>
      <c r="W6" s="405"/>
      <c r="X6" s="406"/>
      <c r="Y6" s="175"/>
      <c r="Z6" s="179"/>
      <c r="AA6" s="179"/>
      <c r="AB6" s="179"/>
      <c r="AC6" s="179"/>
      <c r="AD6" s="179"/>
      <c r="AE6" s="179"/>
      <c r="AF6" s="179"/>
      <c r="AG6" s="179"/>
      <c r="AH6" s="179"/>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row>
    <row r="7" spans="1:82" s="23" customFormat="1" ht="33" customHeight="1" thickBot="1" x14ac:dyDescent="0.25">
      <c r="A7" s="378"/>
      <c r="B7" s="379"/>
      <c r="C7" s="379"/>
      <c r="D7" s="379"/>
      <c r="E7" s="379"/>
      <c r="F7" s="379"/>
      <c r="G7" s="379"/>
      <c r="H7" s="379"/>
      <c r="I7" s="379"/>
      <c r="J7" s="379"/>
      <c r="K7" s="379"/>
      <c r="L7" s="379"/>
      <c r="M7" s="379"/>
      <c r="N7" s="379"/>
      <c r="O7" s="379"/>
      <c r="P7" s="379"/>
      <c r="Q7" s="379"/>
      <c r="R7" s="379"/>
      <c r="S7" s="379"/>
      <c r="T7" s="379"/>
      <c r="U7" s="379"/>
      <c r="V7" s="379"/>
      <c r="W7" s="379"/>
      <c r="X7" s="379"/>
      <c r="Y7" s="380"/>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row>
    <row r="8" spans="1:82" s="1" customFormat="1" ht="29.25" customHeight="1" thickBot="1" x14ac:dyDescent="0.3">
      <c r="A8" s="14"/>
      <c r="B8" s="15"/>
      <c r="C8" s="15"/>
      <c r="D8" s="15"/>
      <c r="E8" s="16"/>
      <c r="F8" s="16"/>
      <c r="G8" s="16"/>
      <c r="H8" s="16"/>
      <c r="I8" s="16"/>
      <c r="J8" s="16"/>
      <c r="K8" s="16"/>
      <c r="L8" s="16"/>
      <c r="M8" s="16"/>
      <c r="N8" s="16"/>
      <c r="O8" s="16"/>
      <c r="P8" s="16"/>
      <c r="Q8" s="16"/>
      <c r="R8" s="16"/>
      <c r="S8" s="16"/>
      <c r="T8" s="16"/>
      <c r="U8" s="16"/>
      <c r="V8" s="16"/>
      <c r="W8" s="16"/>
      <c r="X8" s="16"/>
      <c r="Y8" s="16"/>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17"/>
      <c r="BX8" s="17"/>
      <c r="BY8" s="17"/>
      <c r="BZ8" s="17"/>
      <c r="CA8" s="17"/>
      <c r="CB8" s="17"/>
      <c r="CC8" s="17"/>
      <c r="CD8" s="17"/>
    </row>
    <row r="9" spans="1:82" s="1" customFormat="1" ht="33.75" customHeight="1" thickBot="1" x14ac:dyDescent="0.3">
      <c r="A9" s="328" t="s">
        <v>52</v>
      </c>
      <c r="B9" s="329"/>
      <c r="C9" s="329"/>
      <c r="D9" s="329"/>
      <c r="E9" s="329"/>
      <c r="F9" s="329"/>
      <c r="G9" s="329"/>
      <c r="H9" s="329"/>
      <c r="I9" s="329"/>
      <c r="J9" s="329"/>
      <c r="K9" s="329"/>
      <c r="L9" s="329"/>
      <c r="M9" s="329"/>
      <c r="N9" s="329"/>
      <c r="O9" s="329"/>
      <c r="P9" s="329"/>
      <c r="Q9" s="329"/>
      <c r="R9" s="329"/>
      <c r="S9" s="329"/>
      <c r="T9" s="329"/>
      <c r="U9" s="329"/>
      <c r="V9" s="329"/>
      <c r="W9" s="329"/>
      <c r="X9" s="85">
        <v>5</v>
      </c>
      <c r="Y9" s="80"/>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row>
    <row r="10" spans="1:82" s="1" customFormat="1" ht="63" customHeight="1" thickBot="1" x14ac:dyDescent="0.3">
      <c r="A10" s="385" t="s">
        <v>135</v>
      </c>
      <c r="B10" s="386" t="s">
        <v>12</v>
      </c>
      <c r="C10" s="387"/>
      <c r="D10" s="388"/>
      <c r="E10" s="389"/>
      <c r="F10" s="383" t="s">
        <v>49</v>
      </c>
      <c r="G10" s="393" t="s">
        <v>60</v>
      </c>
      <c r="H10" s="391"/>
      <c r="I10" s="391"/>
      <c r="J10" s="391"/>
      <c r="K10" s="391"/>
      <c r="L10" s="391"/>
      <c r="M10" s="391"/>
      <c r="N10" s="392"/>
      <c r="O10" s="81"/>
      <c r="P10" s="81"/>
      <c r="Q10" s="391"/>
      <c r="R10" s="391"/>
      <c r="S10" s="391"/>
      <c r="T10" s="391"/>
      <c r="U10" s="391"/>
      <c r="V10" s="391"/>
      <c r="W10" s="391"/>
      <c r="X10" s="391"/>
      <c r="Y10" s="392"/>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row>
    <row r="11" spans="1:82" ht="144" customHeight="1" thickBot="1" x14ac:dyDescent="0.3">
      <c r="A11" s="384"/>
      <c r="B11" s="82" t="s">
        <v>42</v>
      </c>
      <c r="C11" s="83" t="s">
        <v>44</v>
      </c>
      <c r="D11" s="83"/>
      <c r="E11" s="101" t="s">
        <v>45</v>
      </c>
      <c r="F11" s="384"/>
      <c r="G11" s="84" t="s">
        <v>80</v>
      </c>
      <c r="H11" s="84" t="s">
        <v>83</v>
      </c>
      <c r="I11" s="86" t="s">
        <v>150</v>
      </c>
      <c r="J11" s="86" t="s">
        <v>149</v>
      </c>
      <c r="K11" s="84" t="s">
        <v>97</v>
      </c>
      <c r="L11" s="84" t="s">
        <v>47</v>
      </c>
      <c r="M11" s="83" t="s">
        <v>48</v>
      </c>
      <c r="N11" s="83" t="s">
        <v>59</v>
      </c>
      <c r="O11" s="82" t="s">
        <v>105</v>
      </c>
      <c r="P11" s="82" t="s">
        <v>93</v>
      </c>
      <c r="Q11" s="82" t="s">
        <v>100</v>
      </c>
      <c r="R11" s="394" t="s">
        <v>98</v>
      </c>
      <c r="S11" s="395"/>
      <c r="T11" s="383"/>
      <c r="U11" s="82"/>
      <c r="V11" s="82" t="s">
        <v>92</v>
      </c>
      <c r="W11" s="101" t="s">
        <v>96</v>
      </c>
      <c r="X11" s="101" t="s">
        <v>95</v>
      </c>
      <c r="Y11" s="82" t="s">
        <v>46</v>
      </c>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row>
    <row r="12" spans="1:82" ht="55.5" customHeight="1" x14ac:dyDescent="0.25">
      <c r="A12" s="333"/>
      <c r="B12" s="390" t="str">
        <f>+IF($A$43=$X$9,'FT-Mapa de riesgos'!B20,"")</f>
        <v/>
      </c>
      <c r="C12" s="330" t="str">
        <f>+IF(B12=1,'FT-Mapa de riesgos'!C20,"")</f>
        <v/>
      </c>
      <c r="D12" s="330" t="str">
        <f>+IF(B12=1,1,"NA")</f>
        <v>NA</v>
      </c>
      <c r="E12" s="330" t="str">
        <f>+IF(B12=1,'FT-Mapa de riesgos'!E20,"")</f>
        <v/>
      </c>
      <c r="F12" s="330"/>
      <c r="G12" s="369" t="str">
        <f>IFERROR(IF($F12="","No",IF($F12="No","No"," "))," ")</f>
        <v>No</v>
      </c>
      <c r="H12" s="369" t="str">
        <f t="shared" ref="H12:N12" si="0">IFERROR(IF($F12="","No",IF($F12="No","No"," "))," ")</f>
        <v>No</v>
      </c>
      <c r="I12" s="369" t="str">
        <f t="shared" si="0"/>
        <v>No</v>
      </c>
      <c r="J12" s="369" t="str">
        <f t="shared" si="0"/>
        <v>No</v>
      </c>
      <c r="K12" s="369" t="str">
        <f t="shared" si="0"/>
        <v>No</v>
      </c>
      <c r="L12" s="369" t="str">
        <f t="shared" si="0"/>
        <v>No</v>
      </c>
      <c r="M12" s="369" t="str">
        <f t="shared" si="0"/>
        <v>No</v>
      </c>
      <c r="N12" s="369" t="str">
        <f t="shared" si="0"/>
        <v>No</v>
      </c>
      <c r="O12" s="106" t="str">
        <f>IF('FT-Mapa de riesgos'!M20="","",'FT-Mapa de riesgos'!M20)</f>
        <v>Listas de verificación guías protocolos y procedimientos</v>
      </c>
      <c r="P12" s="75" t="str">
        <f>+IF('FT-Mapa de riesgos'!V20="","",'FT-Mapa de riesgos'!V20)</f>
        <v>Permanente</v>
      </c>
      <c r="Q12" s="72" t="s">
        <v>101</v>
      </c>
      <c r="R12" s="72" t="str">
        <f>+IF('FT-Mapa de riesgos'!W20="","",'FT-Mapa de riesgos'!W20)</f>
        <v>Enero-Abril</v>
      </c>
      <c r="S12" s="72" t="str">
        <f>+'FT-Mapa de riesgos'!X20</f>
        <v>Mayo-Agosto</v>
      </c>
      <c r="T12" s="72" t="str">
        <f>+'FT-Mapa de riesgos'!Y20</f>
        <v>Septiembre-Diciembre</v>
      </c>
      <c r="U12" s="72">
        <f>IF(OR(Q12=R12,Q12=S12,Q12=T12),1,0)</f>
        <v>1</v>
      </c>
      <c r="V12" s="94" t="str">
        <f>+IF(U12=1,"Si","No")</f>
        <v>Si</v>
      </c>
      <c r="W12" s="98" t="str">
        <f t="shared" ref="W12:X16" si="1">IF($V12="","No",IF($V12="No","No"," "))</f>
        <v xml:space="preserve"> </v>
      </c>
      <c r="X12" s="125" t="str">
        <f t="shared" si="1"/>
        <v xml:space="preserve"> </v>
      </c>
      <c r="Y12" s="124" t="str">
        <f>+IFERROR((X12/W12)," ")</f>
        <v xml:space="preserve"> </v>
      </c>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row>
    <row r="13" spans="1:82" ht="55.5" customHeight="1" x14ac:dyDescent="0.25">
      <c r="A13" s="334"/>
      <c r="B13" s="357"/>
      <c r="C13" s="331"/>
      <c r="D13" s="331"/>
      <c r="E13" s="331"/>
      <c r="F13" s="331"/>
      <c r="G13" s="336"/>
      <c r="H13" s="336"/>
      <c r="I13" s="336"/>
      <c r="J13" s="336"/>
      <c r="K13" s="336"/>
      <c r="L13" s="336"/>
      <c r="M13" s="336"/>
      <c r="N13" s="336"/>
      <c r="O13" s="107" t="str">
        <f>IF('FT-Mapa de riesgos'!M21="","",'FT-Mapa de riesgos'!M21)</f>
        <v>Parada de seguridad</v>
      </c>
      <c r="P13" s="76" t="str">
        <f>+IF('FT-Mapa de riesgos'!V21="","",'FT-Mapa de riesgos'!V21)</f>
        <v>Permanente</v>
      </c>
      <c r="Q13" s="30" t="s">
        <v>101</v>
      </c>
      <c r="R13" s="30" t="str">
        <f>+IF('FT-Mapa de riesgos'!W21="","",'FT-Mapa de riesgos'!W21)</f>
        <v>Enero-Abril</v>
      </c>
      <c r="S13" s="30" t="str">
        <f>+'FT-Mapa de riesgos'!X21</f>
        <v>Mayo-Agosto</v>
      </c>
      <c r="T13" s="30" t="str">
        <f>+'FT-Mapa de riesgos'!Y21</f>
        <v>Septiembre-Diciembre</v>
      </c>
      <c r="U13" s="30">
        <f t="shared" ref="U13:U41" si="2">IF(OR(Q13=R13,Q13=S13,Q13=T13),1,0)</f>
        <v>1</v>
      </c>
      <c r="V13" s="100" t="str">
        <f t="shared" ref="V13:V41" si="3">+IF(U13=1,"Si","No")</f>
        <v>Si</v>
      </c>
      <c r="W13" s="34" t="str">
        <f t="shared" si="1"/>
        <v xml:space="preserve"> </v>
      </c>
      <c r="X13" s="126" t="str">
        <f t="shared" si="1"/>
        <v xml:space="preserve"> </v>
      </c>
      <c r="Y13" s="124" t="str">
        <f t="shared" ref="Y13:Y41" si="4">+IFERROR((X13/W13)," ")</f>
        <v xml:space="preserve"> </v>
      </c>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row>
    <row r="14" spans="1:82" ht="55.5" customHeight="1" x14ac:dyDescent="0.25">
      <c r="A14" s="334"/>
      <c r="B14" s="357"/>
      <c r="C14" s="331"/>
      <c r="D14" s="331"/>
      <c r="E14" s="331"/>
      <c r="F14" s="331"/>
      <c r="G14" s="336"/>
      <c r="H14" s="336"/>
      <c r="I14" s="336"/>
      <c r="J14" s="336"/>
      <c r="K14" s="336"/>
      <c r="L14" s="336"/>
      <c r="M14" s="336"/>
      <c r="N14" s="336"/>
      <c r="O14" s="107" t="str">
        <f>IF('FT-Mapa de riesgos'!M22="","",'FT-Mapa de riesgos'!M22)</f>
        <v/>
      </c>
      <c r="P14" s="76" t="str">
        <f>+IF('FT-Mapa de riesgos'!V22="","",'FT-Mapa de riesgos'!V22)</f>
        <v/>
      </c>
      <c r="Q14" s="30" t="s">
        <v>101</v>
      </c>
      <c r="R14" s="30" t="str">
        <f>+IF('FT-Mapa de riesgos'!W22="","",'FT-Mapa de riesgos'!W22)</f>
        <v/>
      </c>
      <c r="S14" s="30">
        <f>+'FT-Mapa de riesgos'!X22</f>
        <v>0</v>
      </c>
      <c r="T14" s="30">
        <f>+'FT-Mapa de riesgos'!Y22</f>
        <v>0</v>
      </c>
      <c r="U14" s="30">
        <f t="shared" si="2"/>
        <v>0</v>
      </c>
      <c r="V14" s="100" t="str">
        <f t="shared" si="3"/>
        <v>No</v>
      </c>
      <c r="W14" s="34" t="str">
        <f t="shared" si="1"/>
        <v>No</v>
      </c>
      <c r="X14" s="126" t="str">
        <f t="shared" si="1"/>
        <v>No</v>
      </c>
      <c r="Y14" s="124" t="str">
        <f t="shared" si="4"/>
        <v xml:space="preserve"> </v>
      </c>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row>
    <row r="15" spans="1:82" s="1" customFormat="1" ht="55.5" customHeight="1" x14ac:dyDescent="0.25">
      <c r="A15" s="334"/>
      <c r="B15" s="356" t="str">
        <f>+IF($A$43=$X$9,'FT-Mapa de riesgos'!B23,"")</f>
        <v/>
      </c>
      <c r="C15" s="331" t="str">
        <f>+IF(B15=2,'FT-Mapa de riesgos'!C23,"")</f>
        <v/>
      </c>
      <c r="D15" s="331" t="str">
        <f>+IF(B15=2,1,"NA")</f>
        <v>NA</v>
      </c>
      <c r="E15" s="331" t="str">
        <f>+IF(B15=2,'FT-Mapa de riesgos'!E23,"")</f>
        <v/>
      </c>
      <c r="F15" s="358"/>
      <c r="G15" s="336" t="str">
        <f t="shared" ref="G15:N39" si="5">IFERROR(IF($F15="","No",IF($F15="No","No"," "))," ")</f>
        <v>No</v>
      </c>
      <c r="H15" s="336" t="str">
        <f t="shared" si="5"/>
        <v>No</v>
      </c>
      <c r="I15" s="336" t="str">
        <f t="shared" si="5"/>
        <v>No</v>
      </c>
      <c r="J15" s="336" t="str">
        <f t="shared" si="5"/>
        <v>No</v>
      </c>
      <c r="K15" s="336" t="str">
        <f t="shared" si="5"/>
        <v>No</v>
      </c>
      <c r="L15" s="336" t="str">
        <f t="shared" si="5"/>
        <v>No</v>
      </c>
      <c r="M15" s="336" t="str">
        <f t="shared" si="5"/>
        <v>No</v>
      </c>
      <c r="N15" s="336" t="str">
        <f t="shared" si="5"/>
        <v>No</v>
      </c>
      <c r="O15" s="107" t="str">
        <f>IF('FT-Mapa de riesgos'!M23="","",'FT-Mapa de riesgos'!M23)</f>
        <v>Listas de verificación guías protocolos y procedimientos</v>
      </c>
      <c r="P15" s="76" t="str">
        <f>+IF('FT-Mapa de riesgos'!V23="","",'FT-Mapa de riesgos'!V23)</f>
        <v>Permanente</v>
      </c>
      <c r="Q15" s="30" t="s">
        <v>101</v>
      </c>
      <c r="R15" s="30" t="str">
        <f>+IF('FT-Mapa de riesgos'!W23="","",'FT-Mapa de riesgos'!W23)</f>
        <v>Enero-Abril</v>
      </c>
      <c r="S15" s="30" t="str">
        <f>+'FT-Mapa de riesgos'!X23</f>
        <v>Mayo-Agosto</v>
      </c>
      <c r="T15" s="30" t="str">
        <f>+'FT-Mapa de riesgos'!Y23</f>
        <v>Septiembre-Diciembre</v>
      </c>
      <c r="U15" s="30">
        <f t="shared" si="2"/>
        <v>1</v>
      </c>
      <c r="V15" s="100" t="str">
        <f t="shared" si="3"/>
        <v>Si</v>
      </c>
      <c r="W15" s="34" t="str">
        <f t="shared" si="1"/>
        <v xml:space="preserve"> </v>
      </c>
      <c r="X15" s="126" t="str">
        <f t="shared" si="1"/>
        <v xml:space="preserve"> </v>
      </c>
      <c r="Y15" s="124" t="str">
        <f t="shared" si="4"/>
        <v xml:space="preserve"> </v>
      </c>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row>
    <row r="16" spans="1:82" s="1" customFormat="1" ht="55.5" customHeight="1" x14ac:dyDescent="0.25">
      <c r="A16" s="334"/>
      <c r="B16" s="357"/>
      <c r="C16" s="331"/>
      <c r="D16" s="331"/>
      <c r="E16" s="331"/>
      <c r="F16" s="359"/>
      <c r="G16" s="336"/>
      <c r="H16" s="336"/>
      <c r="I16" s="336"/>
      <c r="J16" s="336"/>
      <c r="K16" s="336"/>
      <c r="L16" s="336"/>
      <c r="M16" s="336"/>
      <c r="N16" s="336"/>
      <c r="O16" s="107" t="str">
        <f>IF('FT-Mapa de riesgos'!M24="","",'FT-Mapa de riesgos'!M24)</f>
        <v>Listas de verificación guías protocolos y procedimientos</v>
      </c>
      <c r="P16" s="76" t="str">
        <f>+IF('FT-Mapa de riesgos'!V24="","",'FT-Mapa de riesgos'!V24)</f>
        <v>Permanente</v>
      </c>
      <c r="Q16" s="30" t="s">
        <v>101</v>
      </c>
      <c r="R16" s="30" t="str">
        <f>+IF('FT-Mapa de riesgos'!W24="","",'FT-Mapa de riesgos'!W24)</f>
        <v>Enero-Abril</v>
      </c>
      <c r="S16" s="30" t="str">
        <f>+'FT-Mapa de riesgos'!X24</f>
        <v>Mayo-Agosto</v>
      </c>
      <c r="T16" s="30" t="str">
        <f>+'FT-Mapa de riesgos'!Y24</f>
        <v>Septiembre-Diciembre</v>
      </c>
      <c r="U16" s="30">
        <f t="shared" si="2"/>
        <v>1</v>
      </c>
      <c r="V16" s="100" t="str">
        <f t="shared" si="3"/>
        <v>Si</v>
      </c>
      <c r="W16" s="34" t="str">
        <f t="shared" si="1"/>
        <v xml:space="preserve"> </v>
      </c>
      <c r="X16" s="126" t="str">
        <f t="shared" si="1"/>
        <v xml:space="preserve"> </v>
      </c>
      <c r="Y16" s="124" t="str">
        <f t="shared" si="4"/>
        <v xml:space="preserve"> </v>
      </c>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row>
    <row r="17" spans="1:82" s="1" customFormat="1" ht="55.5" customHeight="1" x14ac:dyDescent="0.25">
      <c r="A17" s="334"/>
      <c r="B17" s="357"/>
      <c r="C17" s="331"/>
      <c r="D17" s="331"/>
      <c r="E17" s="331"/>
      <c r="F17" s="360"/>
      <c r="G17" s="336"/>
      <c r="H17" s="336"/>
      <c r="I17" s="336"/>
      <c r="J17" s="336"/>
      <c r="K17" s="336"/>
      <c r="L17" s="336"/>
      <c r="M17" s="336"/>
      <c r="N17" s="336"/>
      <c r="O17" s="107" t="str">
        <f>IF('FT-Mapa de riesgos'!M25="","",'FT-Mapa de riesgos'!M25)</f>
        <v/>
      </c>
      <c r="P17" s="76" t="str">
        <f>+IF('FT-Mapa de riesgos'!V25="","",'FT-Mapa de riesgos'!V25)</f>
        <v/>
      </c>
      <c r="Q17" s="30" t="s">
        <v>101</v>
      </c>
      <c r="R17" s="30" t="str">
        <f>+IF('FT-Mapa de riesgos'!W25="","",'FT-Mapa de riesgos'!W25)</f>
        <v/>
      </c>
      <c r="S17" s="30">
        <f>+'FT-Mapa de riesgos'!X25</f>
        <v>0</v>
      </c>
      <c r="T17" s="30">
        <f>+'FT-Mapa de riesgos'!Y25</f>
        <v>0</v>
      </c>
      <c r="U17" s="30">
        <f t="shared" si="2"/>
        <v>0</v>
      </c>
      <c r="V17" s="100" t="str">
        <f t="shared" si="3"/>
        <v>No</v>
      </c>
      <c r="W17" s="34" t="str">
        <f t="shared" ref="W17:X30" si="6">IF($V17="","No",IF($V17="No","No"," "))</f>
        <v>No</v>
      </c>
      <c r="X17" s="126" t="str">
        <f t="shared" si="6"/>
        <v>No</v>
      </c>
      <c r="Y17" s="124" t="str">
        <f t="shared" si="4"/>
        <v xml:space="preserve"> </v>
      </c>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7"/>
      <c r="BK17" s="17"/>
      <c r="BL17" s="17"/>
      <c r="BM17" s="17"/>
      <c r="BN17" s="17"/>
      <c r="BO17" s="17"/>
      <c r="BP17" s="17"/>
      <c r="BQ17" s="17"/>
      <c r="BR17" s="17"/>
      <c r="BS17" s="17"/>
      <c r="BT17" s="17"/>
      <c r="BU17" s="17"/>
      <c r="BV17" s="17"/>
      <c r="BW17" s="17"/>
      <c r="BX17" s="17"/>
      <c r="BY17" s="17"/>
      <c r="BZ17" s="17"/>
      <c r="CA17" s="17"/>
      <c r="CB17" s="17"/>
      <c r="CC17" s="17"/>
      <c r="CD17" s="17"/>
    </row>
    <row r="18" spans="1:82" s="1" customFormat="1" ht="55.5" customHeight="1" x14ac:dyDescent="0.25">
      <c r="A18" s="334"/>
      <c r="B18" s="356" t="str">
        <f>+IF($A$43=$X$9,'FT-Mapa de riesgos'!B26,"")</f>
        <v/>
      </c>
      <c r="C18" s="331" t="str">
        <f>+IF(B18=3,'FT-Mapa de riesgos'!C26,"")</f>
        <v/>
      </c>
      <c r="D18" s="331" t="str">
        <f>+IF(B18=3,1,"NA")</f>
        <v>NA</v>
      </c>
      <c r="E18" s="331" t="str">
        <f>+IF(B18=3,'FT-Mapa de riesgos'!E26,"")</f>
        <v/>
      </c>
      <c r="F18" s="358"/>
      <c r="G18" s="336" t="str">
        <f t="shared" ref="G18" si="7">IFERROR(IF($F18="","No",IF($F18="No","No"," "))," ")</f>
        <v>No</v>
      </c>
      <c r="H18" s="336" t="str">
        <f t="shared" si="5"/>
        <v>No</v>
      </c>
      <c r="I18" s="336" t="str">
        <f t="shared" si="5"/>
        <v>No</v>
      </c>
      <c r="J18" s="336" t="str">
        <f t="shared" si="5"/>
        <v>No</v>
      </c>
      <c r="K18" s="336" t="str">
        <f t="shared" si="5"/>
        <v>No</v>
      </c>
      <c r="L18" s="336" t="str">
        <f t="shared" si="5"/>
        <v>No</v>
      </c>
      <c r="M18" s="336" t="str">
        <f t="shared" si="5"/>
        <v>No</v>
      </c>
      <c r="N18" s="336" t="str">
        <f t="shared" si="5"/>
        <v>No</v>
      </c>
      <c r="O18" s="107" t="str">
        <f>IF('FT-Mapa de riesgos'!M26="","",'FT-Mapa de riesgos'!M26)</f>
        <v>Evaluación de adherencia</v>
      </c>
      <c r="P18" s="76" t="str">
        <f>+IF('FT-Mapa de riesgos'!V26="","",'FT-Mapa de riesgos'!V26)</f>
        <v>Semestral</v>
      </c>
      <c r="Q18" s="30" t="s">
        <v>101</v>
      </c>
      <c r="R18" s="30" t="str">
        <f>+IF('FT-Mapa de riesgos'!W26="","",'FT-Mapa de riesgos'!W26)</f>
        <v>Mayo-Agosto</v>
      </c>
      <c r="S18" s="30" t="str">
        <f>+'FT-Mapa de riesgos'!X26</f>
        <v>Septiembre-Diciembre</v>
      </c>
      <c r="T18" s="30" t="str">
        <f>+'FT-Mapa de riesgos'!Y26</f>
        <v>N/A</v>
      </c>
      <c r="U18" s="30">
        <f t="shared" si="2"/>
        <v>0</v>
      </c>
      <c r="V18" s="100" t="str">
        <f t="shared" si="3"/>
        <v>No</v>
      </c>
      <c r="W18" s="34" t="str">
        <f t="shared" si="6"/>
        <v>No</v>
      </c>
      <c r="X18" s="126" t="str">
        <f t="shared" si="6"/>
        <v>No</v>
      </c>
      <c r="Y18" s="124" t="str">
        <f t="shared" si="4"/>
        <v xml:space="preserve"> </v>
      </c>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7"/>
      <c r="BK18" s="17"/>
      <c r="BL18" s="17"/>
      <c r="BM18" s="17"/>
      <c r="BN18" s="17"/>
      <c r="BO18" s="17"/>
      <c r="BP18" s="17"/>
      <c r="BQ18" s="17"/>
      <c r="BR18" s="17"/>
      <c r="BS18" s="17"/>
      <c r="BT18" s="17"/>
      <c r="BU18" s="17"/>
      <c r="BV18" s="17"/>
      <c r="BW18" s="17"/>
      <c r="BX18" s="17"/>
      <c r="BY18" s="17"/>
      <c r="BZ18" s="17"/>
      <c r="CA18" s="17"/>
      <c r="CB18" s="17"/>
      <c r="CC18" s="17"/>
      <c r="CD18" s="17"/>
    </row>
    <row r="19" spans="1:82" s="1" customFormat="1" ht="55.5" customHeight="1" x14ac:dyDescent="0.25">
      <c r="A19" s="334"/>
      <c r="B19" s="357"/>
      <c r="C19" s="331"/>
      <c r="D19" s="331"/>
      <c r="E19" s="331"/>
      <c r="F19" s="359"/>
      <c r="G19" s="336"/>
      <c r="H19" s="336"/>
      <c r="I19" s="336"/>
      <c r="J19" s="336"/>
      <c r="K19" s="336"/>
      <c r="L19" s="336"/>
      <c r="M19" s="336"/>
      <c r="N19" s="336"/>
      <c r="O19" s="107" t="str">
        <f>IF('FT-Mapa de riesgos'!M27="","",'FT-Mapa de riesgos'!M27)</f>
        <v xml:space="preserve">Rotación de personal por todas las áreas asistenciales de urgencias </v>
      </c>
      <c r="P19" s="76" t="str">
        <f>+IF('FT-Mapa de riesgos'!V27="","",'FT-Mapa de riesgos'!V27)</f>
        <v>Mensual</v>
      </c>
      <c r="Q19" s="30" t="s">
        <v>101</v>
      </c>
      <c r="R19" s="30" t="str">
        <f>+IF('FT-Mapa de riesgos'!W27="","",'FT-Mapa de riesgos'!W27)</f>
        <v>Enero-Abril</v>
      </c>
      <c r="S19" s="30" t="str">
        <f>+'FT-Mapa de riesgos'!X27</f>
        <v>Mayo-Agosto</v>
      </c>
      <c r="T19" s="30" t="str">
        <f>+'FT-Mapa de riesgos'!Y27</f>
        <v>Septiembre-Diciembre</v>
      </c>
      <c r="U19" s="30">
        <f t="shared" si="2"/>
        <v>1</v>
      </c>
      <c r="V19" s="100" t="str">
        <f t="shared" si="3"/>
        <v>Si</v>
      </c>
      <c r="W19" s="34" t="str">
        <f t="shared" si="6"/>
        <v xml:space="preserve"> </v>
      </c>
      <c r="X19" s="126" t="str">
        <f t="shared" si="6"/>
        <v xml:space="preserve"> </v>
      </c>
      <c r="Y19" s="124" t="str">
        <f t="shared" si="4"/>
        <v xml:space="preserve"> </v>
      </c>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row>
    <row r="20" spans="1:82" s="1" customFormat="1" ht="55.5" customHeight="1" x14ac:dyDescent="0.25">
      <c r="A20" s="334"/>
      <c r="B20" s="357"/>
      <c r="C20" s="331"/>
      <c r="D20" s="331"/>
      <c r="E20" s="331"/>
      <c r="F20" s="360"/>
      <c r="G20" s="336"/>
      <c r="H20" s="336"/>
      <c r="I20" s="336"/>
      <c r="J20" s="336"/>
      <c r="K20" s="336"/>
      <c r="L20" s="336"/>
      <c r="M20" s="336"/>
      <c r="N20" s="336"/>
      <c r="O20" s="107" t="str">
        <f>IF('FT-Mapa de riesgos'!M28="","",'FT-Mapa de riesgos'!M28)</f>
        <v/>
      </c>
      <c r="P20" s="76" t="str">
        <f>+IF('FT-Mapa de riesgos'!V28="","",'FT-Mapa de riesgos'!V28)</f>
        <v/>
      </c>
      <c r="Q20" s="30" t="s">
        <v>101</v>
      </c>
      <c r="R20" s="30" t="str">
        <f>+IF('FT-Mapa de riesgos'!W28="","",'FT-Mapa de riesgos'!W28)</f>
        <v/>
      </c>
      <c r="S20" s="30">
        <f>+'FT-Mapa de riesgos'!X28</f>
        <v>0</v>
      </c>
      <c r="T20" s="30">
        <f>+'FT-Mapa de riesgos'!Y28</f>
        <v>0</v>
      </c>
      <c r="U20" s="30">
        <f t="shared" si="2"/>
        <v>0</v>
      </c>
      <c r="V20" s="100" t="str">
        <f t="shared" si="3"/>
        <v>No</v>
      </c>
      <c r="W20" s="34" t="str">
        <f t="shared" si="6"/>
        <v>No</v>
      </c>
      <c r="X20" s="126" t="str">
        <f t="shared" si="6"/>
        <v>No</v>
      </c>
      <c r="Y20" s="124" t="str">
        <f t="shared" si="4"/>
        <v xml:space="preserve"> </v>
      </c>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row>
    <row r="21" spans="1:82" s="1" customFormat="1" ht="55.5" customHeight="1" x14ac:dyDescent="0.25">
      <c r="A21" s="334"/>
      <c r="B21" s="356" t="str">
        <f>+IF($A$43=$X$9,'FT-Mapa de riesgos'!B29," ")</f>
        <v xml:space="preserve"> </v>
      </c>
      <c r="C21" s="331" t="str">
        <f>+IF(B21=4,'FT-Mapa de riesgos'!C29,"")</f>
        <v/>
      </c>
      <c r="D21" s="331" t="str">
        <f>+IF(B21=4,1,"NA")</f>
        <v>NA</v>
      </c>
      <c r="E21" s="331" t="str">
        <f>+IF(B21=4,'FT-Mapa de riesgos'!E29,"")</f>
        <v/>
      </c>
      <c r="F21" s="358"/>
      <c r="G21" s="336" t="str">
        <f t="shared" ref="G21" si="8">IFERROR(IF($F21="","No",IF($F21="No","No"," "))," ")</f>
        <v>No</v>
      </c>
      <c r="H21" s="336" t="str">
        <f t="shared" si="5"/>
        <v>No</v>
      </c>
      <c r="I21" s="336" t="str">
        <f t="shared" si="5"/>
        <v>No</v>
      </c>
      <c r="J21" s="336" t="str">
        <f t="shared" si="5"/>
        <v>No</v>
      </c>
      <c r="K21" s="336" t="str">
        <f t="shared" si="5"/>
        <v>No</v>
      </c>
      <c r="L21" s="336" t="str">
        <f t="shared" si="5"/>
        <v>No</v>
      </c>
      <c r="M21" s="336" t="str">
        <f t="shared" si="5"/>
        <v>No</v>
      </c>
      <c r="N21" s="336" t="str">
        <f t="shared" si="5"/>
        <v>No</v>
      </c>
      <c r="O21" s="107" t="str">
        <f>IF('FT-Mapa de riesgos'!M29="","",'FT-Mapa de riesgos'!M29)</f>
        <v xml:space="preserve">Asignación de elementos y/o  prendas de identificación </v>
      </c>
      <c r="P21" s="76" t="str">
        <f>+IF('FT-Mapa de riesgos'!V29="","",'FT-Mapa de riesgos'!V29)</f>
        <v>Permanente</v>
      </c>
      <c r="Q21" s="30" t="s">
        <v>101</v>
      </c>
      <c r="R21" s="30" t="str">
        <f>+IF('FT-Mapa de riesgos'!W29="","",'FT-Mapa de riesgos'!W29)</f>
        <v>Enero-Abril</v>
      </c>
      <c r="S21" s="30" t="str">
        <f>+'FT-Mapa de riesgos'!X29</f>
        <v>Mayo-Agosto</v>
      </c>
      <c r="T21" s="30" t="str">
        <f>+'FT-Mapa de riesgos'!Y29</f>
        <v>Septiembre-Diciembre</v>
      </c>
      <c r="U21" s="30">
        <f t="shared" si="2"/>
        <v>1</v>
      </c>
      <c r="V21" s="100" t="str">
        <f t="shared" si="3"/>
        <v>Si</v>
      </c>
      <c r="W21" s="34" t="str">
        <f t="shared" si="6"/>
        <v xml:space="preserve"> </v>
      </c>
      <c r="X21" s="126" t="str">
        <f t="shared" si="6"/>
        <v xml:space="preserve"> </v>
      </c>
      <c r="Y21" s="124" t="str">
        <f t="shared" si="4"/>
        <v xml:space="preserve"> </v>
      </c>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7"/>
      <c r="BK21" s="17"/>
      <c r="BL21" s="17"/>
      <c r="BM21" s="17"/>
      <c r="BN21" s="17"/>
      <c r="BO21" s="17"/>
      <c r="BP21" s="17"/>
      <c r="BQ21" s="17"/>
      <c r="BR21" s="17"/>
      <c r="BS21" s="17"/>
      <c r="BT21" s="17"/>
      <c r="BU21" s="17"/>
      <c r="BV21" s="17"/>
      <c r="BW21" s="17"/>
      <c r="BX21" s="17"/>
      <c r="BY21" s="17"/>
      <c r="BZ21" s="17"/>
      <c r="CA21" s="17"/>
      <c r="CB21" s="17"/>
      <c r="CC21" s="17"/>
      <c r="CD21" s="17"/>
    </row>
    <row r="22" spans="1:82" s="1" customFormat="1" ht="55.5" customHeight="1" x14ac:dyDescent="0.25">
      <c r="A22" s="334"/>
      <c r="B22" s="357"/>
      <c r="C22" s="331"/>
      <c r="D22" s="331"/>
      <c r="E22" s="331"/>
      <c r="F22" s="359"/>
      <c r="G22" s="336"/>
      <c r="H22" s="336"/>
      <c r="I22" s="336"/>
      <c r="J22" s="336"/>
      <c r="K22" s="336"/>
      <c r="L22" s="336"/>
      <c r="M22" s="336"/>
      <c r="N22" s="336"/>
      <c r="O22" s="107" t="str">
        <f>IF('FT-Mapa de riesgos'!M30="","",'FT-Mapa de riesgos'!M30)</f>
        <v xml:space="preserve">Control de puertas por los guardias de seguridad y revisión por parte del personal de información </v>
      </c>
      <c r="P22" s="76" t="str">
        <f>+IF('FT-Mapa de riesgos'!V30="","",'FT-Mapa de riesgos'!V30)</f>
        <v>Permanente</v>
      </c>
      <c r="Q22" s="30" t="s">
        <v>101</v>
      </c>
      <c r="R22" s="30" t="str">
        <f>+IF('FT-Mapa de riesgos'!W30="","",'FT-Mapa de riesgos'!W30)</f>
        <v>Enero-Abril</v>
      </c>
      <c r="S22" s="30" t="str">
        <f>+'FT-Mapa de riesgos'!X30</f>
        <v>Mayo-Agosto</v>
      </c>
      <c r="T22" s="30" t="str">
        <f>+'FT-Mapa de riesgos'!Y30</f>
        <v>Septiembre-Diciembre</v>
      </c>
      <c r="U22" s="30">
        <f t="shared" si="2"/>
        <v>1</v>
      </c>
      <c r="V22" s="100" t="str">
        <f t="shared" si="3"/>
        <v>Si</v>
      </c>
      <c r="W22" s="34" t="str">
        <f t="shared" si="6"/>
        <v xml:space="preserve"> </v>
      </c>
      <c r="X22" s="126" t="str">
        <f t="shared" si="6"/>
        <v xml:space="preserve"> </v>
      </c>
      <c r="Y22" s="124" t="str">
        <f t="shared" si="4"/>
        <v xml:space="preserve"> </v>
      </c>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c r="BJ22" s="17"/>
      <c r="BK22" s="17"/>
      <c r="BL22" s="17"/>
      <c r="BM22" s="17"/>
      <c r="BN22" s="17"/>
      <c r="BO22" s="17"/>
      <c r="BP22" s="17"/>
      <c r="BQ22" s="17"/>
      <c r="BR22" s="17"/>
      <c r="BS22" s="17"/>
      <c r="BT22" s="17"/>
      <c r="BU22" s="17"/>
      <c r="BV22" s="17"/>
      <c r="BW22" s="17"/>
      <c r="BX22" s="17"/>
      <c r="BY22" s="17"/>
      <c r="BZ22" s="17"/>
      <c r="CA22" s="17"/>
      <c r="CB22" s="17"/>
      <c r="CC22" s="17"/>
      <c r="CD22" s="17"/>
    </row>
    <row r="23" spans="1:82" s="1" customFormat="1" ht="55.5" customHeight="1" x14ac:dyDescent="0.25">
      <c r="A23" s="334"/>
      <c r="B23" s="357"/>
      <c r="C23" s="331"/>
      <c r="D23" s="331"/>
      <c r="E23" s="331"/>
      <c r="F23" s="360"/>
      <c r="G23" s="336"/>
      <c r="H23" s="336"/>
      <c r="I23" s="336"/>
      <c r="J23" s="336"/>
      <c r="K23" s="336"/>
      <c r="L23" s="336"/>
      <c r="M23" s="336"/>
      <c r="N23" s="336"/>
      <c r="O23" s="107" t="str">
        <f>IF('FT-Mapa de riesgos'!M31="","",'FT-Mapa de riesgos'!M31)</f>
        <v/>
      </c>
      <c r="P23" s="76" t="str">
        <f>+IF('FT-Mapa de riesgos'!V31="","",'FT-Mapa de riesgos'!V31)</f>
        <v/>
      </c>
      <c r="Q23" s="30" t="s">
        <v>101</v>
      </c>
      <c r="R23" s="30" t="str">
        <f>+IF('FT-Mapa de riesgos'!W31="","",'FT-Mapa de riesgos'!W31)</f>
        <v/>
      </c>
      <c r="S23" s="30">
        <f>+'FT-Mapa de riesgos'!X31</f>
        <v>0</v>
      </c>
      <c r="T23" s="30">
        <f>+'FT-Mapa de riesgos'!Y31</f>
        <v>0</v>
      </c>
      <c r="U23" s="30">
        <f t="shared" si="2"/>
        <v>0</v>
      </c>
      <c r="V23" s="100" t="str">
        <f t="shared" si="3"/>
        <v>No</v>
      </c>
      <c r="W23" s="34" t="str">
        <f t="shared" si="6"/>
        <v>No</v>
      </c>
      <c r="X23" s="126" t="str">
        <f t="shared" si="6"/>
        <v>No</v>
      </c>
      <c r="Y23" s="124" t="str">
        <f t="shared" si="4"/>
        <v xml:space="preserve"> </v>
      </c>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7"/>
      <c r="BK23" s="17"/>
      <c r="BL23" s="17"/>
      <c r="BM23" s="17"/>
      <c r="BN23" s="17"/>
      <c r="BO23" s="17"/>
      <c r="BP23" s="17"/>
      <c r="BQ23" s="17"/>
      <c r="BR23" s="17"/>
      <c r="BS23" s="17"/>
      <c r="BT23" s="17"/>
      <c r="BU23" s="17"/>
      <c r="BV23" s="17"/>
      <c r="BW23" s="17"/>
      <c r="BX23" s="17"/>
      <c r="BY23" s="17"/>
      <c r="BZ23" s="17"/>
      <c r="CA23" s="17"/>
      <c r="CB23" s="17"/>
      <c r="CC23" s="17"/>
      <c r="CD23" s="17"/>
    </row>
    <row r="24" spans="1:82" s="1" customFormat="1" ht="55.5" customHeight="1" x14ac:dyDescent="0.25">
      <c r="A24" s="334"/>
      <c r="B24" s="356" t="str">
        <f>+IF($A$43=$X$9,'FT-Mapa de riesgos'!B32,"")</f>
        <v/>
      </c>
      <c r="C24" s="331" t="str">
        <f>+IF(B24=5,'FT-Mapa de riesgos'!C32,"")</f>
        <v/>
      </c>
      <c r="D24" s="331" t="str">
        <f t="shared" ref="D24" si="9">+IF(B24=1,1,"NA")</f>
        <v>NA</v>
      </c>
      <c r="E24" s="331" t="str">
        <f>+IF(B24=5,'FT-Mapa de riesgos'!E32,"")</f>
        <v/>
      </c>
      <c r="F24" s="358"/>
      <c r="G24" s="336" t="str">
        <f t="shared" ref="G24" si="10">IFERROR(IF($F24="","No",IF($F24="No","No"," "))," ")</f>
        <v>No</v>
      </c>
      <c r="H24" s="336" t="str">
        <f t="shared" si="5"/>
        <v>No</v>
      </c>
      <c r="I24" s="336" t="str">
        <f t="shared" si="5"/>
        <v>No</v>
      </c>
      <c r="J24" s="336" t="str">
        <f t="shared" si="5"/>
        <v>No</v>
      </c>
      <c r="K24" s="336" t="str">
        <f t="shared" si="5"/>
        <v>No</v>
      </c>
      <c r="L24" s="336" t="str">
        <f t="shared" si="5"/>
        <v>No</v>
      </c>
      <c r="M24" s="336" t="str">
        <f t="shared" si="5"/>
        <v>No</v>
      </c>
      <c r="N24" s="336" t="str">
        <f t="shared" si="5"/>
        <v>No</v>
      </c>
      <c r="O24" s="107" t="str">
        <f>IF('FT-Mapa de riesgos'!M32="","",'FT-Mapa de riesgos'!M32)</f>
        <v>Evaluación de adherencia de protocolos y procedimientos</v>
      </c>
      <c r="P24" s="76" t="str">
        <f>+IF('FT-Mapa de riesgos'!V32="","",'FT-Mapa de riesgos'!V32)</f>
        <v>Semestral</v>
      </c>
      <c r="Q24" s="30" t="s">
        <v>101</v>
      </c>
      <c r="R24" s="30" t="str">
        <f>+IF('FT-Mapa de riesgos'!W32="","",'FT-Mapa de riesgos'!W32)</f>
        <v>Mayo-Agosto</v>
      </c>
      <c r="S24" s="30" t="str">
        <f>+'FT-Mapa de riesgos'!X32</f>
        <v>Septiembre-Diciembre</v>
      </c>
      <c r="T24" s="30" t="str">
        <f>+'FT-Mapa de riesgos'!Y32</f>
        <v>N/A</v>
      </c>
      <c r="U24" s="30">
        <f t="shared" si="2"/>
        <v>0</v>
      </c>
      <c r="V24" s="100" t="str">
        <f t="shared" si="3"/>
        <v>No</v>
      </c>
      <c r="W24" s="34" t="str">
        <f t="shared" si="6"/>
        <v>No</v>
      </c>
      <c r="X24" s="126" t="str">
        <f t="shared" si="6"/>
        <v>No</v>
      </c>
      <c r="Y24" s="124" t="str">
        <f t="shared" si="4"/>
        <v xml:space="preserve"> </v>
      </c>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17"/>
      <c r="BV24" s="17"/>
      <c r="BW24" s="17"/>
      <c r="BX24" s="17"/>
      <c r="BY24" s="17"/>
      <c r="BZ24" s="17"/>
      <c r="CA24" s="17"/>
      <c r="CB24" s="17"/>
      <c r="CC24" s="17"/>
      <c r="CD24" s="17"/>
    </row>
    <row r="25" spans="1:82" s="1" customFormat="1" ht="55.5" customHeight="1" x14ac:dyDescent="0.25">
      <c r="A25" s="334"/>
      <c r="B25" s="357"/>
      <c r="C25" s="331"/>
      <c r="D25" s="331"/>
      <c r="E25" s="331"/>
      <c r="F25" s="359"/>
      <c r="G25" s="336"/>
      <c r="H25" s="336"/>
      <c r="I25" s="336"/>
      <c r="J25" s="336"/>
      <c r="K25" s="336"/>
      <c r="L25" s="336"/>
      <c r="M25" s="336"/>
      <c r="N25" s="336"/>
      <c r="O25" s="107" t="str">
        <f>IF('FT-Mapa de riesgos'!M33="","",'FT-Mapa de riesgos'!M33)</f>
        <v>Evaluación de adherencia de protocolos y procedimientos</v>
      </c>
      <c r="P25" s="76" t="str">
        <f>+IF('FT-Mapa de riesgos'!V33="","",'FT-Mapa de riesgos'!V33)</f>
        <v>Semestral</v>
      </c>
      <c r="Q25" s="30" t="s">
        <v>101</v>
      </c>
      <c r="R25" s="30" t="str">
        <f>+IF('FT-Mapa de riesgos'!W33="","",'FT-Mapa de riesgos'!W33)</f>
        <v>Mayo-Agosto</v>
      </c>
      <c r="S25" s="30" t="str">
        <f>+'FT-Mapa de riesgos'!X33</f>
        <v>Septiembre-Diciembre</v>
      </c>
      <c r="T25" s="30" t="str">
        <f>+'FT-Mapa de riesgos'!Y33</f>
        <v>N/A</v>
      </c>
      <c r="U25" s="30">
        <f t="shared" si="2"/>
        <v>0</v>
      </c>
      <c r="V25" s="100" t="str">
        <f t="shared" si="3"/>
        <v>No</v>
      </c>
      <c r="W25" s="34" t="str">
        <f t="shared" si="6"/>
        <v>No</v>
      </c>
      <c r="X25" s="126" t="str">
        <f t="shared" si="6"/>
        <v>No</v>
      </c>
      <c r="Y25" s="124" t="str">
        <f t="shared" si="4"/>
        <v xml:space="preserve"> </v>
      </c>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17"/>
      <c r="CC25" s="17"/>
      <c r="CD25" s="17"/>
    </row>
    <row r="26" spans="1:82" s="1" customFormat="1" ht="55.5" customHeight="1" x14ac:dyDescent="0.25">
      <c r="A26" s="334"/>
      <c r="B26" s="357"/>
      <c r="C26" s="331"/>
      <c r="D26" s="331"/>
      <c r="E26" s="331"/>
      <c r="F26" s="360"/>
      <c r="G26" s="336"/>
      <c r="H26" s="336"/>
      <c r="I26" s="336"/>
      <c r="J26" s="336"/>
      <c r="K26" s="336"/>
      <c r="L26" s="336"/>
      <c r="M26" s="336"/>
      <c r="N26" s="336"/>
      <c r="O26" s="107" t="str">
        <f>IF('FT-Mapa de riesgos'!M34="","",'FT-Mapa de riesgos'!M34)</f>
        <v/>
      </c>
      <c r="P26" s="76" t="str">
        <f>+IF('FT-Mapa de riesgos'!V34="","",'FT-Mapa de riesgos'!V34)</f>
        <v/>
      </c>
      <c r="Q26" s="30" t="s">
        <v>101</v>
      </c>
      <c r="R26" s="30" t="str">
        <f>+IF('FT-Mapa de riesgos'!W34="","",'FT-Mapa de riesgos'!W34)</f>
        <v/>
      </c>
      <c r="S26" s="30">
        <f>+'FT-Mapa de riesgos'!X34</f>
        <v>0</v>
      </c>
      <c r="T26" s="30">
        <f>+'FT-Mapa de riesgos'!Y34</f>
        <v>0</v>
      </c>
      <c r="U26" s="30">
        <f t="shared" si="2"/>
        <v>0</v>
      </c>
      <c r="V26" s="100" t="str">
        <f t="shared" si="3"/>
        <v>No</v>
      </c>
      <c r="W26" s="34" t="str">
        <f t="shared" si="6"/>
        <v>No</v>
      </c>
      <c r="X26" s="126" t="str">
        <f t="shared" si="6"/>
        <v>No</v>
      </c>
      <c r="Y26" s="124" t="str">
        <f t="shared" si="4"/>
        <v xml:space="preserve"> </v>
      </c>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17"/>
      <c r="BV26" s="17"/>
      <c r="BW26" s="17"/>
      <c r="BX26" s="17"/>
      <c r="BY26" s="17"/>
      <c r="BZ26" s="17"/>
      <c r="CA26" s="17"/>
      <c r="CB26" s="17"/>
      <c r="CC26" s="17"/>
      <c r="CD26" s="17"/>
    </row>
    <row r="27" spans="1:82" s="1" customFormat="1" ht="55.5" customHeight="1" x14ac:dyDescent="0.25">
      <c r="A27" s="334"/>
      <c r="B27" s="356" t="str">
        <f>+IF($A$43=$X$9,'FT-Mapa de riesgos'!B35,"")</f>
        <v/>
      </c>
      <c r="C27" s="331" t="str">
        <f>+IF(B27=6,'FT-Mapa de riesgos'!C35,"")</f>
        <v/>
      </c>
      <c r="D27" s="331" t="str">
        <f t="shared" ref="D27" si="11">+IF(B27=1,1,"NA")</f>
        <v>NA</v>
      </c>
      <c r="E27" s="331" t="str">
        <f>+IF(B27=6,'FT-Mapa de riesgos'!E35,"")</f>
        <v/>
      </c>
      <c r="F27" s="358"/>
      <c r="G27" s="336" t="str">
        <f t="shared" ref="G27" si="12">IFERROR(IF($F27="","No",IF($F27="No","No"," "))," ")</f>
        <v>No</v>
      </c>
      <c r="H27" s="336" t="str">
        <f t="shared" si="5"/>
        <v>No</v>
      </c>
      <c r="I27" s="336" t="str">
        <f t="shared" si="5"/>
        <v>No</v>
      </c>
      <c r="J27" s="336" t="str">
        <f t="shared" si="5"/>
        <v>No</v>
      </c>
      <c r="K27" s="336" t="str">
        <f t="shared" si="5"/>
        <v>No</v>
      </c>
      <c r="L27" s="336" t="str">
        <f t="shared" si="5"/>
        <v>No</v>
      </c>
      <c r="M27" s="336" t="str">
        <f t="shared" si="5"/>
        <v>No</v>
      </c>
      <c r="N27" s="336" t="str">
        <f t="shared" si="5"/>
        <v>No</v>
      </c>
      <c r="O27" s="107" t="str">
        <f>IF('FT-Mapa de riesgos'!M35="","",'FT-Mapa de riesgos'!M35)</f>
        <v>Verificación de las características del  estado de los dispositivos médicos para el correcto uso de los mismos</v>
      </c>
      <c r="P27" s="76" t="str">
        <f>+IF('FT-Mapa de riesgos'!V35="","",'FT-Mapa de riesgos'!V35)</f>
        <v>Permanente</v>
      </c>
      <c r="Q27" s="30" t="s">
        <v>101</v>
      </c>
      <c r="R27" s="30" t="str">
        <f>+IF('FT-Mapa de riesgos'!W35="","",'FT-Mapa de riesgos'!W35)</f>
        <v>Enero-Abril</v>
      </c>
      <c r="S27" s="30" t="str">
        <f>+'FT-Mapa de riesgos'!X35</f>
        <v>Mayo-Agosto</v>
      </c>
      <c r="T27" s="30" t="str">
        <f>+'FT-Mapa de riesgos'!Y35</f>
        <v>Septiembre-Diciembre</v>
      </c>
      <c r="U27" s="30">
        <f t="shared" si="2"/>
        <v>1</v>
      </c>
      <c r="V27" s="100" t="str">
        <f t="shared" si="3"/>
        <v>Si</v>
      </c>
      <c r="W27" s="34" t="str">
        <f t="shared" si="6"/>
        <v xml:space="preserve"> </v>
      </c>
      <c r="X27" s="126" t="str">
        <f t="shared" si="6"/>
        <v xml:space="preserve"> </v>
      </c>
      <c r="Y27" s="124" t="str">
        <f t="shared" si="4"/>
        <v xml:space="preserve"> </v>
      </c>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7"/>
      <c r="BK27" s="17"/>
      <c r="BL27" s="17"/>
      <c r="BM27" s="17"/>
      <c r="BN27" s="17"/>
      <c r="BO27" s="17"/>
      <c r="BP27" s="17"/>
      <c r="BQ27" s="17"/>
      <c r="BR27" s="17"/>
      <c r="BS27" s="17"/>
      <c r="BT27" s="17"/>
      <c r="BU27" s="17"/>
      <c r="BV27" s="17"/>
      <c r="BW27" s="17"/>
      <c r="BX27" s="17"/>
      <c r="BY27" s="17"/>
      <c r="BZ27" s="17"/>
      <c r="CA27" s="17"/>
      <c r="CB27" s="17"/>
      <c r="CC27" s="17"/>
      <c r="CD27" s="17"/>
    </row>
    <row r="28" spans="1:82" s="1" customFormat="1" ht="55.5" customHeight="1" x14ac:dyDescent="0.25">
      <c r="A28" s="334"/>
      <c r="B28" s="357"/>
      <c r="C28" s="331"/>
      <c r="D28" s="331"/>
      <c r="E28" s="331"/>
      <c r="F28" s="359"/>
      <c r="G28" s="336"/>
      <c r="H28" s="336"/>
      <c r="I28" s="336"/>
      <c r="J28" s="336"/>
      <c r="K28" s="336"/>
      <c r="L28" s="336"/>
      <c r="M28" s="336"/>
      <c r="N28" s="336"/>
      <c r="O28" s="107" t="str">
        <f>IF('FT-Mapa de riesgos'!M36="","",'FT-Mapa de riesgos'!M36)</f>
        <v>Evaluación de adherencia de protocolos y procedimientos</v>
      </c>
      <c r="P28" s="76" t="str">
        <f>+IF('FT-Mapa de riesgos'!V36="","",'FT-Mapa de riesgos'!V36)</f>
        <v>Semestral</v>
      </c>
      <c r="Q28" s="30" t="s">
        <v>101</v>
      </c>
      <c r="R28" s="30" t="str">
        <f>+IF('FT-Mapa de riesgos'!W36="","",'FT-Mapa de riesgos'!W36)</f>
        <v>Mayo-Agosto</v>
      </c>
      <c r="S28" s="30" t="str">
        <f>+'FT-Mapa de riesgos'!X36</f>
        <v>Septiembre-Diciembre</v>
      </c>
      <c r="T28" s="30" t="str">
        <f>+'FT-Mapa de riesgos'!Y36</f>
        <v>N/A</v>
      </c>
      <c r="U28" s="30">
        <f t="shared" si="2"/>
        <v>0</v>
      </c>
      <c r="V28" s="100" t="str">
        <f t="shared" si="3"/>
        <v>No</v>
      </c>
      <c r="W28" s="34" t="str">
        <f t="shared" si="6"/>
        <v>No</v>
      </c>
      <c r="X28" s="126" t="str">
        <f t="shared" si="6"/>
        <v>No</v>
      </c>
      <c r="Y28" s="124" t="str">
        <f t="shared" si="4"/>
        <v xml:space="preserve"> </v>
      </c>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row>
    <row r="29" spans="1:82" s="1" customFormat="1" ht="55.5" customHeight="1" x14ac:dyDescent="0.25">
      <c r="A29" s="334"/>
      <c r="B29" s="357"/>
      <c r="C29" s="331"/>
      <c r="D29" s="331"/>
      <c r="E29" s="331"/>
      <c r="F29" s="360"/>
      <c r="G29" s="336"/>
      <c r="H29" s="336"/>
      <c r="I29" s="336"/>
      <c r="J29" s="336"/>
      <c r="K29" s="336"/>
      <c r="L29" s="336"/>
      <c r="M29" s="336"/>
      <c r="N29" s="336"/>
      <c r="O29" s="107" t="str">
        <f>IF('FT-Mapa de riesgos'!M37="","",'FT-Mapa de riesgos'!M37)</f>
        <v>Inspección de las condiciones de cerramiento en caso de obras y mantenimientos</v>
      </c>
      <c r="P29" s="76" t="str">
        <f>+IF('FT-Mapa de riesgos'!V37="","",'FT-Mapa de riesgos'!V37)</f>
        <v>Permanente</v>
      </c>
      <c r="Q29" s="30" t="s">
        <v>101</v>
      </c>
      <c r="R29" s="30" t="str">
        <f>+IF('FT-Mapa de riesgos'!W37="","",'FT-Mapa de riesgos'!W37)</f>
        <v>Enero-Abril</v>
      </c>
      <c r="S29" s="30" t="str">
        <f>+'FT-Mapa de riesgos'!X37</f>
        <v>Mayo-Agosto</v>
      </c>
      <c r="T29" s="30" t="str">
        <f>+'FT-Mapa de riesgos'!Y37</f>
        <v>Septiembre-Diciembre</v>
      </c>
      <c r="U29" s="30">
        <f t="shared" si="2"/>
        <v>1</v>
      </c>
      <c r="V29" s="100" t="str">
        <f t="shared" si="3"/>
        <v>Si</v>
      </c>
      <c r="W29" s="34" t="str">
        <f t="shared" si="6"/>
        <v xml:space="preserve"> </v>
      </c>
      <c r="X29" s="126" t="str">
        <f t="shared" si="6"/>
        <v xml:space="preserve"> </v>
      </c>
      <c r="Y29" s="124" t="str">
        <f t="shared" si="4"/>
        <v xml:space="preserve"> </v>
      </c>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c r="BJ29" s="17"/>
      <c r="BK29" s="17"/>
      <c r="BL29" s="17"/>
      <c r="BM29" s="17"/>
      <c r="BN29" s="17"/>
      <c r="BO29" s="17"/>
      <c r="BP29" s="17"/>
      <c r="BQ29" s="17"/>
      <c r="BR29" s="17"/>
      <c r="BS29" s="17"/>
      <c r="BT29" s="17"/>
      <c r="BU29" s="17"/>
      <c r="BV29" s="17"/>
      <c r="BW29" s="17"/>
      <c r="BX29" s="17"/>
      <c r="BY29" s="17"/>
      <c r="BZ29" s="17"/>
      <c r="CA29" s="17"/>
      <c r="CB29" s="17"/>
      <c r="CC29" s="17"/>
      <c r="CD29" s="17"/>
    </row>
    <row r="30" spans="1:82" s="1" customFormat="1" ht="55.5" customHeight="1" x14ac:dyDescent="0.25">
      <c r="A30" s="334"/>
      <c r="B30" s="356" t="str">
        <f>+IF($A$43=$X$9,'FT-Mapa de riesgos'!B38,"")</f>
        <v/>
      </c>
      <c r="C30" s="331" t="str">
        <f>+IF(B30=7,'FT-Mapa de riesgos'!C38,"")</f>
        <v/>
      </c>
      <c r="D30" s="331" t="str">
        <f t="shared" ref="D30" si="13">+IF(B30=1,1,"NA")</f>
        <v>NA</v>
      </c>
      <c r="E30" s="331" t="str">
        <f>+IF(B30=7,'FT-Mapa de riesgos'!E38,"")</f>
        <v/>
      </c>
      <c r="F30" s="358"/>
      <c r="G30" s="336" t="str">
        <f t="shared" ref="G30" si="14">IFERROR(IF($F30="","No",IF($F30="No","No"," "))," ")</f>
        <v>No</v>
      </c>
      <c r="H30" s="336" t="str">
        <f t="shared" si="5"/>
        <v>No</v>
      </c>
      <c r="I30" s="336" t="str">
        <f t="shared" si="5"/>
        <v>No</v>
      </c>
      <c r="J30" s="336" t="str">
        <f t="shared" si="5"/>
        <v>No</v>
      </c>
      <c r="K30" s="336" t="str">
        <f t="shared" si="5"/>
        <v>No</v>
      </c>
      <c r="L30" s="336" t="str">
        <f t="shared" si="5"/>
        <v>No</v>
      </c>
      <c r="M30" s="336" t="str">
        <f t="shared" si="5"/>
        <v>No</v>
      </c>
      <c r="N30" s="336" t="str">
        <f t="shared" si="5"/>
        <v>No</v>
      </c>
      <c r="O30" s="107" t="str">
        <f>IF('FT-Mapa de riesgos'!M38="","",'FT-Mapa de riesgos'!M38)</f>
        <v>Evaluación de adherencia de protocolos y procedimientos</v>
      </c>
      <c r="P30" s="76" t="str">
        <f>+IF('FT-Mapa de riesgos'!V38="","",'FT-Mapa de riesgos'!V38)</f>
        <v>Permanente</v>
      </c>
      <c r="Q30" s="30" t="s">
        <v>101</v>
      </c>
      <c r="R30" s="30" t="str">
        <f>+IF('FT-Mapa de riesgos'!W38="","",'FT-Mapa de riesgos'!W38)</f>
        <v>Enero-Abril</v>
      </c>
      <c r="S30" s="30" t="str">
        <f>+'FT-Mapa de riesgos'!X38</f>
        <v>Mayo-Agosto</v>
      </c>
      <c r="T30" s="30" t="str">
        <f>+'FT-Mapa de riesgos'!Y38</f>
        <v>Septiembre-Diciembre</v>
      </c>
      <c r="U30" s="30">
        <f t="shared" si="2"/>
        <v>1</v>
      </c>
      <c r="V30" s="100" t="str">
        <f t="shared" si="3"/>
        <v>Si</v>
      </c>
      <c r="W30" s="34" t="str">
        <f t="shared" si="6"/>
        <v xml:space="preserve"> </v>
      </c>
      <c r="X30" s="126" t="str">
        <f t="shared" si="6"/>
        <v xml:space="preserve"> </v>
      </c>
      <c r="Y30" s="124" t="str">
        <f t="shared" si="4"/>
        <v xml:space="preserve"> </v>
      </c>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row>
    <row r="31" spans="1:82" s="1" customFormat="1" ht="55.5" customHeight="1" x14ac:dyDescent="0.25">
      <c r="A31" s="334"/>
      <c r="B31" s="357"/>
      <c r="C31" s="331"/>
      <c r="D31" s="331"/>
      <c r="E31" s="331"/>
      <c r="F31" s="359"/>
      <c r="G31" s="336"/>
      <c r="H31" s="336"/>
      <c r="I31" s="336"/>
      <c r="J31" s="336"/>
      <c r="K31" s="336"/>
      <c r="L31" s="336"/>
      <c r="M31" s="336"/>
      <c r="N31" s="336"/>
      <c r="O31" s="107" t="str">
        <f>IF('FT-Mapa de riesgos'!M39="","",'FT-Mapa de riesgos'!M39)</f>
        <v>Evaluación de adherencia de protocolos y procedimientos</v>
      </c>
      <c r="P31" s="76" t="str">
        <f>+IF('FT-Mapa de riesgos'!V39="","",'FT-Mapa de riesgos'!V39)</f>
        <v>Permanente</v>
      </c>
      <c r="Q31" s="30" t="s">
        <v>101</v>
      </c>
      <c r="R31" s="30" t="str">
        <f>+IF('FT-Mapa de riesgos'!W39="","",'FT-Mapa de riesgos'!W39)</f>
        <v>Enero-Abril</v>
      </c>
      <c r="S31" s="30" t="str">
        <f>+'FT-Mapa de riesgos'!X39</f>
        <v>Mayo-Agosto</v>
      </c>
      <c r="T31" s="30" t="str">
        <f>+'FT-Mapa de riesgos'!Y39</f>
        <v>Septiembre-Diciembre</v>
      </c>
      <c r="U31" s="30">
        <f t="shared" si="2"/>
        <v>1</v>
      </c>
      <c r="V31" s="100" t="str">
        <f t="shared" si="3"/>
        <v>Si</v>
      </c>
      <c r="W31" s="34" t="str">
        <f t="shared" ref="W31:X41" si="15">IF($V31="","No",IF($V31="No","No"," "))</f>
        <v xml:space="preserve"> </v>
      </c>
      <c r="X31" s="126" t="str">
        <f t="shared" si="15"/>
        <v xml:space="preserve"> </v>
      </c>
      <c r="Y31" s="124" t="str">
        <f t="shared" si="4"/>
        <v xml:space="preserve"> </v>
      </c>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row>
    <row r="32" spans="1:82" s="1" customFormat="1" ht="55.5" customHeight="1" x14ac:dyDescent="0.25">
      <c r="A32" s="334"/>
      <c r="B32" s="357"/>
      <c r="C32" s="331"/>
      <c r="D32" s="331"/>
      <c r="E32" s="331"/>
      <c r="F32" s="360"/>
      <c r="G32" s="336"/>
      <c r="H32" s="336"/>
      <c r="I32" s="336"/>
      <c r="J32" s="336"/>
      <c r="K32" s="336"/>
      <c r="L32" s="336"/>
      <c r="M32" s="336"/>
      <c r="N32" s="336"/>
      <c r="O32" s="107" t="str">
        <f>IF('FT-Mapa de riesgos'!M40="","",'FT-Mapa de riesgos'!M40)</f>
        <v/>
      </c>
      <c r="P32" s="76" t="str">
        <f>+IF('FT-Mapa de riesgos'!V40="","",'FT-Mapa de riesgos'!V40)</f>
        <v/>
      </c>
      <c r="Q32" s="30" t="s">
        <v>101</v>
      </c>
      <c r="R32" s="30" t="str">
        <f>+IF('FT-Mapa de riesgos'!W40="","",'FT-Mapa de riesgos'!W40)</f>
        <v/>
      </c>
      <c r="S32" s="30">
        <f>+'FT-Mapa de riesgos'!X40</f>
        <v>0</v>
      </c>
      <c r="T32" s="30">
        <f>+'FT-Mapa de riesgos'!Y40</f>
        <v>0</v>
      </c>
      <c r="U32" s="30">
        <f t="shared" si="2"/>
        <v>0</v>
      </c>
      <c r="V32" s="100" t="str">
        <f t="shared" si="3"/>
        <v>No</v>
      </c>
      <c r="W32" s="34" t="str">
        <f t="shared" si="15"/>
        <v>No</v>
      </c>
      <c r="X32" s="126" t="str">
        <f t="shared" si="15"/>
        <v>No</v>
      </c>
      <c r="Y32" s="124" t="str">
        <f t="shared" si="4"/>
        <v xml:space="preserve"> </v>
      </c>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7"/>
      <c r="BK32" s="17"/>
      <c r="BL32" s="17"/>
      <c r="BM32" s="17"/>
      <c r="BN32" s="17"/>
      <c r="BO32" s="17"/>
      <c r="BP32" s="17"/>
      <c r="BQ32" s="17"/>
      <c r="BR32" s="17"/>
      <c r="BS32" s="17"/>
      <c r="BT32" s="17"/>
      <c r="BU32" s="17"/>
      <c r="BV32" s="17"/>
      <c r="BW32" s="17"/>
      <c r="BX32" s="17"/>
      <c r="BY32" s="17"/>
      <c r="BZ32" s="17"/>
      <c r="CA32" s="17"/>
      <c r="CB32" s="17"/>
      <c r="CC32" s="17"/>
      <c r="CD32" s="17"/>
    </row>
    <row r="33" spans="1:82" s="1" customFormat="1" ht="55.5" customHeight="1" x14ac:dyDescent="0.25">
      <c r="A33" s="334"/>
      <c r="B33" s="356" t="str">
        <f>+IF($A$43=$X$9,'FT-Mapa de riesgos'!B41,"")</f>
        <v/>
      </c>
      <c r="C33" s="331" t="str">
        <f>+IF(B33=8,'FT-Mapa de riesgos'!C41,"")</f>
        <v/>
      </c>
      <c r="D33" s="331" t="str">
        <f t="shared" ref="D33" si="16">+IF(B33=1,1,"NA")</f>
        <v>NA</v>
      </c>
      <c r="E33" s="331" t="str">
        <f>+IF(B33=8,'FT-Mapa de riesgos'!E41,"")</f>
        <v/>
      </c>
      <c r="F33" s="358"/>
      <c r="G33" s="336" t="str">
        <f t="shared" ref="G33" si="17">IFERROR(IF($F33="","No",IF($F33="No","No"," "))," ")</f>
        <v>No</v>
      </c>
      <c r="H33" s="336" t="str">
        <f t="shared" si="5"/>
        <v>No</v>
      </c>
      <c r="I33" s="336" t="str">
        <f t="shared" si="5"/>
        <v>No</v>
      </c>
      <c r="J33" s="336" t="str">
        <f t="shared" si="5"/>
        <v>No</v>
      </c>
      <c r="K33" s="336" t="str">
        <f t="shared" si="5"/>
        <v>No</v>
      </c>
      <c r="L33" s="336" t="str">
        <f t="shared" si="5"/>
        <v>No</v>
      </c>
      <c r="M33" s="336" t="str">
        <f t="shared" si="5"/>
        <v>No</v>
      </c>
      <c r="N33" s="336" t="str">
        <f t="shared" si="5"/>
        <v>No</v>
      </c>
      <c r="O33" s="107" t="str">
        <f>IF('FT-Mapa de riesgos'!M41="","",'FT-Mapa de riesgos'!M41)</f>
        <v>Monitoreo de asignación de citas</v>
      </c>
      <c r="P33" s="76" t="str">
        <f>+IF('FT-Mapa de riesgos'!V41="","",'FT-Mapa de riesgos'!V41)</f>
        <v>Permanente</v>
      </c>
      <c r="Q33" s="30" t="s">
        <v>101</v>
      </c>
      <c r="R33" s="30" t="str">
        <f>+IF('FT-Mapa de riesgos'!W41="","",'FT-Mapa de riesgos'!W41)</f>
        <v>Enero-Abril</v>
      </c>
      <c r="S33" s="30" t="str">
        <f>+'FT-Mapa de riesgos'!X41</f>
        <v>Mayo-Agosto</v>
      </c>
      <c r="T33" s="30" t="str">
        <f>+'FT-Mapa de riesgos'!Y41</f>
        <v>Septiembre-Diciembre</v>
      </c>
      <c r="U33" s="30">
        <f t="shared" si="2"/>
        <v>1</v>
      </c>
      <c r="V33" s="100" t="str">
        <f t="shared" si="3"/>
        <v>Si</v>
      </c>
      <c r="W33" s="34" t="str">
        <f t="shared" si="15"/>
        <v xml:space="preserve"> </v>
      </c>
      <c r="X33" s="126" t="str">
        <f t="shared" si="15"/>
        <v xml:space="preserve"> </v>
      </c>
      <c r="Y33" s="124" t="str">
        <f t="shared" si="4"/>
        <v xml:space="preserve"> </v>
      </c>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7"/>
      <c r="BS33" s="17"/>
      <c r="BT33" s="17"/>
      <c r="BU33" s="17"/>
      <c r="BV33" s="17"/>
      <c r="BW33" s="17"/>
      <c r="BX33" s="17"/>
      <c r="BY33" s="17"/>
      <c r="BZ33" s="17"/>
      <c r="CA33" s="17"/>
      <c r="CB33" s="17"/>
      <c r="CC33" s="17"/>
      <c r="CD33" s="17"/>
    </row>
    <row r="34" spans="1:82" s="1" customFormat="1" ht="55.5" customHeight="1" x14ac:dyDescent="0.25">
      <c r="A34" s="334"/>
      <c r="B34" s="357"/>
      <c r="C34" s="331"/>
      <c r="D34" s="331"/>
      <c r="E34" s="331"/>
      <c r="F34" s="359"/>
      <c r="G34" s="336"/>
      <c r="H34" s="336"/>
      <c r="I34" s="336"/>
      <c r="J34" s="336"/>
      <c r="K34" s="336"/>
      <c r="L34" s="336"/>
      <c r="M34" s="336"/>
      <c r="N34" s="336"/>
      <c r="O34" s="107" t="str">
        <f>IF('FT-Mapa de riesgos'!M42="","",'FT-Mapa de riesgos'!M42)</f>
        <v/>
      </c>
      <c r="P34" s="76" t="str">
        <f>+IF('FT-Mapa de riesgos'!V42="","",'FT-Mapa de riesgos'!V42)</f>
        <v/>
      </c>
      <c r="Q34" s="30" t="s">
        <v>101</v>
      </c>
      <c r="R34" s="30" t="str">
        <f>+IF('FT-Mapa de riesgos'!W42="","",'FT-Mapa de riesgos'!W42)</f>
        <v/>
      </c>
      <c r="S34" s="30">
        <f>+'FT-Mapa de riesgos'!X42</f>
        <v>0</v>
      </c>
      <c r="T34" s="30">
        <f>+'FT-Mapa de riesgos'!Y42</f>
        <v>0</v>
      </c>
      <c r="U34" s="30">
        <f t="shared" si="2"/>
        <v>0</v>
      </c>
      <c r="V34" s="100" t="str">
        <f t="shared" si="3"/>
        <v>No</v>
      </c>
      <c r="W34" s="34" t="str">
        <f t="shared" si="15"/>
        <v>No</v>
      </c>
      <c r="X34" s="126" t="str">
        <f t="shared" si="15"/>
        <v>No</v>
      </c>
      <c r="Y34" s="124" t="str">
        <f t="shared" si="4"/>
        <v xml:space="preserve"> </v>
      </c>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7"/>
      <c r="BF34" s="17"/>
      <c r="BG34" s="17"/>
      <c r="BH34" s="17"/>
      <c r="BI34" s="17"/>
      <c r="BJ34" s="17"/>
      <c r="BK34" s="17"/>
      <c r="BL34" s="17"/>
      <c r="BM34" s="17"/>
      <c r="BN34" s="17"/>
      <c r="BO34" s="17"/>
      <c r="BP34" s="17"/>
      <c r="BQ34" s="17"/>
      <c r="BR34" s="17"/>
      <c r="BS34" s="17"/>
      <c r="BT34" s="17"/>
      <c r="BU34" s="17"/>
      <c r="BV34" s="17"/>
      <c r="BW34" s="17"/>
      <c r="BX34" s="17"/>
      <c r="BY34" s="17"/>
      <c r="BZ34" s="17"/>
      <c r="CA34" s="17"/>
      <c r="CB34" s="17"/>
      <c r="CC34" s="17"/>
      <c r="CD34" s="17"/>
    </row>
    <row r="35" spans="1:82" s="1" customFormat="1" ht="55.5" customHeight="1" x14ac:dyDescent="0.25">
      <c r="A35" s="334"/>
      <c r="B35" s="357"/>
      <c r="C35" s="331"/>
      <c r="D35" s="331"/>
      <c r="E35" s="331"/>
      <c r="F35" s="360"/>
      <c r="G35" s="336"/>
      <c r="H35" s="336"/>
      <c r="I35" s="336"/>
      <c r="J35" s="336"/>
      <c r="K35" s="336"/>
      <c r="L35" s="336"/>
      <c r="M35" s="336"/>
      <c r="N35" s="336"/>
      <c r="O35" s="107" t="str">
        <f>IF('FT-Mapa de riesgos'!M43="","",'FT-Mapa de riesgos'!M43)</f>
        <v/>
      </c>
      <c r="P35" s="76" t="str">
        <f>+IF('FT-Mapa de riesgos'!V43="","",'FT-Mapa de riesgos'!V43)</f>
        <v/>
      </c>
      <c r="Q35" s="30" t="s">
        <v>101</v>
      </c>
      <c r="R35" s="30" t="str">
        <f>+IF('FT-Mapa de riesgos'!W43="","",'FT-Mapa de riesgos'!W43)</f>
        <v/>
      </c>
      <c r="S35" s="30">
        <f>+'FT-Mapa de riesgos'!X43</f>
        <v>0</v>
      </c>
      <c r="T35" s="30">
        <f>+'FT-Mapa de riesgos'!Y43</f>
        <v>0</v>
      </c>
      <c r="U35" s="30">
        <f t="shared" si="2"/>
        <v>0</v>
      </c>
      <c r="V35" s="100" t="str">
        <f t="shared" si="3"/>
        <v>No</v>
      </c>
      <c r="W35" s="34" t="str">
        <f t="shared" si="15"/>
        <v>No</v>
      </c>
      <c r="X35" s="126" t="str">
        <f t="shared" si="15"/>
        <v>No</v>
      </c>
      <c r="Y35" s="124" t="str">
        <f t="shared" si="4"/>
        <v xml:space="preserve"> </v>
      </c>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7"/>
      <c r="BF35" s="17"/>
      <c r="BG35" s="17"/>
      <c r="BH35" s="17"/>
      <c r="BI35" s="17"/>
      <c r="BJ35" s="17"/>
      <c r="BK35" s="17"/>
      <c r="BL35" s="17"/>
      <c r="BM35" s="17"/>
      <c r="BN35" s="17"/>
      <c r="BO35" s="17"/>
      <c r="BP35" s="17"/>
      <c r="BQ35" s="17"/>
      <c r="BR35" s="17"/>
      <c r="BS35" s="17"/>
      <c r="BT35" s="17"/>
      <c r="BU35" s="17"/>
      <c r="BV35" s="17"/>
      <c r="BW35" s="17"/>
      <c r="BX35" s="17"/>
      <c r="BY35" s="17"/>
      <c r="BZ35" s="17"/>
      <c r="CA35" s="17"/>
      <c r="CB35" s="17"/>
      <c r="CC35" s="17"/>
      <c r="CD35" s="17"/>
    </row>
    <row r="36" spans="1:82" s="1" customFormat="1" ht="55.5" customHeight="1" x14ac:dyDescent="0.25">
      <c r="A36" s="334"/>
      <c r="B36" s="356" t="str">
        <f>+IF($A$43=$X$9,'FT-Mapa de riesgos'!B80,"")</f>
        <v/>
      </c>
      <c r="C36" s="331" t="str">
        <f>+IF(B36=9,'FT-Mapa de riesgos'!C80,"")</f>
        <v/>
      </c>
      <c r="D36" s="331" t="str">
        <f t="shared" ref="D36" si="18">+IF(B36=1,1,"NA")</f>
        <v>NA</v>
      </c>
      <c r="E36" s="331" t="str">
        <f>+IF(B36=9,'FT-Mapa de riesgos'!E80,"")</f>
        <v/>
      </c>
      <c r="F36" s="358"/>
      <c r="G36" s="336" t="str">
        <f t="shared" ref="G36" si="19">IFERROR(IF($F36="","No",IF($F36="No","No"," "))," ")</f>
        <v>No</v>
      </c>
      <c r="H36" s="336" t="str">
        <f t="shared" si="5"/>
        <v>No</v>
      </c>
      <c r="I36" s="336" t="str">
        <f t="shared" si="5"/>
        <v>No</v>
      </c>
      <c r="J36" s="336" t="str">
        <f t="shared" si="5"/>
        <v>No</v>
      </c>
      <c r="K36" s="336" t="str">
        <f t="shared" si="5"/>
        <v>No</v>
      </c>
      <c r="L36" s="336" t="str">
        <f t="shared" si="5"/>
        <v>No</v>
      </c>
      <c r="M36" s="336" t="str">
        <f t="shared" si="5"/>
        <v>No</v>
      </c>
      <c r="N36" s="336" t="str">
        <f t="shared" si="5"/>
        <v>No</v>
      </c>
      <c r="O36" s="107" t="str">
        <f>IF('FT-Mapa de riesgos'!M80="","",'FT-Mapa de riesgos'!M80)</f>
        <v>Verificación de experiencia en docencia</v>
      </c>
      <c r="P36" s="76" t="str">
        <f>+IF('FT-Mapa de riesgos'!V80="","",'FT-Mapa de riesgos'!V80)</f>
        <v>Anual</v>
      </c>
      <c r="Q36" s="30" t="s">
        <v>101</v>
      </c>
      <c r="R36" s="30" t="str">
        <f>+IF('FT-Mapa de riesgos'!W80="","",'FT-Mapa de riesgos'!W80)</f>
        <v>N/A</v>
      </c>
      <c r="S36" s="30" t="str">
        <f>+'FT-Mapa de riesgos'!X80</f>
        <v>N/A</v>
      </c>
      <c r="T36" s="30" t="str">
        <f>+'FT-Mapa de riesgos'!Y80</f>
        <v>Septiembre-Diciembre</v>
      </c>
      <c r="U36" s="30">
        <f t="shared" si="2"/>
        <v>0</v>
      </c>
      <c r="V36" s="100" t="str">
        <f t="shared" si="3"/>
        <v>No</v>
      </c>
      <c r="W36" s="34" t="str">
        <f t="shared" si="15"/>
        <v>No</v>
      </c>
      <c r="X36" s="126" t="str">
        <f t="shared" si="15"/>
        <v>No</v>
      </c>
      <c r="Y36" s="124" t="str">
        <f t="shared" si="4"/>
        <v xml:space="preserve"> </v>
      </c>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c r="BG36" s="17"/>
      <c r="BH36" s="17"/>
      <c r="BI36" s="17"/>
      <c r="BJ36" s="17"/>
      <c r="BK36" s="17"/>
      <c r="BL36" s="17"/>
      <c r="BM36" s="17"/>
      <c r="BN36" s="17"/>
      <c r="BO36" s="17"/>
      <c r="BP36" s="17"/>
      <c r="BQ36" s="17"/>
      <c r="BR36" s="17"/>
      <c r="BS36" s="17"/>
      <c r="BT36" s="17"/>
      <c r="BU36" s="17"/>
      <c r="BV36" s="17"/>
      <c r="BW36" s="17"/>
      <c r="BX36" s="17"/>
      <c r="BY36" s="17"/>
      <c r="BZ36" s="17"/>
      <c r="CA36" s="17"/>
      <c r="CB36" s="17"/>
      <c r="CC36" s="17"/>
      <c r="CD36" s="17"/>
    </row>
    <row r="37" spans="1:82" s="1" customFormat="1" ht="55.5" customHeight="1" x14ac:dyDescent="0.25">
      <c r="A37" s="334"/>
      <c r="B37" s="357"/>
      <c r="C37" s="331"/>
      <c r="D37" s="331"/>
      <c r="E37" s="331"/>
      <c r="F37" s="359"/>
      <c r="G37" s="336"/>
      <c r="H37" s="336"/>
      <c r="I37" s="336"/>
      <c r="J37" s="336"/>
      <c r="K37" s="336"/>
      <c r="L37" s="336"/>
      <c r="M37" s="336"/>
      <c r="N37" s="336"/>
      <c r="O37" s="107" t="str">
        <f>IF('FT-Mapa de riesgos'!M81="","",'FT-Mapa de riesgos'!M81)</f>
        <v/>
      </c>
      <c r="P37" s="76" t="str">
        <f>+IF('FT-Mapa de riesgos'!V81="","",'FT-Mapa de riesgos'!V81)</f>
        <v/>
      </c>
      <c r="Q37" s="30" t="s">
        <v>101</v>
      </c>
      <c r="R37" s="30" t="str">
        <f>+IF('FT-Mapa de riesgos'!W81="","",'FT-Mapa de riesgos'!W81)</f>
        <v/>
      </c>
      <c r="S37" s="30">
        <f>+'FT-Mapa de riesgos'!X81</f>
        <v>0</v>
      </c>
      <c r="T37" s="30">
        <f>+'FT-Mapa de riesgos'!Y81</f>
        <v>0</v>
      </c>
      <c r="U37" s="30">
        <f t="shared" si="2"/>
        <v>0</v>
      </c>
      <c r="V37" s="100" t="str">
        <f t="shared" si="3"/>
        <v>No</v>
      </c>
      <c r="W37" s="34" t="str">
        <f t="shared" si="15"/>
        <v>No</v>
      </c>
      <c r="X37" s="126" t="str">
        <f t="shared" si="15"/>
        <v>No</v>
      </c>
      <c r="Y37" s="124" t="str">
        <f t="shared" si="4"/>
        <v xml:space="preserve"> </v>
      </c>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7"/>
      <c r="BH37" s="17"/>
      <c r="BI37" s="17"/>
      <c r="BJ37" s="17"/>
      <c r="BK37" s="17"/>
      <c r="BL37" s="17"/>
      <c r="BM37" s="17"/>
      <c r="BN37" s="17"/>
      <c r="BO37" s="17"/>
      <c r="BP37" s="17"/>
      <c r="BQ37" s="17"/>
      <c r="BR37" s="17"/>
      <c r="BS37" s="17"/>
      <c r="BT37" s="17"/>
      <c r="BU37" s="17"/>
      <c r="BV37" s="17"/>
      <c r="BW37" s="17"/>
      <c r="BX37" s="17"/>
      <c r="BY37" s="17"/>
      <c r="BZ37" s="17"/>
      <c r="CA37" s="17"/>
      <c r="CB37" s="17"/>
      <c r="CC37" s="17"/>
      <c r="CD37" s="17"/>
    </row>
    <row r="38" spans="1:82" s="1" customFormat="1" ht="55.5" customHeight="1" x14ac:dyDescent="0.25">
      <c r="A38" s="334"/>
      <c r="B38" s="357"/>
      <c r="C38" s="331"/>
      <c r="D38" s="331"/>
      <c r="E38" s="331"/>
      <c r="F38" s="360"/>
      <c r="G38" s="336"/>
      <c r="H38" s="336"/>
      <c r="I38" s="336"/>
      <c r="J38" s="336"/>
      <c r="K38" s="336"/>
      <c r="L38" s="336"/>
      <c r="M38" s="336"/>
      <c r="N38" s="336"/>
      <c r="O38" s="107" t="str">
        <f>IF('FT-Mapa de riesgos'!M82="","",'FT-Mapa de riesgos'!M82)</f>
        <v/>
      </c>
      <c r="P38" s="76" t="str">
        <f>+IF('FT-Mapa de riesgos'!V82="","",'FT-Mapa de riesgos'!V82)</f>
        <v/>
      </c>
      <c r="Q38" s="30" t="s">
        <v>101</v>
      </c>
      <c r="R38" s="30" t="str">
        <f>+IF('FT-Mapa de riesgos'!W82="","",'FT-Mapa de riesgos'!W82)</f>
        <v/>
      </c>
      <c r="S38" s="30">
        <f>+'FT-Mapa de riesgos'!X82</f>
        <v>0</v>
      </c>
      <c r="T38" s="30">
        <f>+'FT-Mapa de riesgos'!Y82</f>
        <v>0</v>
      </c>
      <c r="U38" s="30">
        <f t="shared" si="2"/>
        <v>0</v>
      </c>
      <c r="V38" s="100" t="str">
        <f t="shared" si="3"/>
        <v>No</v>
      </c>
      <c r="W38" s="34" t="str">
        <f t="shared" si="15"/>
        <v>No</v>
      </c>
      <c r="X38" s="126" t="str">
        <f t="shared" si="15"/>
        <v>No</v>
      </c>
      <c r="Y38" s="124" t="str">
        <f t="shared" si="4"/>
        <v xml:space="preserve"> </v>
      </c>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7"/>
      <c r="BG38" s="17"/>
      <c r="BH38" s="17"/>
      <c r="BI38" s="17"/>
      <c r="BJ38" s="17"/>
      <c r="BK38" s="17"/>
      <c r="BL38" s="17"/>
      <c r="BM38" s="17"/>
      <c r="BN38" s="17"/>
      <c r="BO38" s="17"/>
      <c r="BP38" s="17"/>
      <c r="BQ38" s="17"/>
      <c r="BR38" s="17"/>
      <c r="BS38" s="17"/>
      <c r="BT38" s="17"/>
      <c r="BU38" s="17"/>
      <c r="BV38" s="17"/>
      <c r="BW38" s="17"/>
      <c r="BX38" s="17"/>
      <c r="BY38" s="17"/>
      <c r="BZ38" s="17"/>
      <c r="CA38" s="17"/>
      <c r="CB38" s="17"/>
      <c r="CC38" s="17"/>
      <c r="CD38" s="17"/>
    </row>
    <row r="39" spans="1:82" s="1" customFormat="1" ht="55.5" customHeight="1" x14ac:dyDescent="0.25">
      <c r="A39" s="334"/>
      <c r="B39" s="356" t="str">
        <f>+IF($A$43=$X$9,'FT-Mapa de riesgos'!#REF!,"")</f>
        <v/>
      </c>
      <c r="C39" s="331" t="str">
        <f>+IF(B39=10,'FT-Mapa de riesgos'!#REF!,"")</f>
        <v/>
      </c>
      <c r="D39" s="331" t="str">
        <f t="shared" ref="D39" si="20">+IF(B39=1,1,"NA")</f>
        <v>NA</v>
      </c>
      <c r="E39" s="331" t="str">
        <f>+IF(B39=10,'FT-Mapa de riesgos'!#REF!,"")</f>
        <v/>
      </c>
      <c r="F39" s="358"/>
      <c r="G39" s="336" t="str">
        <f t="shared" ref="G39" si="21">IFERROR(IF($F39="","No",IF($F39="No","No"," "))," ")</f>
        <v>No</v>
      </c>
      <c r="H39" s="336" t="str">
        <f t="shared" si="5"/>
        <v>No</v>
      </c>
      <c r="I39" s="336" t="str">
        <f t="shared" si="5"/>
        <v>No</v>
      </c>
      <c r="J39" s="336" t="str">
        <f t="shared" si="5"/>
        <v>No</v>
      </c>
      <c r="K39" s="336" t="str">
        <f t="shared" si="5"/>
        <v>No</v>
      </c>
      <c r="L39" s="336" t="str">
        <f t="shared" si="5"/>
        <v>No</v>
      </c>
      <c r="M39" s="336" t="str">
        <f t="shared" si="5"/>
        <v>No</v>
      </c>
      <c r="N39" s="336" t="str">
        <f t="shared" si="5"/>
        <v>No</v>
      </c>
      <c r="O39" s="107" t="e">
        <f>IF('FT-Mapa de riesgos'!#REF!="","",'FT-Mapa de riesgos'!#REF!)</f>
        <v>#REF!</v>
      </c>
      <c r="P39" s="76" t="e">
        <f>+IF('FT-Mapa de riesgos'!#REF!="","",'FT-Mapa de riesgos'!#REF!)</f>
        <v>#REF!</v>
      </c>
      <c r="Q39" s="30" t="s">
        <v>101</v>
      </c>
      <c r="R39" s="30" t="e">
        <f>+IF('FT-Mapa de riesgos'!#REF!="","",'FT-Mapa de riesgos'!#REF!)</f>
        <v>#REF!</v>
      </c>
      <c r="S39" s="30" t="e">
        <f>+'FT-Mapa de riesgos'!#REF!</f>
        <v>#REF!</v>
      </c>
      <c r="T39" s="30" t="e">
        <f>+'FT-Mapa de riesgos'!#REF!</f>
        <v>#REF!</v>
      </c>
      <c r="U39" s="30" t="e">
        <f t="shared" si="2"/>
        <v>#REF!</v>
      </c>
      <c r="V39" s="100" t="e">
        <f t="shared" si="3"/>
        <v>#REF!</v>
      </c>
      <c r="W39" s="34" t="e">
        <f t="shared" si="15"/>
        <v>#REF!</v>
      </c>
      <c r="X39" s="126" t="e">
        <f t="shared" si="15"/>
        <v>#REF!</v>
      </c>
      <c r="Y39" s="124" t="str">
        <f t="shared" si="4"/>
        <v xml:space="preserve"> </v>
      </c>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7"/>
      <c r="BG39" s="17"/>
      <c r="BH39" s="17"/>
      <c r="BI39" s="17"/>
      <c r="BJ39" s="17"/>
      <c r="BK39" s="17"/>
      <c r="BL39" s="17"/>
      <c r="BM39" s="17"/>
      <c r="BN39" s="17"/>
      <c r="BO39" s="17"/>
      <c r="BP39" s="17"/>
      <c r="BQ39" s="17"/>
      <c r="BR39" s="17"/>
      <c r="BS39" s="17"/>
      <c r="BT39" s="17"/>
      <c r="BU39" s="17"/>
      <c r="BV39" s="17"/>
      <c r="BW39" s="17"/>
      <c r="BX39" s="17"/>
      <c r="BY39" s="17"/>
      <c r="BZ39" s="17"/>
      <c r="CA39" s="17"/>
      <c r="CB39" s="17"/>
      <c r="CC39" s="17"/>
      <c r="CD39" s="17"/>
    </row>
    <row r="40" spans="1:82" s="1" customFormat="1" ht="55.5" customHeight="1" x14ac:dyDescent="0.25">
      <c r="A40" s="334"/>
      <c r="B40" s="357"/>
      <c r="C40" s="331"/>
      <c r="D40" s="331"/>
      <c r="E40" s="331"/>
      <c r="F40" s="359"/>
      <c r="G40" s="336"/>
      <c r="H40" s="336"/>
      <c r="I40" s="336"/>
      <c r="J40" s="336"/>
      <c r="K40" s="336"/>
      <c r="L40" s="336"/>
      <c r="M40" s="336"/>
      <c r="N40" s="336"/>
      <c r="O40" s="107" t="e">
        <f>IF('FT-Mapa de riesgos'!#REF!="","",'FT-Mapa de riesgos'!#REF!)</f>
        <v>#REF!</v>
      </c>
      <c r="P40" s="76" t="e">
        <f>+IF('FT-Mapa de riesgos'!#REF!="","",'FT-Mapa de riesgos'!#REF!)</f>
        <v>#REF!</v>
      </c>
      <c r="Q40" s="30" t="s">
        <v>101</v>
      </c>
      <c r="R40" s="30" t="e">
        <f>+IF('FT-Mapa de riesgos'!#REF!="","",'FT-Mapa de riesgos'!#REF!)</f>
        <v>#REF!</v>
      </c>
      <c r="S40" s="30" t="e">
        <f>+'FT-Mapa de riesgos'!#REF!</f>
        <v>#REF!</v>
      </c>
      <c r="T40" s="30" t="e">
        <f>+'FT-Mapa de riesgos'!#REF!</f>
        <v>#REF!</v>
      </c>
      <c r="U40" s="30" t="e">
        <f t="shared" si="2"/>
        <v>#REF!</v>
      </c>
      <c r="V40" s="100" t="e">
        <f t="shared" si="3"/>
        <v>#REF!</v>
      </c>
      <c r="W40" s="34" t="e">
        <f t="shared" si="15"/>
        <v>#REF!</v>
      </c>
      <c r="X40" s="126" t="e">
        <f t="shared" si="15"/>
        <v>#REF!</v>
      </c>
      <c r="Y40" s="124" t="str">
        <f t="shared" si="4"/>
        <v xml:space="preserve"> </v>
      </c>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7"/>
      <c r="BS40" s="17"/>
      <c r="BT40" s="17"/>
      <c r="BU40" s="17"/>
      <c r="BV40" s="17"/>
      <c r="BW40" s="17"/>
      <c r="BX40" s="17"/>
      <c r="BY40" s="17"/>
      <c r="BZ40" s="17"/>
      <c r="CA40" s="17"/>
      <c r="CB40" s="17"/>
      <c r="CC40" s="17"/>
      <c r="CD40" s="17"/>
    </row>
    <row r="41" spans="1:82" s="1" customFormat="1" ht="55.5" customHeight="1" thickBot="1" x14ac:dyDescent="0.3">
      <c r="A41" s="335"/>
      <c r="B41" s="419"/>
      <c r="C41" s="332"/>
      <c r="D41" s="332"/>
      <c r="E41" s="332"/>
      <c r="F41" s="420"/>
      <c r="G41" s="421"/>
      <c r="H41" s="421"/>
      <c r="I41" s="421"/>
      <c r="J41" s="421"/>
      <c r="K41" s="421"/>
      <c r="L41" s="421"/>
      <c r="M41" s="421"/>
      <c r="N41" s="421"/>
      <c r="O41" s="108" t="e">
        <f>IF('FT-Mapa de riesgos'!#REF!="","",'FT-Mapa de riesgos'!#REF!)</f>
        <v>#REF!</v>
      </c>
      <c r="P41" s="77" t="e">
        <f>+IF('FT-Mapa de riesgos'!#REF!="","",'FT-Mapa de riesgos'!#REF!)</f>
        <v>#REF!</v>
      </c>
      <c r="Q41" s="74" t="s">
        <v>101</v>
      </c>
      <c r="R41" s="74" t="e">
        <f>+IF('FT-Mapa de riesgos'!#REF!="","",'FT-Mapa de riesgos'!#REF!)</f>
        <v>#REF!</v>
      </c>
      <c r="S41" s="74" t="e">
        <f>+'FT-Mapa de riesgos'!#REF!</f>
        <v>#REF!</v>
      </c>
      <c r="T41" s="74" t="e">
        <f>+'FT-Mapa de riesgos'!#REF!</f>
        <v>#REF!</v>
      </c>
      <c r="U41" s="74" t="e">
        <f t="shared" si="2"/>
        <v>#REF!</v>
      </c>
      <c r="V41" s="99" t="e">
        <f t="shared" si="3"/>
        <v>#REF!</v>
      </c>
      <c r="W41" s="73" t="e">
        <f t="shared" si="15"/>
        <v>#REF!</v>
      </c>
      <c r="X41" s="127" t="e">
        <f t="shared" si="15"/>
        <v>#REF!</v>
      </c>
      <c r="Y41" s="124" t="str">
        <f t="shared" si="4"/>
        <v xml:space="preserve"> </v>
      </c>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7"/>
      <c r="BD41" s="17"/>
      <c r="BE41" s="17"/>
      <c r="BF41" s="17"/>
      <c r="BG41" s="17"/>
      <c r="BH41" s="17"/>
      <c r="BI41" s="17"/>
      <c r="BJ41" s="17"/>
      <c r="BK41" s="17"/>
      <c r="BL41" s="17"/>
      <c r="BM41" s="17"/>
      <c r="BN41" s="17"/>
      <c r="BO41" s="17"/>
      <c r="BP41" s="17"/>
      <c r="BQ41" s="17"/>
      <c r="BR41" s="17"/>
      <c r="BS41" s="17"/>
      <c r="BT41" s="17"/>
      <c r="BU41" s="17"/>
      <c r="BV41" s="17"/>
      <c r="BW41" s="17"/>
      <c r="BX41" s="17"/>
      <c r="BY41" s="17"/>
      <c r="BZ41" s="17"/>
      <c r="CA41" s="17"/>
      <c r="CB41" s="17"/>
      <c r="CC41" s="17"/>
      <c r="CD41" s="17"/>
    </row>
    <row r="42" spans="1:82" s="1" customFormat="1" ht="42" customHeight="1" x14ac:dyDescent="0.25">
      <c r="A42" s="122"/>
      <c r="B42" s="35"/>
      <c r="C42" s="36"/>
      <c r="D42" s="36"/>
      <c r="E42" s="36"/>
      <c r="F42" s="36"/>
      <c r="G42" s="37"/>
      <c r="H42" s="37"/>
      <c r="I42" s="37"/>
      <c r="J42" s="37"/>
      <c r="K42" s="37"/>
      <c r="L42" s="37"/>
      <c r="M42" s="37"/>
      <c r="N42" s="37"/>
      <c r="O42" s="110"/>
      <c r="P42" s="111"/>
      <c r="Q42" s="39"/>
      <c r="R42" s="39"/>
      <c r="S42" s="39"/>
      <c r="T42" s="39"/>
      <c r="U42" s="39"/>
      <c r="V42" s="36"/>
      <c r="W42" s="37"/>
      <c r="X42" s="37"/>
      <c r="Y42" s="3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7"/>
      <c r="BD42" s="17"/>
      <c r="BE42" s="17"/>
      <c r="BF42" s="17"/>
      <c r="BG42" s="17"/>
      <c r="BH42" s="17"/>
      <c r="BI42" s="17"/>
      <c r="BJ42" s="17"/>
      <c r="BK42" s="17"/>
      <c r="BL42" s="17"/>
      <c r="BM42" s="17"/>
      <c r="BN42" s="17"/>
      <c r="BO42" s="17"/>
      <c r="BP42" s="17"/>
      <c r="BQ42" s="17"/>
      <c r="BR42" s="17"/>
      <c r="BS42" s="17"/>
      <c r="BT42" s="17"/>
      <c r="BU42" s="17"/>
      <c r="BV42" s="17"/>
      <c r="BW42" s="17"/>
      <c r="BX42" s="17"/>
      <c r="BY42" s="17"/>
      <c r="BZ42" s="17"/>
      <c r="CA42" s="17"/>
      <c r="CB42" s="17"/>
      <c r="CC42" s="17"/>
      <c r="CD42" s="17"/>
    </row>
    <row r="43" spans="1:82" s="119" customFormat="1" ht="19.5" hidden="1" x14ac:dyDescent="0.3">
      <c r="A43" s="123" t="str">
        <f>+IF(A12="","",MONTH(A12))</f>
        <v/>
      </c>
      <c r="B43" s="112"/>
      <c r="C43" s="113"/>
      <c r="D43" s="113">
        <f>+COUNTIF(D12:D41,1)</f>
        <v>0</v>
      </c>
      <c r="E43" s="113" t="e">
        <f>1-(F43/D43)</f>
        <v>#DIV/0!</v>
      </c>
      <c r="F43" s="113">
        <f>+COUNTIF(F12:F41,"Si")</f>
        <v>0</v>
      </c>
      <c r="G43" s="114"/>
      <c r="H43" s="114"/>
      <c r="I43" s="114"/>
      <c r="J43" s="114"/>
      <c r="K43" s="115"/>
      <c r="L43" s="115"/>
      <c r="M43" s="115"/>
      <c r="N43" s="115"/>
      <c r="O43" s="115"/>
      <c r="P43" s="115"/>
      <c r="Q43" s="116"/>
      <c r="R43" s="116"/>
      <c r="S43" s="116"/>
      <c r="T43" s="116"/>
      <c r="U43" s="116"/>
      <c r="V43" s="113"/>
      <c r="W43" s="114"/>
      <c r="X43" s="114"/>
      <c r="Y43" s="117"/>
      <c r="Z43" s="118"/>
      <c r="AA43" s="118"/>
      <c r="AB43" s="118"/>
      <c r="AC43" s="118"/>
      <c r="AD43" s="118"/>
      <c r="AE43" s="118"/>
      <c r="AF43" s="118"/>
      <c r="AG43" s="118"/>
      <c r="AH43" s="118"/>
      <c r="AI43" s="118"/>
      <c r="AJ43" s="118"/>
      <c r="AK43" s="118"/>
      <c r="AL43" s="118"/>
      <c r="AM43" s="118"/>
      <c r="AN43" s="118"/>
      <c r="AO43" s="118"/>
      <c r="AP43" s="118"/>
      <c r="AQ43" s="118"/>
      <c r="AR43" s="118"/>
      <c r="AS43" s="118"/>
      <c r="AT43" s="118"/>
      <c r="AU43" s="118"/>
      <c r="AV43" s="118"/>
      <c r="AW43" s="118"/>
      <c r="AX43" s="118"/>
      <c r="AY43" s="118"/>
      <c r="AZ43" s="118"/>
      <c r="BA43" s="118"/>
      <c r="BB43" s="118"/>
      <c r="BC43" s="118"/>
      <c r="BD43" s="118"/>
      <c r="BE43" s="118"/>
      <c r="BF43" s="118"/>
      <c r="BG43" s="118"/>
      <c r="BH43" s="118"/>
      <c r="BI43" s="118"/>
      <c r="BJ43" s="118"/>
      <c r="BK43" s="118"/>
      <c r="BL43" s="118"/>
      <c r="BM43" s="118"/>
      <c r="BN43" s="118"/>
      <c r="BO43" s="118"/>
      <c r="BP43" s="118"/>
      <c r="BQ43" s="118"/>
      <c r="BR43" s="118"/>
      <c r="BS43" s="118"/>
      <c r="BT43" s="118"/>
      <c r="BU43" s="118"/>
      <c r="BV43" s="118"/>
      <c r="BW43" s="118"/>
      <c r="BX43" s="118"/>
      <c r="BY43" s="118"/>
      <c r="BZ43" s="118"/>
      <c r="CA43" s="118"/>
      <c r="CB43" s="118"/>
      <c r="CC43" s="118"/>
      <c r="CD43" s="118"/>
    </row>
    <row r="44" spans="1:82" s="1" customFormat="1" ht="42" customHeight="1" thickBot="1" x14ac:dyDescent="0.35">
      <c r="A44" s="109"/>
      <c r="B44" s="35"/>
      <c r="C44" s="36"/>
      <c r="D44" s="36"/>
      <c r="E44" s="36"/>
      <c r="F44" s="36"/>
      <c r="G44" s="37"/>
      <c r="H44" s="37"/>
      <c r="I44" s="37"/>
      <c r="J44" s="37"/>
      <c r="K44" s="38"/>
      <c r="L44" s="38"/>
      <c r="M44" s="38"/>
      <c r="N44" s="38"/>
      <c r="O44" s="38"/>
      <c r="P44" s="38"/>
      <c r="Q44" s="39"/>
      <c r="R44" s="39"/>
      <c r="S44" s="39"/>
      <c r="T44" s="39"/>
      <c r="U44" s="39"/>
      <c r="V44" s="36"/>
      <c r="W44" s="37"/>
      <c r="X44" s="37"/>
      <c r="Y44" s="40"/>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7"/>
      <c r="BD44" s="17"/>
      <c r="BE44" s="17"/>
      <c r="BF44" s="17"/>
      <c r="BG44" s="17"/>
      <c r="BH44" s="17"/>
      <c r="BI44" s="17"/>
      <c r="BJ44" s="17"/>
      <c r="BK44" s="17"/>
      <c r="BL44" s="17"/>
      <c r="BM44" s="17"/>
      <c r="BN44" s="17"/>
      <c r="BO44" s="17"/>
      <c r="BP44" s="17"/>
      <c r="BQ44" s="17"/>
      <c r="BR44" s="17"/>
      <c r="BS44" s="17"/>
      <c r="BT44" s="17"/>
      <c r="BU44" s="17"/>
      <c r="BV44" s="17"/>
      <c r="BW44" s="17"/>
      <c r="BX44" s="17"/>
      <c r="BY44" s="17"/>
      <c r="BZ44" s="17"/>
      <c r="CA44" s="17"/>
      <c r="CB44" s="17"/>
      <c r="CC44" s="17"/>
      <c r="CD44" s="17"/>
    </row>
    <row r="45" spans="1:82" s="1" customFormat="1" ht="33.75" customHeight="1" thickBot="1" x14ac:dyDescent="0.3">
      <c r="A45" s="353" t="s">
        <v>63</v>
      </c>
      <c r="B45" s="354"/>
      <c r="C45" s="354"/>
      <c r="D45" s="354"/>
      <c r="E45" s="354"/>
      <c r="F45" s="354"/>
      <c r="G45" s="354"/>
      <c r="H45" s="354"/>
      <c r="I45" s="354"/>
      <c r="J45" s="354"/>
      <c r="K45" s="354"/>
      <c r="L45" s="354"/>
      <c r="M45" s="354"/>
      <c r="N45" s="354"/>
      <c r="O45" s="354"/>
      <c r="P45" s="354"/>
      <c r="Q45" s="354"/>
      <c r="R45" s="354"/>
      <c r="S45" s="354"/>
      <c r="T45" s="354"/>
      <c r="U45" s="354"/>
      <c r="V45" s="354"/>
      <c r="W45" s="354"/>
      <c r="X45" s="67">
        <v>9</v>
      </c>
      <c r="Y45" s="64"/>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7"/>
      <c r="BD45" s="17"/>
      <c r="BE45" s="17"/>
      <c r="BF45" s="17"/>
      <c r="BG45" s="17"/>
      <c r="BH45" s="17"/>
      <c r="BI45" s="17"/>
      <c r="BJ45" s="17"/>
      <c r="BK45" s="17"/>
      <c r="BL45" s="17"/>
      <c r="BM45" s="17"/>
      <c r="BN45" s="17"/>
      <c r="BO45" s="17"/>
      <c r="BP45" s="17"/>
      <c r="BQ45" s="17"/>
      <c r="BR45" s="17"/>
      <c r="BS45" s="17"/>
      <c r="BT45" s="17"/>
      <c r="BU45" s="17"/>
      <c r="BV45" s="17"/>
      <c r="BW45" s="17"/>
      <c r="BX45" s="17"/>
      <c r="BY45" s="17"/>
      <c r="BZ45" s="17"/>
      <c r="CA45" s="17"/>
      <c r="CB45" s="17"/>
      <c r="CC45" s="17"/>
      <c r="CD45" s="17"/>
    </row>
    <row r="46" spans="1:82" s="1" customFormat="1" ht="63" customHeight="1" thickBot="1" x14ac:dyDescent="0.3">
      <c r="A46" s="370" t="s">
        <v>135</v>
      </c>
      <c r="B46" s="354" t="s">
        <v>12</v>
      </c>
      <c r="C46" s="354"/>
      <c r="D46" s="354"/>
      <c r="E46" s="355"/>
      <c r="F46" s="370" t="s">
        <v>49</v>
      </c>
      <c r="G46" s="353" t="s">
        <v>60</v>
      </c>
      <c r="H46" s="354"/>
      <c r="I46" s="354"/>
      <c r="J46" s="354"/>
      <c r="K46" s="354"/>
      <c r="L46" s="354"/>
      <c r="M46" s="354"/>
      <c r="N46" s="355"/>
      <c r="O46" s="69"/>
      <c r="P46" s="69"/>
      <c r="Q46" s="354"/>
      <c r="R46" s="354"/>
      <c r="S46" s="354"/>
      <c r="T46" s="354"/>
      <c r="U46" s="354"/>
      <c r="V46" s="354"/>
      <c r="W46" s="354"/>
      <c r="X46" s="354"/>
      <c r="Y46" s="355"/>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7"/>
      <c r="BD46" s="17"/>
      <c r="BE46" s="17"/>
      <c r="BF46" s="17"/>
      <c r="BG46" s="17"/>
      <c r="BH46" s="17"/>
      <c r="BI46" s="17"/>
      <c r="BJ46" s="17"/>
      <c r="BK46" s="17"/>
      <c r="BL46" s="17"/>
      <c r="BM46" s="17"/>
      <c r="BN46" s="17"/>
      <c r="BO46" s="17"/>
      <c r="BP46" s="17"/>
      <c r="BQ46" s="17"/>
      <c r="BR46" s="17"/>
      <c r="BS46" s="17"/>
      <c r="BT46" s="17"/>
      <c r="BU46" s="17"/>
      <c r="BV46" s="17"/>
      <c r="BW46" s="17"/>
      <c r="BX46" s="17"/>
      <c r="BY46" s="17"/>
      <c r="BZ46" s="17"/>
      <c r="CA46" s="17"/>
      <c r="CB46" s="17"/>
      <c r="CC46" s="17"/>
      <c r="CD46" s="17"/>
    </row>
    <row r="47" spans="1:82" s="1" customFormat="1" ht="174" customHeight="1" thickBot="1" x14ac:dyDescent="0.3">
      <c r="A47" s="371"/>
      <c r="B47" s="27" t="str">
        <f>+B11</f>
        <v>No</v>
      </c>
      <c r="C47" s="27" t="s">
        <v>44</v>
      </c>
      <c r="D47" s="27"/>
      <c r="E47" s="27" t="s">
        <v>45</v>
      </c>
      <c r="F47" s="371"/>
      <c r="G47" s="31" t="s">
        <v>80</v>
      </c>
      <c r="H47" s="31" t="s">
        <v>83</v>
      </c>
      <c r="I47" s="87"/>
      <c r="J47" s="87"/>
      <c r="K47" s="31" t="s">
        <v>97</v>
      </c>
      <c r="L47" s="31" t="s">
        <v>47</v>
      </c>
      <c r="M47" s="31" t="s">
        <v>48</v>
      </c>
      <c r="N47" s="31" t="s">
        <v>59</v>
      </c>
      <c r="O47" s="71"/>
      <c r="P47" s="71"/>
      <c r="Q47" s="27" t="s">
        <v>100</v>
      </c>
      <c r="R47" s="353" t="s">
        <v>98</v>
      </c>
      <c r="S47" s="354"/>
      <c r="T47" s="355"/>
      <c r="U47" s="27"/>
      <c r="V47" s="27" t="s">
        <v>92</v>
      </c>
      <c r="W47" s="27" t="s">
        <v>96</v>
      </c>
      <c r="X47" s="27" t="s">
        <v>95</v>
      </c>
      <c r="Y47" s="27" t="s">
        <v>46</v>
      </c>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7"/>
      <c r="BD47" s="17"/>
      <c r="BE47" s="17"/>
      <c r="BF47" s="17"/>
      <c r="BG47" s="17"/>
      <c r="BH47" s="17"/>
      <c r="BI47" s="17"/>
      <c r="BJ47" s="17"/>
      <c r="BK47" s="17"/>
      <c r="BL47" s="17"/>
      <c r="BM47" s="17"/>
      <c r="BN47" s="17"/>
      <c r="BO47" s="17"/>
      <c r="BP47" s="17"/>
      <c r="BQ47" s="17"/>
      <c r="BR47" s="17"/>
      <c r="BS47" s="17"/>
      <c r="BT47" s="17"/>
      <c r="BU47" s="17"/>
      <c r="BV47" s="17"/>
      <c r="BW47" s="17"/>
      <c r="BX47" s="17"/>
      <c r="BY47" s="17"/>
      <c r="BZ47" s="17"/>
      <c r="CA47" s="17"/>
      <c r="CB47" s="17"/>
      <c r="CC47" s="17"/>
      <c r="CD47" s="17"/>
    </row>
    <row r="48" spans="1:82" s="1" customFormat="1" ht="42.75" customHeight="1" x14ac:dyDescent="0.25">
      <c r="A48" s="372"/>
      <c r="B48" s="375" t="str">
        <f>+IF($A$79=$X$45,'FT-Mapa de riesgos'!B20,"")</f>
        <v/>
      </c>
      <c r="C48" s="368" t="str">
        <f>+IF(B48=1,'FT-Mapa de riesgos'!C20,"")</f>
        <v/>
      </c>
      <c r="D48" s="338" t="str">
        <f>+IF(B48=1,1,"NA")</f>
        <v>NA</v>
      </c>
      <c r="E48" s="368" t="str">
        <f>+IF(B48=1,'FT-Mapa de riesgos'!E20,"")</f>
        <v/>
      </c>
      <c r="F48" s="368"/>
      <c r="G48" s="326" t="str">
        <f>IF($F48="","No",IF($F48="No","No"," "))</f>
        <v>No</v>
      </c>
      <c r="H48" s="326" t="str">
        <f t="shared" ref="H48:N48" si="22">IF($F48="","No",IF($F48="No","No"," "))</f>
        <v>No</v>
      </c>
      <c r="I48" s="326" t="str">
        <f t="shared" si="22"/>
        <v>No</v>
      </c>
      <c r="J48" s="326" t="str">
        <f t="shared" si="22"/>
        <v>No</v>
      </c>
      <c r="K48" s="326" t="str">
        <f t="shared" si="22"/>
        <v>No</v>
      </c>
      <c r="L48" s="326" t="str">
        <f t="shared" si="22"/>
        <v>No</v>
      </c>
      <c r="M48" s="326" t="str">
        <f t="shared" si="22"/>
        <v>No</v>
      </c>
      <c r="N48" s="326" t="str">
        <f t="shared" si="22"/>
        <v>No</v>
      </c>
      <c r="O48" s="135" t="str">
        <f t="shared" ref="O48:P77" si="23">+O12</f>
        <v>Listas de verificación guías protocolos y procedimientos</v>
      </c>
      <c r="P48" s="136" t="str">
        <f t="shared" si="23"/>
        <v>Permanente</v>
      </c>
      <c r="Q48" s="137" t="s">
        <v>102</v>
      </c>
      <c r="R48" s="137" t="str">
        <f t="shared" ref="R48:R77" si="24">+R12</f>
        <v>Enero-Abril</v>
      </c>
      <c r="S48" s="137" t="str">
        <f>+'FT-Mapa de riesgos'!X20</f>
        <v>Mayo-Agosto</v>
      </c>
      <c r="T48" s="137" t="str">
        <f>+'FT-Mapa de riesgos'!Y20</f>
        <v>Septiembre-Diciembre</v>
      </c>
      <c r="U48" s="137">
        <f>IF(OR(Q48=R48,Q48=S48,Q48=T48),1,IF(R48="Enero-Diciembre",1,0))</f>
        <v>1</v>
      </c>
      <c r="V48" s="137" t="str">
        <f>+IF(U48=1,"Si","No")</f>
        <v>Si</v>
      </c>
      <c r="W48" s="135" t="str">
        <f t="shared" ref="W48:X50" si="25">IF($V48="","No",IF($V48="No","No"," "))</f>
        <v xml:space="preserve"> </v>
      </c>
      <c r="X48" s="138" t="str">
        <f t="shared" si="25"/>
        <v xml:space="preserve"> </v>
      </c>
      <c r="Y48" s="134" t="str">
        <f>+IFERROR((X48/W48)," ")</f>
        <v xml:space="preserve"> </v>
      </c>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row>
    <row r="49" spans="1:82" s="1" customFormat="1" ht="42.75" customHeight="1" x14ac:dyDescent="0.25">
      <c r="A49" s="373"/>
      <c r="B49" s="364"/>
      <c r="C49" s="348"/>
      <c r="D49" s="339"/>
      <c r="E49" s="348"/>
      <c r="F49" s="348"/>
      <c r="G49" s="327"/>
      <c r="H49" s="327"/>
      <c r="I49" s="327"/>
      <c r="J49" s="327"/>
      <c r="K49" s="327"/>
      <c r="L49" s="327"/>
      <c r="M49" s="327"/>
      <c r="N49" s="327"/>
      <c r="O49" s="96" t="str">
        <f t="shared" si="23"/>
        <v>Parada de seguridad</v>
      </c>
      <c r="P49" s="78" t="str">
        <f t="shared" si="23"/>
        <v>Permanente</v>
      </c>
      <c r="Q49" s="97" t="s">
        <v>102</v>
      </c>
      <c r="R49" s="97" t="str">
        <f t="shared" si="24"/>
        <v>Enero-Abril</v>
      </c>
      <c r="S49" s="97" t="str">
        <f>+'FT-Mapa de riesgos'!X21</f>
        <v>Mayo-Agosto</v>
      </c>
      <c r="T49" s="97" t="str">
        <f>+'FT-Mapa de riesgos'!Y21</f>
        <v>Septiembre-Diciembre</v>
      </c>
      <c r="U49" s="97">
        <f t="shared" ref="U49:U77" si="26">IF(OR(Q49=R49,Q49=S49,Q49=T49),1,IF(R49="Enero-Diciembre",1,0))</f>
        <v>1</v>
      </c>
      <c r="V49" s="97" t="str">
        <f t="shared" ref="V49:V77" si="27">+IF(U49=1,"Si","No")</f>
        <v>Si</v>
      </c>
      <c r="W49" s="96" t="str">
        <f t="shared" si="25"/>
        <v xml:space="preserve"> </v>
      </c>
      <c r="X49" s="139" t="str">
        <f t="shared" si="25"/>
        <v xml:space="preserve"> </v>
      </c>
      <c r="Y49" s="134" t="str">
        <f t="shared" ref="Y49:Y77" si="28">+IFERROR((X49/W49)," ")</f>
        <v xml:space="preserve"> </v>
      </c>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7"/>
      <c r="BD49" s="17"/>
      <c r="BE49" s="17"/>
      <c r="BF49" s="17"/>
      <c r="BG49" s="17"/>
      <c r="BH49" s="17"/>
      <c r="BI49" s="17"/>
      <c r="BJ49" s="17"/>
      <c r="BK49" s="17"/>
      <c r="BL49" s="17"/>
      <c r="BM49" s="17"/>
      <c r="BN49" s="17"/>
      <c r="BO49" s="17"/>
      <c r="BP49" s="17"/>
      <c r="BQ49" s="17"/>
      <c r="BR49" s="17"/>
      <c r="BS49" s="17"/>
      <c r="BT49" s="17"/>
      <c r="BU49" s="17"/>
      <c r="BV49" s="17"/>
      <c r="BW49" s="17"/>
      <c r="BX49" s="17"/>
      <c r="BY49" s="17"/>
      <c r="BZ49" s="17"/>
      <c r="CA49" s="17"/>
      <c r="CB49" s="17"/>
      <c r="CC49" s="17"/>
      <c r="CD49" s="17"/>
    </row>
    <row r="50" spans="1:82" s="1" customFormat="1" ht="42.75" customHeight="1" thickBot="1" x14ac:dyDescent="0.3">
      <c r="A50" s="373"/>
      <c r="B50" s="365"/>
      <c r="C50" s="348"/>
      <c r="D50" s="344"/>
      <c r="E50" s="348"/>
      <c r="F50" s="348"/>
      <c r="G50" s="327"/>
      <c r="H50" s="327"/>
      <c r="I50" s="327"/>
      <c r="J50" s="327"/>
      <c r="K50" s="327"/>
      <c r="L50" s="327"/>
      <c r="M50" s="327"/>
      <c r="N50" s="327"/>
      <c r="O50" s="96" t="str">
        <f t="shared" si="23"/>
        <v/>
      </c>
      <c r="P50" s="78" t="str">
        <f t="shared" si="23"/>
        <v/>
      </c>
      <c r="Q50" s="97" t="s">
        <v>102</v>
      </c>
      <c r="R50" s="97" t="str">
        <f t="shared" si="24"/>
        <v/>
      </c>
      <c r="S50" s="97">
        <f>+'FT-Mapa de riesgos'!X22</f>
        <v>0</v>
      </c>
      <c r="T50" s="97">
        <f>+'FT-Mapa de riesgos'!Y22</f>
        <v>0</v>
      </c>
      <c r="U50" s="97">
        <f t="shared" si="26"/>
        <v>0</v>
      </c>
      <c r="V50" s="97" t="str">
        <f t="shared" si="27"/>
        <v>No</v>
      </c>
      <c r="W50" s="96" t="str">
        <f t="shared" si="25"/>
        <v>No</v>
      </c>
      <c r="X50" s="139" t="str">
        <f t="shared" si="25"/>
        <v>No</v>
      </c>
      <c r="Y50" s="134" t="str">
        <f t="shared" si="28"/>
        <v xml:space="preserve"> </v>
      </c>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row>
    <row r="51" spans="1:82" s="1" customFormat="1" ht="42.75" customHeight="1" x14ac:dyDescent="0.25">
      <c r="A51" s="373"/>
      <c r="B51" s="364" t="str">
        <f>+IF($A$79=$X$45,'FT-Mapa de riesgos'!B23,"")</f>
        <v/>
      </c>
      <c r="C51" s="344" t="str">
        <f>+IF(B51=2,'FT-Mapa de riesgos'!C23,"")</f>
        <v/>
      </c>
      <c r="D51" s="338" t="str">
        <f t="shared" ref="D51" si="29">+IF(B51=1,1,"NA")</f>
        <v>NA</v>
      </c>
      <c r="E51" s="344" t="str">
        <f>+IF(B51=2,'FT-Mapa de riesgos'!E23,"")</f>
        <v/>
      </c>
      <c r="F51" s="348"/>
      <c r="G51" s="337" t="str">
        <f t="shared" ref="G51:N75" si="30">IF($F51="","No",IF($F51="No","No"," "))</f>
        <v>No</v>
      </c>
      <c r="H51" s="337" t="str">
        <f t="shared" si="30"/>
        <v>No</v>
      </c>
      <c r="I51" s="337" t="str">
        <f t="shared" si="30"/>
        <v>No</v>
      </c>
      <c r="J51" s="337" t="str">
        <f t="shared" si="30"/>
        <v>No</v>
      </c>
      <c r="K51" s="337" t="str">
        <f t="shared" si="30"/>
        <v>No</v>
      </c>
      <c r="L51" s="337" t="str">
        <f t="shared" si="30"/>
        <v>No</v>
      </c>
      <c r="M51" s="337" t="str">
        <f t="shared" si="30"/>
        <v>No</v>
      </c>
      <c r="N51" s="337" t="str">
        <f t="shared" si="30"/>
        <v>No</v>
      </c>
      <c r="O51" s="96" t="str">
        <f t="shared" si="23"/>
        <v>Listas de verificación guías protocolos y procedimientos</v>
      </c>
      <c r="P51" s="78" t="str">
        <f t="shared" si="23"/>
        <v>Permanente</v>
      </c>
      <c r="Q51" s="97" t="s">
        <v>102</v>
      </c>
      <c r="R51" s="97" t="str">
        <f t="shared" si="24"/>
        <v>Enero-Abril</v>
      </c>
      <c r="S51" s="97" t="str">
        <f>+'FT-Mapa de riesgos'!X23</f>
        <v>Mayo-Agosto</v>
      </c>
      <c r="T51" s="97" t="str">
        <f>+'FT-Mapa de riesgos'!Y23</f>
        <v>Septiembre-Diciembre</v>
      </c>
      <c r="U51" s="97">
        <f t="shared" si="26"/>
        <v>1</v>
      </c>
      <c r="V51" s="97" t="str">
        <f t="shared" si="27"/>
        <v>Si</v>
      </c>
      <c r="W51" s="96" t="str">
        <f t="shared" ref="W51:X77" si="31">IF($V51="","No",IF($V51="No","No"," "))</f>
        <v xml:space="preserve"> </v>
      </c>
      <c r="X51" s="139" t="str">
        <f t="shared" si="31"/>
        <v xml:space="preserve"> </v>
      </c>
      <c r="Y51" s="134" t="str">
        <f t="shared" si="28"/>
        <v xml:space="preserve"> </v>
      </c>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7"/>
      <c r="BG51" s="17"/>
      <c r="BH51" s="17"/>
      <c r="BI51" s="17"/>
      <c r="BJ51" s="17"/>
      <c r="BK51" s="17"/>
      <c r="BL51" s="17"/>
      <c r="BM51" s="17"/>
      <c r="BN51" s="17"/>
      <c r="BO51" s="17"/>
      <c r="BP51" s="17"/>
      <c r="BQ51" s="17"/>
      <c r="BR51" s="17"/>
      <c r="BS51" s="17"/>
      <c r="BT51" s="17"/>
      <c r="BU51" s="17"/>
      <c r="BV51" s="17"/>
      <c r="BW51" s="17"/>
      <c r="BX51" s="17"/>
      <c r="BY51" s="17"/>
      <c r="BZ51" s="17"/>
      <c r="CA51" s="17"/>
      <c r="CB51" s="17"/>
      <c r="CC51" s="17"/>
      <c r="CD51" s="17"/>
    </row>
    <row r="52" spans="1:82" s="1" customFormat="1" ht="42.75" customHeight="1" x14ac:dyDescent="0.25">
      <c r="A52" s="373"/>
      <c r="B52" s="364"/>
      <c r="C52" s="348"/>
      <c r="D52" s="339"/>
      <c r="E52" s="348"/>
      <c r="F52" s="348"/>
      <c r="G52" s="327"/>
      <c r="H52" s="327"/>
      <c r="I52" s="327"/>
      <c r="J52" s="327"/>
      <c r="K52" s="327"/>
      <c r="L52" s="327"/>
      <c r="M52" s="327"/>
      <c r="N52" s="327"/>
      <c r="O52" s="96" t="str">
        <f t="shared" si="23"/>
        <v>Listas de verificación guías protocolos y procedimientos</v>
      </c>
      <c r="P52" s="78" t="str">
        <f t="shared" si="23"/>
        <v>Permanente</v>
      </c>
      <c r="Q52" s="97" t="s">
        <v>102</v>
      </c>
      <c r="R52" s="97" t="str">
        <f t="shared" si="24"/>
        <v>Enero-Abril</v>
      </c>
      <c r="S52" s="97" t="str">
        <f>+'FT-Mapa de riesgos'!X24</f>
        <v>Mayo-Agosto</v>
      </c>
      <c r="T52" s="97" t="str">
        <f>+'FT-Mapa de riesgos'!Y24</f>
        <v>Septiembre-Diciembre</v>
      </c>
      <c r="U52" s="97">
        <f t="shared" si="26"/>
        <v>1</v>
      </c>
      <c r="V52" s="97" t="str">
        <f t="shared" si="27"/>
        <v>Si</v>
      </c>
      <c r="W52" s="96" t="str">
        <f t="shared" si="31"/>
        <v xml:space="preserve"> </v>
      </c>
      <c r="X52" s="139" t="str">
        <f t="shared" si="31"/>
        <v xml:space="preserve"> </v>
      </c>
      <c r="Y52" s="134" t="str">
        <f t="shared" si="28"/>
        <v xml:space="preserve"> </v>
      </c>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7"/>
      <c r="BG52" s="17"/>
      <c r="BH52" s="17"/>
      <c r="BI52" s="17"/>
      <c r="BJ52" s="17"/>
      <c r="BK52" s="17"/>
      <c r="BL52" s="17"/>
      <c r="BM52" s="17"/>
      <c r="BN52" s="17"/>
      <c r="BO52" s="17"/>
      <c r="BP52" s="17"/>
      <c r="BQ52" s="17"/>
      <c r="BR52" s="17"/>
      <c r="BS52" s="17"/>
      <c r="BT52" s="17"/>
      <c r="BU52" s="17"/>
      <c r="BV52" s="17"/>
      <c r="BW52" s="17"/>
      <c r="BX52" s="17"/>
      <c r="BY52" s="17"/>
      <c r="BZ52" s="17"/>
      <c r="CA52" s="17"/>
      <c r="CB52" s="17"/>
      <c r="CC52" s="17"/>
      <c r="CD52" s="17"/>
    </row>
    <row r="53" spans="1:82" s="1" customFormat="1" ht="42.75" customHeight="1" thickBot="1" x14ac:dyDescent="0.3">
      <c r="A53" s="373"/>
      <c r="B53" s="365"/>
      <c r="C53" s="348"/>
      <c r="D53" s="344"/>
      <c r="E53" s="348"/>
      <c r="F53" s="348"/>
      <c r="G53" s="327"/>
      <c r="H53" s="327"/>
      <c r="I53" s="327"/>
      <c r="J53" s="327"/>
      <c r="K53" s="327"/>
      <c r="L53" s="327"/>
      <c r="M53" s="327"/>
      <c r="N53" s="327"/>
      <c r="O53" s="96" t="str">
        <f t="shared" si="23"/>
        <v/>
      </c>
      <c r="P53" s="78" t="str">
        <f t="shared" si="23"/>
        <v/>
      </c>
      <c r="Q53" s="97" t="s">
        <v>102</v>
      </c>
      <c r="R53" s="97" t="str">
        <f t="shared" si="24"/>
        <v/>
      </c>
      <c r="S53" s="97">
        <f>+'FT-Mapa de riesgos'!X25</f>
        <v>0</v>
      </c>
      <c r="T53" s="97">
        <f>+'FT-Mapa de riesgos'!Y25</f>
        <v>0</v>
      </c>
      <c r="U53" s="97">
        <f t="shared" si="26"/>
        <v>0</v>
      </c>
      <c r="V53" s="97" t="str">
        <f t="shared" si="27"/>
        <v>No</v>
      </c>
      <c r="W53" s="96" t="str">
        <f t="shared" si="31"/>
        <v>No</v>
      </c>
      <c r="X53" s="139" t="str">
        <f t="shared" si="31"/>
        <v>No</v>
      </c>
      <c r="Y53" s="134" t="str">
        <f t="shared" si="28"/>
        <v xml:space="preserve"> </v>
      </c>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row>
    <row r="54" spans="1:82" s="1" customFormat="1" ht="318.75" x14ac:dyDescent="0.25">
      <c r="A54" s="373"/>
      <c r="B54" s="364" t="str">
        <f>+IF($A$79=$X$45,'FT-Mapa de riesgos'!B26,"")</f>
        <v/>
      </c>
      <c r="C54" s="344" t="str">
        <f>+IF(B54=3,'FT-Mapa de riesgos'!C26,"")</f>
        <v/>
      </c>
      <c r="D54" s="338" t="str">
        <f t="shared" ref="D54" si="32">+IF(B54=1,1,"NA")</f>
        <v>NA</v>
      </c>
      <c r="E54" s="344" t="str">
        <f>+IF(B54=3,'FT-Mapa de riesgos'!E26,"")</f>
        <v/>
      </c>
      <c r="F54" s="348"/>
      <c r="G54" s="337" t="str">
        <f t="shared" ref="G54" si="33">IF($F54="","No",IF($F54="No","No"," "))</f>
        <v>No</v>
      </c>
      <c r="H54" s="337" t="str">
        <f t="shared" si="30"/>
        <v>No</v>
      </c>
      <c r="I54" s="337" t="str">
        <f t="shared" si="30"/>
        <v>No</v>
      </c>
      <c r="J54" s="337" t="str">
        <f t="shared" si="30"/>
        <v>No</v>
      </c>
      <c r="K54" s="337" t="str">
        <f t="shared" si="30"/>
        <v>No</v>
      </c>
      <c r="L54" s="337" t="str">
        <f t="shared" si="30"/>
        <v>No</v>
      </c>
      <c r="M54" s="337" t="str">
        <f t="shared" si="30"/>
        <v>No</v>
      </c>
      <c r="N54" s="337" t="str">
        <f t="shared" si="30"/>
        <v>No</v>
      </c>
      <c r="O54" s="96" t="str">
        <f t="shared" si="23"/>
        <v>Evaluación de adherencia</v>
      </c>
      <c r="P54" s="78" t="str">
        <f t="shared" si="23"/>
        <v>Semestral</v>
      </c>
      <c r="Q54" s="97" t="s">
        <v>102</v>
      </c>
      <c r="R54" s="97" t="str">
        <f t="shared" si="24"/>
        <v>Mayo-Agosto</v>
      </c>
      <c r="S54" s="97" t="str">
        <f>+'FT-Mapa de riesgos'!X26</f>
        <v>Septiembre-Diciembre</v>
      </c>
      <c r="T54" s="97" t="str">
        <f>+'FT-Mapa de riesgos'!Y26</f>
        <v>N/A</v>
      </c>
      <c r="U54" s="97">
        <f t="shared" si="26"/>
        <v>1</v>
      </c>
      <c r="V54" s="97" t="str">
        <f t="shared" si="27"/>
        <v>Si</v>
      </c>
      <c r="W54" s="96" t="str">
        <f t="shared" si="31"/>
        <v xml:space="preserve"> </v>
      </c>
      <c r="X54" s="139" t="str">
        <f t="shared" si="31"/>
        <v xml:space="preserve"> </v>
      </c>
      <c r="Y54" s="134" t="str">
        <f t="shared" si="28"/>
        <v xml:space="preserve"> </v>
      </c>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O54" s="17"/>
      <c r="BP54" s="17"/>
      <c r="BQ54" s="17"/>
      <c r="BR54" s="17"/>
      <c r="BS54" s="17"/>
      <c r="BT54" s="17"/>
      <c r="BU54" s="17"/>
      <c r="BV54" s="17"/>
      <c r="BW54" s="17"/>
      <c r="BX54" s="17"/>
      <c r="BY54" s="17"/>
      <c r="BZ54" s="17"/>
      <c r="CA54" s="17"/>
      <c r="CB54" s="17"/>
      <c r="CC54" s="17"/>
      <c r="CD54" s="17"/>
    </row>
    <row r="55" spans="1:82" s="1" customFormat="1" ht="42.75" customHeight="1" x14ac:dyDescent="0.25">
      <c r="A55" s="373"/>
      <c r="B55" s="364"/>
      <c r="C55" s="348"/>
      <c r="D55" s="339"/>
      <c r="E55" s="348"/>
      <c r="F55" s="348"/>
      <c r="G55" s="327"/>
      <c r="H55" s="327"/>
      <c r="I55" s="327"/>
      <c r="J55" s="327"/>
      <c r="K55" s="327"/>
      <c r="L55" s="327"/>
      <c r="M55" s="327"/>
      <c r="N55" s="327"/>
      <c r="O55" s="96" t="str">
        <f t="shared" si="23"/>
        <v xml:space="preserve">Rotación de personal por todas las áreas asistenciales de urgencias </v>
      </c>
      <c r="P55" s="78" t="str">
        <f t="shared" si="23"/>
        <v>Mensual</v>
      </c>
      <c r="Q55" s="97" t="s">
        <v>102</v>
      </c>
      <c r="R55" s="97" t="str">
        <f t="shared" si="24"/>
        <v>Enero-Abril</v>
      </c>
      <c r="S55" s="97" t="str">
        <f>+'FT-Mapa de riesgos'!X27</f>
        <v>Mayo-Agosto</v>
      </c>
      <c r="T55" s="97" t="str">
        <f>+'FT-Mapa de riesgos'!Y27</f>
        <v>Septiembre-Diciembre</v>
      </c>
      <c r="U55" s="97">
        <f t="shared" si="26"/>
        <v>1</v>
      </c>
      <c r="V55" s="97" t="str">
        <f t="shared" si="27"/>
        <v>Si</v>
      </c>
      <c r="W55" s="96" t="str">
        <f t="shared" si="31"/>
        <v xml:space="preserve"> </v>
      </c>
      <c r="X55" s="139" t="str">
        <f t="shared" si="31"/>
        <v xml:space="preserve"> </v>
      </c>
      <c r="Y55" s="134" t="str">
        <f t="shared" si="28"/>
        <v xml:space="preserve"> </v>
      </c>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c r="BF55" s="17"/>
      <c r="BG55" s="17"/>
      <c r="BH55" s="17"/>
      <c r="BI55" s="17"/>
      <c r="BJ55" s="17"/>
      <c r="BK55" s="17"/>
      <c r="BL55" s="17"/>
      <c r="BM55" s="17"/>
      <c r="BN55" s="17"/>
      <c r="BO55" s="17"/>
      <c r="BP55" s="17"/>
      <c r="BQ55" s="17"/>
      <c r="BR55" s="17"/>
      <c r="BS55" s="17"/>
      <c r="BT55" s="17"/>
      <c r="BU55" s="17"/>
      <c r="BV55" s="17"/>
      <c r="BW55" s="17"/>
      <c r="BX55" s="17"/>
      <c r="BY55" s="17"/>
      <c r="BZ55" s="17"/>
      <c r="CA55" s="17"/>
      <c r="CB55" s="17"/>
      <c r="CC55" s="17"/>
      <c r="CD55" s="17"/>
    </row>
    <row r="56" spans="1:82" s="1" customFormat="1" ht="42.75" customHeight="1" thickBot="1" x14ac:dyDescent="0.3">
      <c r="A56" s="373"/>
      <c r="B56" s="365"/>
      <c r="C56" s="348"/>
      <c r="D56" s="344"/>
      <c r="E56" s="348"/>
      <c r="F56" s="348"/>
      <c r="G56" s="327"/>
      <c r="H56" s="327"/>
      <c r="I56" s="327"/>
      <c r="J56" s="327"/>
      <c r="K56" s="327"/>
      <c r="L56" s="327"/>
      <c r="M56" s="327"/>
      <c r="N56" s="327"/>
      <c r="O56" s="96" t="str">
        <f t="shared" si="23"/>
        <v/>
      </c>
      <c r="P56" s="78" t="str">
        <f t="shared" si="23"/>
        <v/>
      </c>
      <c r="Q56" s="97" t="s">
        <v>102</v>
      </c>
      <c r="R56" s="97" t="str">
        <f t="shared" si="24"/>
        <v/>
      </c>
      <c r="S56" s="97">
        <f>+'FT-Mapa de riesgos'!X28</f>
        <v>0</v>
      </c>
      <c r="T56" s="97">
        <f>+'FT-Mapa de riesgos'!Y28</f>
        <v>0</v>
      </c>
      <c r="U56" s="97">
        <f t="shared" si="26"/>
        <v>0</v>
      </c>
      <c r="V56" s="97" t="str">
        <f t="shared" si="27"/>
        <v>No</v>
      </c>
      <c r="W56" s="96" t="str">
        <f t="shared" si="31"/>
        <v>No</v>
      </c>
      <c r="X56" s="139" t="str">
        <f t="shared" si="31"/>
        <v>No</v>
      </c>
      <c r="Y56" s="134" t="str">
        <f t="shared" si="28"/>
        <v xml:space="preserve"> </v>
      </c>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7"/>
      <c r="BD56" s="17"/>
      <c r="BE56" s="17"/>
      <c r="BF56" s="17"/>
      <c r="BG56" s="17"/>
      <c r="BH56" s="17"/>
      <c r="BI56" s="17"/>
      <c r="BJ56" s="17"/>
      <c r="BK56" s="17"/>
      <c r="BL56" s="17"/>
      <c r="BM56" s="17"/>
      <c r="BN56" s="17"/>
      <c r="BO56" s="17"/>
      <c r="BP56" s="17"/>
      <c r="BQ56" s="17"/>
      <c r="BR56" s="17"/>
      <c r="BS56" s="17"/>
      <c r="BT56" s="17"/>
      <c r="BU56" s="17"/>
      <c r="BV56" s="17"/>
      <c r="BW56" s="17"/>
      <c r="BX56" s="17"/>
      <c r="BY56" s="17"/>
      <c r="BZ56" s="17"/>
      <c r="CA56" s="17"/>
      <c r="CB56" s="17"/>
      <c r="CC56" s="17"/>
      <c r="CD56" s="17"/>
    </row>
    <row r="57" spans="1:82" s="1" customFormat="1" ht="42.75" customHeight="1" x14ac:dyDescent="0.25">
      <c r="A57" s="373"/>
      <c r="B57" s="364" t="str">
        <f>+IF($A$79=$X$45,'FT-Mapa de riesgos'!B29,"")</f>
        <v/>
      </c>
      <c r="C57" s="344" t="str">
        <f>+IF(B57=4,'FT-Mapa de riesgos'!C29,"")</f>
        <v/>
      </c>
      <c r="D57" s="338" t="str">
        <f t="shared" ref="D57" si="34">+IF(B57=1,1,"NA")</f>
        <v>NA</v>
      </c>
      <c r="E57" s="344" t="str">
        <f>+IF(B57=4,'FT-Mapa de riesgos'!E29,"")</f>
        <v/>
      </c>
      <c r="F57" s="348"/>
      <c r="G57" s="337" t="str">
        <f t="shared" ref="G57" si="35">IF($F57="","No",IF($F57="No","No"," "))</f>
        <v>No</v>
      </c>
      <c r="H57" s="337" t="str">
        <f t="shared" si="30"/>
        <v>No</v>
      </c>
      <c r="I57" s="337" t="str">
        <f t="shared" si="30"/>
        <v>No</v>
      </c>
      <c r="J57" s="337" t="str">
        <f t="shared" si="30"/>
        <v>No</v>
      </c>
      <c r="K57" s="337" t="str">
        <f t="shared" si="30"/>
        <v>No</v>
      </c>
      <c r="L57" s="337" t="str">
        <f t="shared" si="30"/>
        <v>No</v>
      </c>
      <c r="M57" s="337" t="str">
        <f t="shared" si="30"/>
        <v>No</v>
      </c>
      <c r="N57" s="337" t="str">
        <f t="shared" si="30"/>
        <v>No</v>
      </c>
      <c r="O57" s="96" t="str">
        <f t="shared" si="23"/>
        <v xml:space="preserve">Asignación de elementos y/o  prendas de identificación </v>
      </c>
      <c r="P57" s="78" t="str">
        <f t="shared" si="23"/>
        <v>Permanente</v>
      </c>
      <c r="Q57" s="97" t="s">
        <v>102</v>
      </c>
      <c r="R57" s="97" t="str">
        <f t="shared" si="24"/>
        <v>Enero-Abril</v>
      </c>
      <c r="S57" s="97" t="str">
        <f>+'FT-Mapa de riesgos'!X29</f>
        <v>Mayo-Agosto</v>
      </c>
      <c r="T57" s="97" t="str">
        <f>+'FT-Mapa de riesgos'!Y29</f>
        <v>Septiembre-Diciembre</v>
      </c>
      <c r="U57" s="97">
        <f t="shared" si="26"/>
        <v>1</v>
      </c>
      <c r="V57" s="97" t="str">
        <f t="shared" si="27"/>
        <v>Si</v>
      </c>
      <c r="W57" s="96" t="str">
        <f t="shared" si="31"/>
        <v xml:space="preserve"> </v>
      </c>
      <c r="X57" s="139" t="str">
        <f t="shared" si="31"/>
        <v xml:space="preserve"> </v>
      </c>
      <c r="Y57" s="134" t="str">
        <f t="shared" si="28"/>
        <v xml:space="preserve"> </v>
      </c>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c r="BD57" s="17"/>
      <c r="BE57" s="17"/>
      <c r="BF57" s="17"/>
      <c r="BG57" s="17"/>
      <c r="BH57" s="17"/>
      <c r="BI57" s="17"/>
      <c r="BJ57" s="17"/>
      <c r="BK57" s="17"/>
      <c r="BL57" s="17"/>
      <c r="BM57" s="17"/>
      <c r="BN57" s="17"/>
      <c r="BO57" s="17"/>
      <c r="BP57" s="17"/>
      <c r="BQ57" s="17"/>
      <c r="BR57" s="17"/>
      <c r="BS57" s="17"/>
      <c r="BT57" s="17"/>
      <c r="BU57" s="17"/>
      <c r="BV57" s="17"/>
      <c r="BW57" s="17"/>
      <c r="BX57" s="17"/>
      <c r="BY57" s="17"/>
      <c r="BZ57" s="17"/>
      <c r="CA57" s="17"/>
      <c r="CB57" s="17"/>
      <c r="CC57" s="17"/>
      <c r="CD57" s="17"/>
    </row>
    <row r="58" spans="1:82" s="1" customFormat="1" ht="42.75" customHeight="1" x14ac:dyDescent="0.25">
      <c r="A58" s="373"/>
      <c r="B58" s="364"/>
      <c r="C58" s="348"/>
      <c r="D58" s="339"/>
      <c r="E58" s="348"/>
      <c r="F58" s="348"/>
      <c r="G58" s="327"/>
      <c r="H58" s="327"/>
      <c r="I58" s="327"/>
      <c r="J58" s="327"/>
      <c r="K58" s="327"/>
      <c r="L58" s="327"/>
      <c r="M58" s="327"/>
      <c r="N58" s="327"/>
      <c r="O58" s="96" t="str">
        <f t="shared" si="23"/>
        <v xml:space="preserve">Control de puertas por los guardias de seguridad y revisión por parte del personal de información </v>
      </c>
      <c r="P58" s="78" t="str">
        <f t="shared" si="23"/>
        <v>Permanente</v>
      </c>
      <c r="Q58" s="97" t="s">
        <v>102</v>
      </c>
      <c r="R58" s="97" t="str">
        <f t="shared" si="24"/>
        <v>Enero-Abril</v>
      </c>
      <c r="S58" s="97" t="str">
        <f>+'FT-Mapa de riesgos'!X30</f>
        <v>Mayo-Agosto</v>
      </c>
      <c r="T58" s="97" t="str">
        <f>+'FT-Mapa de riesgos'!Y30</f>
        <v>Septiembre-Diciembre</v>
      </c>
      <c r="U58" s="97">
        <f t="shared" si="26"/>
        <v>1</v>
      </c>
      <c r="V58" s="97" t="str">
        <f t="shared" si="27"/>
        <v>Si</v>
      </c>
      <c r="W58" s="96" t="str">
        <f t="shared" si="31"/>
        <v xml:space="preserve"> </v>
      </c>
      <c r="X58" s="139" t="str">
        <f t="shared" si="31"/>
        <v xml:space="preserve"> </v>
      </c>
      <c r="Y58" s="134" t="str">
        <f t="shared" si="28"/>
        <v xml:space="preserve"> </v>
      </c>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7"/>
      <c r="BD58" s="17"/>
      <c r="BE58" s="17"/>
      <c r="BF58" s="17"/>
      <c r="BG58" s="17"/>
      <c r="BH58" s="17"/>
      <c r="BI58" s="17"/>
      <c r="BJ58" s="17"/>
      <c r="BK58" s="17"/>
      <c r="BL58" s="17"/>
      <c r="BM58" s="17"/>
      <c r="BN58" s="17"/>
      <c r="BO58" s="17"/>
      <c r="BP58" s="17"/>
      <c r="BQ58" s="17"/>
      <c r="BR58" s="17"/>
      <c r="BS58" s="17"/>
      <c r="BT58" s="17"/>
      <c r="BU58" s="17"/>
      <c r="BV58" s="17"/>
      <c r="BW58" s="17"/>
      <c r="BX58" s="17"/>
      <c r="BY58" s="17"/>
      <c r="BZ58" s="17"/>
      <c r="CA58" s="17"/>
      <c r="CB58" s="17"/>
      <c r="CC58" s="17"/>
      <c r="CD58" s="17"/>
    </row>
    <row r="59" spans="1:82" s="1" customFormat="1" ht="42.75" customHeight="1" thickBot="1" x14ac:dyDescent="0.3">
      <c r="A59" s="373"/>
      <c r="B59" s="365"/>
      <c r="C59" s="348"/>
      <c r="D59" s="344"/>
      <c r="E59" s="348"/>
      <c r="F59" s="348"/>
      <c r="G59" s="327"/>
      <c r="H59" s="327"/>
      <c r="I59" s="327"/>
      <c r="J59" s="327"/>
      <c r="K59" s="327"/>
      <c r="L59" s="327"/>
      <c r="M59" s="327"/>
      <c r="N59" s="327"/>
      <c r="O59" s="96" t="str">
        <f t="shared" si="23"/>
        <v/>
      </c>
      <c r="P59" s="78" t="str">
        <f t="shared" si="23"/>
        <v/>
      </c>
      <c r="Q59" s="97" t="s">
        <v>102</v>
      </c>
      <c r="R59" s="97" t="str">
        <f t="shared" si="24"/>
        <v/>
      </c>
      <c r="S59" s="97">
        <f>+'FT-Mapa de riesgos'!X31</f>
        <v>0</v>
      </c>
      <c r="T59" s="97">
        <f>+'FT-Mapa de riesgos'!Y31</f>
        <v>0</v>
      </c>
      <c r="U59" s="97">
        <f t="shared" si="26"/>
        <v>0</v>
      </c>
      <c r="V59" s="97" t="str">
        <f t="shared" si="27"/>
        <v>No</v>
      </c>
      <c r="W59" s="96" t="str">
        <f t="shared" si="31"/>
        <v>No</v>
      </c>
      <c r="X59" s="139" t="str">
        <f t="shared" si="31"/>
        <v>No</v>
      </c>
      <c r="Y59" s="134" t="str">
        <f t="shared" si="28"/>
        <v xml:space="preserve"> </v>
      </c>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7"/>
      <c r="BD59" s="17"/>
      <c r="BE59" s="17"/>
      <c r="BF59" s="17"/>
      <c r="BG59" s="17"/>
      <c r="BH59" s="17"/>
      <c r="BI59" s="17"/>
      <c r="BJ59" s="17"/>
      <c r="BK59" s="17"/>
      <c r="BL59" s="17"/>
      <c r="BM59" s="17"/>
      <c r="BN59" s="17"/>
      <c r="BO59" s="17"/>
      <c r="BP59" s="17"/>
      <c r="BQ59" s="17"/>
      <c r="BR59" s="17"/>
      <c r="BS59" s="17"/>
      <c r="BT59" s="17"/>
      <c r="BU59" s="17"/>
      <c r="BV59" s="17"/>
      <c r="BW59" s="17"/>
      <c r="BX59" s="17"/>
      <c r="BY59" s="17"/>
      <c r="BZ59" s="17"/>
      <c r="CA59" s="17"/>
      <c r="CB59" s="17"/>
      <c r="CC59" s="17"/>
      <c r="CD59" s="17"/>
    </row>
    <row r="60" spans="1:82" s="1" customFormat="1" ht="42.75" customHeight="1" x14ac:dyDescent="0.25">
      <c r="A60" s="373"/>
      <c r="B60" s="364" t="str">
        <f>+IF($A$79=$X$45,'FT-Mapa de riesgos'!B32,"")</f>
        <v/>
      </c>
      <c r="C60" s="344" t="str">
        <f>+IF(B60=5,'FT-Mapa de riesgos'!C32,"")</f>
        <v/>
      </c>
      <c r="D60" s="338" t="str">
        <f t="shared" ref="D60" si="36">+IF(B60=1,1,"NA")</f>
        <v>NA</v>
      </c>
      <c r="E60" s="344" t="str">
        <f>+IF(B60=5,'FT-Mapa de riesgos'!E32,"")</f>
        <v/>
      </c>
      <c r="F60" s="348"/>
      <c r="G60" s="337" t="str">
        <f t="shared" ref="G60" si="37">IF($F60="","No",IF($F60="No","No"," "))</f>
        <v>No</v>
      </c>
      <c r="H60" s="337" t="str">
        <f t="shared" si="30"/>
        <v>No</v>
      </c>
      <c r="I60" s="337" t="str">
        <f t="shared" si="30"/>
        <v>No</v>
      </c>
      <c r="J60" s="337" t="str">
        <f t="shared" si="30"/>
        <v>No</v>
      </c>
      <c r="K60" s="337" t="str">
        <f t="shared" si="30"/>
        <v>No</v>
      </c>
      <c r="L60" s="337" t="str">
        <f t="shared" si="30"/>
        <v>No</v>
      </c>
      <c r="M60" s="337" t="str">
        <f t="shared" si="30"/>
        <v>No</v>
      </c>
      <c r="N60" s="337" t="str">
        <f t="shared" si="30"/>
        <v>No</v>
      </c>
      <c r="O60" s="96" t="str">
        <f t="shared" si="23"/>
        <v>Evaluación de adherencia de protocolos y procedimientos</v>
      </c>
      <c r="P60" s="78" t="str">
        <f t="shared" si="23"/>
        <v>Semestral</v>
      </c>
      <c r="Q60" s="97" t="s">
        <v>102</v>
      </c>
      <c r="R60" s="97" t="str">
        <f t="shared" si="24"/>
        <v>Mayo-Agosto</v>
      </c>
      <c r="S60" s="97" t="str">
        <f>+'FT-Mapa de riesgos'!X32</f>
        <v>Septiembre-Diciembre</v>
      </c>
      <c r="T60" s="97" t="str">
        <f>+'FT-Mapa de riesgos'!Y32</f>
        <v>N/A</v>
      </c>
      <c r="U60" s="97">
        <f t="shared" si="26"/>
        <v>1</v>
      </c>
      <c r="V60" s="97" t="str">
        <f t="shared" si="27"/>
        <v>Si</v>
      </c>
      <c r="W60" s="96" t="str">
        <f t="shared" si="31"/>
        <v xml:space="preserve"> </v>
      </c>
      <c r="X60" s="139" t="str">
        <f t="shared" si="31"/>
        <v xml:space="preserve"> </v>
      </c>
      <c r="Y60" s="134" t="str">
        <f t="shared" si="28"/>
        <v xml:space="preserve"> </v>
      </c>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7"/>
      <c r="BD60" s="17"/>
      <c r="BE60" s="17"/>
      <c r="BF60" s="17"/>
      <c r="BG60" s="17"/>
      <c r="BH60" s="17"/>
      <c r="BI60" s="17"/>
      <c r="BJ60" s="17"/>
      <c r="BK60" s="17"/>
      <c r="BL60" s="17"/>
      <c r="BM60" s="17"/>
      <c r="BN60" s="17"/>
      <c r="BO60" s="17"/>
      <c r="BP60" s="17"/>
      <c r="BQ60" s="17"/>
      <c r="BR60" s="17"/>
      <c r="BS60" s="17"/>
      <c r="BT60" s="17"/>
      <c r="BU60" s="17"/>
      <c r="BV60" s="17"/>
      <c r="BW60" s="17"/>
      <c r="BX60" s="17"/>
      <c r="BY60" s="17"/>
      <c r="BZ60" s="17"/>
      <c r="CA60" s="17"/>
      <c r="CB60" s="17"/>
      <c r="CC60" s="17"/>
      <c r="CD60" s="17"/>
    </row>
    <row r="61" spans="1:82" s="1" customFormat="1" ht="42.75" customHeight="1" x14ac:dyDescent="0.25">
      <c r="A61" s="373"/>
      <c r="B61" s="364"/>
      <c r="C61" s="348"/>
      <c r="D61" s="339"/>
      <c r="E61" s="348"/>
      <c r="F61" s="348"/>
      <c r="G61" s="327"/>
      <c r="H61" s="327"/>
      <c r="I61" s="327"/>
      <c r="J61" s="327"/>
      <c r="K61" s="327"/>
      <c r="L61" s="327"/>
      <c r="M61" s="327"/>
      <c r="N61" s="327"/>
      <c r="O61" s="96" t="str">
        <f t="shared" si="23"/>
        <v>Evaluación de adherencia de protocolos y procedimientos</v>
      </c>
      <c r="P61" s="78" t="str">
        <f t="shared" si="23"/>
        <v>Semestral</v>
      </c>
      <c r="Q61" s="97" t="s">
        <v>102</v>
      </c>
      <c r="R61" s="97" t="str">
        <f t="shared" si="24"/>
        <v>Mayo-Agosto</v>
      </c>
      <c r="S61" s="97" t="str">
        <f>+'FT-Mapa de riesgos'!X33</f>
        <v>Septiembre-Diciembre</v>
      </c>
      <c r="T61" s="97" t="str">
        <f>+'FT-Mapa de riesgos'!Y33</f>
        <v>N/A</v>
      </c>
      <c r="U61" s="97">
        <f t="shared" si="26"/>
        <v>1</v>
      </c>
      <c r="V61" s="97" t="str">
        <f t="shared" si="27"/>
        <v>Si</v>
      </c>
      <c r="W61" s="96" t="str">
        <f t="shared" si="31"/>
        <v xml:space="preserve"> </v>
      </c>
      <c r="X61" s="139" t="str">
        <f t="shared" si="31"/>
        <v xml:space="preserve"> </v>
      </c>
      <c r="Y61" s="134" t="str">
        <f t="shared" si="28"/>
        <v xml:space="preserve"> </v>
      </c>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row>
    <row r="62" spans="1:82" s="1" customFormat="1" ht="42.75" customHeight="1" thickBot="1" x14ac:dyDescent="0.3">
      <c r="A62" s="373"/>
      <c r="B62" s="365"/>
      <c r="C62" s="348"/>
      <c r="D62" s="344"/>
      <c r="E62" s="348"/>
      <c r="F62" s="348"/>
      <c r="G62" s="327"/>
      <c r="H62" s="327"/>
      <c r="I62" s="327"/>
      <c r="J62" s="327"/>
      <c r="K62" s="327"/>
      <c r="L62" s="327"/>
      <c r="M62" s="327"/>
      <c r="N62" s="327"/>
      <c r="O62" s="96" t="str">
        <f t="shared" si="23"/>
        <v/>
      </c>
      <c r="P62" s="78" t="str">
        <f t="shared" si="23"/>
        <v/>
      </c>
      <c r="Q62" s="97" t="s">
        <v>102</v>
      </c>
      <c r="R62" s="97" t="str">
        <f t="shared" si="24"/>
        <v/>
      </c>
      <c r="S62" s="97">
        <f>+'FT-Mapa de riesgos'!X34</f>
        <v>0</v>
      </c>
      <c r="T62" s="97">
        <f>+'FT-Mapa de riesgos'!Y34</f>
        <v>0</v>
      </c>
      <c r="U62" s="97">
        <f t="shared" si="26"/>
        <v>0</v>
      </c>
      <c r="V62" s="97" t="str">
        <f t="shared" si="27"/>
        <v>No</v>
      </c>
      <c r="W62" s="96" t="str">
        <f t="shared" si="31"/>
        <v>No</v>
      </c>
      <c r="X62" s="139" t="str">
        <f t="shared" si="31"/>
        <v>No</v>
      </c>
      <c r="Y62" s="134" t="str">
        <f t="shared" si="28"/>
        <v xml:space="preserve"> </v>
      </c>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7"/>
      <c r="BD62" s="17"/>
      <c r="BE62" s="17"/>
      <c r="BF62" s="17"/>
      <c r="BG62" s="17"/>
      <c r="BH62" s="17"/>
      <c r="BI62" s="17"/>
      <c r="BJ62" s="17"/>
      <c r="BK62" s="17"/>
      <c r="BL62" s="17"/>
      <c r="BM62" s="17"/>
      <c r="BN62" s="17"/>
      <c r="BO62" s="17"/>
      <c r="BP62" s="17"/>
      <c r="BQ62" s="17"/>
      <c r="BR62" s="17"/>
      <c r="BS62" s="17"/>
      <c r="BT62" s="17"/>
      <c r="BU62" s="17"/>
      <c r="BV62" s="17"/>
      <c r="BW62" s="17"/>
      <c r="BX62" s="17"/>
      <c r="BY62" s="17"/>
      <c r="BZ62" s="17"/>
      <c r="CA62" s="17"/>
      <c r="CB62" s="17"/>
      <c r="CC62" s="17"/>
      <c r="CD62" s="17"/>
    </row>
    <row r="63" spans="1:82" s="1" customFormat="1" ht="42.75" customHeight="1" x14ac:dyDescent="0.25">
      <c r="A63" s="373"/>
      <c r="B63" s="364" t="str">
        <f>+IF($A$79=$X$45,'FT-Mapa de riesgos'!B35,"")</f>
        <v/>
      </c>
      <c r="C63" s="344" t="str">
        <f>+IF(B63=6,'FT-Mapa de riesgos'!C35,"")</f>
        <v/>
      </c>
      <c r="D63" s="338" t="str">
        <f t="shared" ref="D63" si="38">+IF(B63=1,1,"NA")</f>
        <v>NA</v>
      </c>
      <c r="E63" s="344" t="str">
        <f>+IF(B63=6,'FT-Mapa de riesgos'!E35,"")</f>
        <v/>
      </c>
      <c r="F63" s="348"/>
      <c r="G63" s="337" t="str">
        <f t="shared" ref="G63" si="39">IF($F63="","No",IF($F63="No","No"," "))</f>
        <v>No</v>
      </c>
      <c r="H63" s="337" t="str">
        <f t="shared" si="30"/>
        <v>No</v>
      </c>
      <c r="I63" s="337" t="str">
        <f t="shared" si="30"/>
        <v>No</v>
      </c>
      <c r="J63" s="337" t="str">
        <f t="shared" si="30"/>
        <v>No</v>
      </c>
      <c r="K63" s="337" t="str">
        <f t="shared" si="30"/>
        <v>No</v>
      </c>
      <c r="L63" s="337" t="str">
        <f t="shared" si="30"/>
        <v>No</v>
      </c>
      <c r="M63" s="337" t="str">
        <f t="shared" si="30"/>
        <v>No</v>
      </c>
      <c r="N63" s="337" t="str">
        <f t="shared" si="30"/>
        <v>No</v>
      </c>
      <c r="O63" s="96" t="str">
        <f t="shared" si="23"/>
        <v>Verificación de las características del  estado de los dispositivos médicos para el correcto uso de los mismos</v>
      </c>
      <c r="P63" s="78" t="str">
        <f t="shared" si="23"/>
        <v>Permanente</v>
      </c>
      <c r="Q63" s="97" t="s">
        <v>102</v>
      </c>
      <c r="R63" s="97" t="str">
        <f t="shared" si="24"/>
        <v>Enero-Abril</v>
      </c>
      <c r="S63" s="97" t="str">
        <f>+'FT-Mapa de riesgos'!X35</f>
        <v>Mayo-Agosto</v>
      </c>
      <c r="T63" s="97" t="str">
        <f>+'FT-Mapa de riesgos'!Y35</f>
        <v>Septiembre-Diciembre</v>
      </c>
      <c r="U63" s="97">
        <f t="shared" si="26"/>
        <v>1</v>
      </c>
      <c r="V63" s="97" t="str">
        <f t="shared" si="27"/>
        <v>Si</v>
      </c>
      <c r="W63" s="96" t="str">
        <f t="shared" si="31"/>
        <v xml:space="preserve"> </v>
      </c>
      <c r="X63" s="139" t="str">
        <f t="shared" si="31"/>
        <v xml:space="preserve"> </v>
      </c>
      <c r="Y63" s="134" t="str">
        <f t="shared" si="28"/>
        <v xml:space="preserve"> </v>
      </c>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7"/>
      <c r="BD63" s="17"/>
      <c r="BE63" s="17"/>
      <c r="BF63" s="17"/>
      <c r="BG63" s="17"/>
      <c r="BH63" s="17"/>
      <c r="BI63" s="17"/>
      <c r="BJ63" s="17"/>
      <c r="BK63" s="17"/>
      <c r="BL63" s="17"/>
      <c r="BM63" s="17"/>
      <c r="BN63" s="17"/>
      <c r="BO63" s="17"/>
      <c r="BP63" s="17"/>
      <c r="BQ63" s="17"/>
      <c r="BR63" s="17"/>
      <c r="BS63" s="17"/>
      <c r="BT63" s="17"/>
      <c r="BU63" s="17"/>
      <c r="BV63" s="17"/>
      <c r="BW63" s="17"/>
      <c r="BX63" s="17"/>
      <c r="BY63" s="17"/>
      <c r="BZ63" s="17"/>
      <c r="CA63" s="17"/>
      <c r="CB63" s="17"/>
      <c r="CC63" s="17"/>
      <c r="CD63" s="17"/>
    </row>
    <row r="64" spans="1:82" s="1" customFormat="1" ht="42.75" customHeight="1" x14ac:dyDescent="0.25">
      <c r="A64" s="373"/>
      <c r="B64" s="364"/>
      <c r="C64" s="348"/>
      <c r="D64" s="339"/>
      <c r="E64" s="348"/>
      <c r="F64" s="348"/>
      <c r="G64" s="327"/>
      <c r="H64" s="327"/>
      <c r="I64" s="327"/>
      <c r="J64" s="327"/>
      <c r="K64" s="327"/>
      <c r="L64" s="327"/>
      <c r="M64" s="327"/>
      <c r="N64" s="327"/>
      <c r="O64" s="96" t="str">
        <f t="shared" si="23"/>
        <v>Evaluación de adherencia de protocolos y procedimientos</v>
      </c>
      <c r="P64" s="78" t="str">
        <f t="shared" si="23"/>
        <v>Semestral</v>
      </c>
      <c r="Q64" s="97" t="s">
        <v>102</v>
      </c>
      <c r="R64" s="97" t="str">
        <f t="shared" si="24"/>
        <v>Mayo-Agosto</v>
      </c>
      <c r="S64" s="97" t="str">
        <f>+'FT-Mapa de riesgos'!X36</f>
        <v>Septiembre-Diciembre</v>
      </c>
      <c r="T64" s="97" t="str">
        <f>+'FT-Mapa de riesgos'!Y36</f>
        <v>N/A</v>
      </c>
      <c r="U64" s="97">
        <f t="shared" si="26"/>
        <v>1</v>
      </c>
      <c r="V64" s="97" t="str">
        <f t="shared" si="27"/>
        <v>Si</v>
      </c>
      <c r="W64" s="96" t="str">
        <f t="shared" si="31"/>
        <v xml:space="preserve"> </v>
      </c>
      <c r="X64" s="139" t="str">
        <f t="shared" si="31"/>
        <v xml:space="preserve"> </v>
      </c>
      <c r="Y64" s="134" t="str">
        <f t="shared" si="28"/>
        <v xml:space="preserve"> </v>
      </c>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7"/>
      <c r="BD64" s="17"/>
      <c r="BE64" s="17"/>
      <c r="BF64" s="17"/>
      <c r="BG64" s="17"/>
      <c r="BH64" s="17"/>
      <c r="BI64" s="17"/>
      <c r="BJ64" s="17"/>
      <c r="BK64" s="17"/>
      <c r="BL64" s="17"/>
      <c r="BM64" s="17"/>
      <c r="BN64" s="17"/>
      <c r="BO64" s="17"/>
      <c r="BP64" s="17"/>
      <c r="BQ64" s="17"/>
      <c r="BR64" s="17"/>
      <c r="BS64" s="17"/>
      <c r="BT64" s="17"/>
      <c r="BU64" s="17"/>
      <c r="BV64" s="17"/>
      <c r="BW64" s="17"/>
      <c r="BX64" s="17"/>
      <c r="BY64" s="17"/>
      <c r="BZ64" s="17"/>
      <c r="CA64" s="17"/>
      <c r="CB64" s="17"/>
      <c r="CC64" s="17"/>
      <c r="CD64" s="17"/>
    </row>
    <row r="65" spans="1:82" s="1" customFormat="1" ht="42.75" customHeight="1" thickBot="1" x14ac:dyDescent="0.3">
      <c r="A65" s="373"/>
      <c r="B65" s="365"/>
      <c r="C65" s="348"/>
      <c r="D65" s="344"/>
      <c r="E65" s="348"/>
      <c r="F65" s="348"/>
      <c r="G65" s="327"/>
      <c r="H65" s="327"/>
      <c r="I65" s="327"/>
      <c r="J65" s="327"/>
      <c r="K65" s="327"/>
      <c r="L65" s="327"/>
      <c r="M65" s="327"/>
      <c r="N65" s="327"/>
      <c r="O65" s="96" t="str">
        <f t="shared" si="23"/>
        <v>Inspección de las condiciones de cerramiento en caso de obras y mantenimientos</v>
      </c>
      <c r="P65" s="78" t="str">
        <f t="shared" si="23"/>
        <v>Permanente</v>
      </c>
      <c r="Q65" s="97" t="s">
        <v>102</v>
      </c>
      <c r="R65" s="97" t="str">
        <f t="shared" si="24"/>
        <v>Enero-Abril</v>
      </c>
      <c r="S65" s="97" t="str">
        <f>+'FT-Mapa de riesgos'!X37</f>
        <v>Mayo-Agosto</v>
      </c>
      <c r="T65" s="97" t="str">
        <f>+'FT-Mapa de riesgos'!Y37</f>
        <v>Septiembre-Diciembre</v>
      </c>
      <c r="U65" s="97">
        <f t="shared" si="26"/>
        <v>1</v>
      </c>
      <c r="V65" s="97" t="str">
        <f t="shared" si="27"/>
        <v>Si</v>
      </c>
      <c r="W65" s="96" t="str">
        <f t="shared" si="31"/>
        <v xml:space="preserve"> </v>
      </c>
      <c r="X65" s="139" t="str">
        <f t="shared" si="31"/>
        <v xml:space="preserve"> </v>
      </c>
      <c r="Y65" s="134" t="str">
        <f t="shared" si="28"/>
        <v xml:space="preserve"> </v>
      </c>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7"/>
      <c r="BD65" s="17"/>
      <c r="BE65" s="17"/>
      <c r="BF65" s="17"/>
      <c r="BG65" s="17"/>
      <c r="BH65" s="17"/>
      <c r="BI65" s="17"/>
      <c r="BJ65" s="17"/>
      <c r="BK65" s="17"/>
      <c r="BL65" s="17"/>
      <c r="BM65" s="17"/>
      <c r="BN65" s="17"/>
      <c r="BO65" s="17"/>
      <c r="BP65" s="17"/>
      <c r="BQ65" s="17"/>
      <c r="BR65" s="17"/>
      <c r="BS65" s="17"/>
      <c r="BT65" s="17"/>
      <c r="BU65" s="17"/>
      <c r="BV65" s="17"/>
      <c r="BW65" s="17"/>
      <c r="BX65" s="17"/>
      <c r="BY65" s="17"/>
      <c r="BZ65" s="17"/>
      <c r="CA65" s="17"/>
      <c r="CB65" s="17"/>
      <c r="CC65" s="17"/>
      <c r="CD65" s="17"/>
    </row>
    <row r="66" spans="1:82" s="1" customFormat="1" ht="42.75" customHeight="1" x14ac:dyDescent="0.25">
      <c r="A66" s="373"/>
      <c r="B66" s="364" t="str">
        <f>+IF($A$79=$X$45,'FT-Mapa de riesgos'!B38,"")</f>
        <v/>
      </c>
      <c r="C66" s="344" t="str">
        <f>+IF(B66=7,'FT-Mapa de riesgos'!C38,"")</f>
        <v/>
      </c>
      <c r="D66" s="338" t="str">
        <f t="shared" ref="D66" si="40">+IF(B66=1,1,"NA")</f>
        <v>NA</v>
      </c>
      <c r="E66" s="344" t="str">
        <f>+IF(B66=7,'FT-Mapa de riesgos'!E38,"")</f>
        <v/>
      </c>
      <c r="F66" s="348"/>
      <c r="G66" s="337" t="str">
        <f t="shared" ref="G66" si="41">IF($F66="","No",IF($F66="No","No"," "))</f>
        <v>No</v>
      </c>
      <c r="H66" s="337" t="str">
        <f t="shared" si="30"/>
        <v>No</v>
      </c>
      <c r="I66" s="337" t="str">
        <f t="shared" si="30"/>
        <v>No</v>
      </c>
      <c r="J66" s="337" t="str">
        <f t="shared" si="30"/>
        <v>No</v>
      </c>
      <c r="K66" s="337" t="str">
        <f t="shared" si="30"/>
        <v>No</v>
      </c>
      <c r="L66" s="337" t="str">
        <f t="shared" si="30"/>
        <v>No</v>
      </c>
      <c r="M66" s="337" t="str">
        <f t="shared" si="30"/>
        <v>No</v>
      </c>
      <c r="N66" s="337" t="str">
        <f t="shared" si="30"/>
        <v>No</v>
      </c>
      <c r="O66" s="96" t="str">
        <f t="shared" si="23"/>
        <v>Evaluación de adherencia de protocolos y procedimientos</v>
      </c>
      <c r="P66" s="78" t="str">
        <f t="shared" si="23"/>
        <v>Permanente</v>
      </c>
      <c r="Q66" s="97" t="s">
        <v>102</v>
      </c>
      <c r="R66" s="97" t="str">
        <f t="shared" si="24"/>
        <v>Enero-Abril</v>
      </c>
      <c r="S66" s="97" t="str">
        <f>+'FT-Mapa de riesgos'!X38</f>
        <v>Mayo-Agosto</v>
      </c>
      <c r="T66" s="97" t="str">
        <f>+'FT-Mapa de riesgos'!Y38</f>
        <v>Septiembre-Diciembre</v>
      </c>
      <c r="U66" s="97">
        <f t="shared" si="26"/>
        <v>1</v>
      </c>
      <c r="V66" s="97" t="str">
        <f t="shared" si="27"/>
        <v>Si</v>
      </c>
      <c r="W66" s="96" t="str">
        <f t="shared" si="31"/>
        <v xml:space="preserve"> </v>
      </c>
      <c r="X66" s="139" t="str">
        <f t="shared" si="31"/>
        <v xml:space="preserve"> </v>
      </c>
      <c r="Y66" s="134" t="str">
        <f t="shared" si="28"/>
        <v xml:space="preserve"> </v>
      </c>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7"/>
      <c r="BD66" s="17"/>
      <c r="BE66" s="17"/>
      <c r="BF66" s="17"/>
      <c r="BG66" s="17"/>
      <c r="BH66" s="17"/>
      <c r="BI66" s="17"/>
      <c r="BJ66" s="17"/>
      <c r="BK66" s="17"/>
      <c r="BL66" s="17"/>
      <c r="BM66" s="17"/>
      <c r="BN66" s="17"/>
      <c r="BO66" s="17"/>
      <c r="BP66" s="17"/>
      <c r="BQ66" s="17"/>
      <c r="BR66" s="17"/>
      <c r="BS66" s="17"/>
      <c r="BT66" s="17"/>
      <c r="BU66" s="17"/>
      <c r="BV66" s="17"/>
      <c r="BW66" s="17"/>
      <c r="BX66" s="17"/>
      <c r="BY66" s="17"/>
      <c r="BZ66" s="17"/>
      <c r="CA66" s="17"/>
      <c r="CB66" s="17"/>
      <c r="CC66" s="17"/>
      <c r="CD66" s="17"/>
    </row>
    <row r="67" spans="1:82" s="1" customFormat="1" ht="42.75" customHeight="1" x14ac:dyDescent="0.25">
      <c r="A67" s="373"/>
      <c r="B67" s="364"/>
      <c r="C67" s="348"/>
      <c r="D67" s="339"/>
      <c r="E67" s="348"/>
      <c r="F67" s="348"/>
      <c r="G67" s="327"/>
      <c r="H67" s="327"/>
      <c r="I67" s="327"/>
      <c r="J67" s="327"/>
      <c r="K67" s="327"/>
      <c r="L67" s="327"/>
      <c r="M67" s="327"/>
      <c r="N67" s="327"/>
      <c r="O67" s="96" t="str">
        <f t="shared" si="23"/>
        <v>Evaluación de adherencia de protocolos y procedimientos</v>
      </c>
      <c r="P67" s="78" t="str">
        <f t="shared" si="23"/>
        <v>Permanente</v>
      </c>
      <c r="Q67" s="97" t="s">
        <v>102</v>
      </c>
      <c r="R67" s="97" t="str">
        <f t="shared" si="24"/>
        <v>Enero-Abril</v>
      </c>
      <c r="S67" s="97" t="str">
        <f>+'FT-Mapa de riesgos'!X39</f>
        <v>Mayo-Agosto</v>
      </c>
      <c r="T67" s="97" t="str">
        <f>+'FT-Mapa de riesgos'!Y39</f>
        <v>Septiembre-Diciembre</v>
      </c>
      <c r="U67" s="97">
        <f t="shared" si="26"/>
        <v>1</v>
      </c>
      <c r="V67" s="97" t="str">
        <f t="shared" si="27"/>
        <v>Si</v>
      </c>
      <c r="W67" s="96" t="str">
        <f t="shared" si="31"/>
        <v xml:space="preserve"> </v>
      </c>
      <c r="X67" s="139" t="str">
        <f t="shared" si="31"/>
        <v xml:space="preserve"> </v>
      </c>
      <c r="Y67" s="134" t="str">
        <f t="shared" si="28"/>
        <v xml:space="preserve"> </v>
      </c>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7"/>
      <c r="BD67" s="17"/>
      <c r="BE67" s="17"/>
      <c r="BF67" s="17"/>
      <c r="BG67" s="17"/>
      <c r="BH67" s="17"/>
      <c r="BI67" s="17"/>
      <c r="BJ67" s="17"/>
      <c r="BK67" s="17"/>
      <c r="BL67" s="17"/>
      <c r="BM67" s="17"/>
      <c r="BN67" s="17"/>
      <c r="BO67" s="17"/>
      <c r="BP67" s="17"/>
      <c r="BQ67" s="17"/>
      <c r="BR67" s="17"/>
      <c r="BS67" s="17"/>
      <c r="BT67" s="17"/>
      <c r="BU67" s="17"/>
      <c r="BV67" s="17"/>
      <c r="BW67" s="17"/>
      <c r="BX67" s="17"/>
      <c r="BY67" s="17"/>
      <c r="BZ67" s="17"/>
      <c r="CA67" s="17"/>
      <c r="CB67" s="17"/>
      <c r="CC67" s="17"/>
      <c r="CD67" s="17"/>
    </row>
    <row r="68" spans="1:82" s="1" customFormat="1" ht="42.75" customHeight="1" thickBot="1" x14ac:dyDescent="0.3">
      <c r="A68" s="373"/>
      <c r="B68" s="365"/>
      <c r="C68" s="348"/>
      <c r="D68" s="344"/>
      <c r="E68" s="348"/>
      <c r="F68" s="348"/>
      <c r="G68" s="327"/>
      <c r="H68" s="327"/>
      <c r="I68" s="327"/>
      <c r="J68" s="327"/>
      <c r="K68" s="327"/>
      <c r="L68" s="327"/>
      <c r="M68" s="327"/>
      <c r="N68" s="327"/>
      <c r="O68" s="96" t="str">
        <f t="shared" si="23"/>
        <v/>
      </c>
      <c r="P68" s="78" t="str">
        <f t="shared" si="23"/>
        <v/>
      </c>
      <c r="Q68" s="97" t="s">
        <v>102</v>
      </c>
      <c r="R68" s="97" t="str">
        <f t="shared" si="24"/>
        <v/>
      </c>
      <c r="S68" s="97">
        <f>+'FT-Mapa de riesgos'!X40</f>
        <v>0</v>
      </c>
      <c r="T68" s="97">
        <f>+'FT-Mapa de riesgos'!Y40</f>
        <v>0</v>
      </c>
      <c r="U68" s="97">
        <f t="shared" si="26"/>
        <v>0</v>
      </c>
      <c r="V68" s="97" t="str">
        <f t="shared" si="27"/>
        <v>No</v>
      </c>
      <c r="W68" s="96" t="str">
        <f t="shared" si="31"/>
        <v>No</v>
      </c>
      <c r="X68" s="139" t="str">
        <f t="shared" si="31"/>
        <v>No</v>
      </c>
      <c r="Y68" s="134" t="str">
        <f t="shared" si="28"/>
        <v xml:space="preserve"> </v>
      </c>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7"/>
      <c r="BD68" s="17"/>
      <c r="BE68" s="17"/>
      <c r="BF68" s="17"/>
      <c r="BG68" s="17"/>
      <c r="BH68" s="17"/>
      <c r="BI68" s="17"/>
      <c r="BJ68" s="17"/>
      <c r="BK68" s="17"/>
      <c r="BL68" s="17"/>
      <c r="BM68" s="17"/>
      <c r="BN68" s="17"/>
      <c r="BO68" s="17"/>
      <c r="BP68" s="17"/>
      <c r="BQ68" s="17"/>
      <c r="BR68" s="17"/>
      <c r="BS68" s="17"/>
      <c r="BT68" s="17"/>
      <c r="BU68" s="17"/>
      <c r="BV68" s="17"/>
      <c r="BW68" s="17"/>
      <c r="BX68" s="17"/>
      <c r="BY68" s="17"/>
      <c r="BZ68" s="17"/>
      <c r="CA68" s="17"/>
      <c r="CB68" s="17"/>
      <c r="CC68" s="17"/>
      <c r="CD68" s="17"/>
    </row>
    <row r="69" spans="1:82" s="1" customFormat="1" ht="42.75" customHeight="1" x14ac:dyDescent="0.25">
      <c r="A69" s="373"/>
      <c r="B69" s="364" t="str">
        <f>+IF($A$79=$X$45,'FT-Mapa de riesgos'!B41,"")</f>
        <v/>
      </c>
      <c r="C69" s="344" t="str">
        <f>+IF(B69=8,'FT-Mapa de riesgos'!C41,"")</f>
        <v/>
      </c>
      <c r="D69" s="338" t="str">
        <f t="shared" ref="D69" si="42">+IF(B69=1,1,"NA")</f>
        <v>NA</v>
      </c>
      <c r="E69" s="344" t="str">
        <f>+IF(B69=8,'FT-Mapa de riesgos'!E41,"")</f>
        <v/>
      </c>
      <c r="F69" s="348"/>
      <c r="G69" s="337" t="str">
        <f t="shared" ref="G69" si="43">IF($F69="","No",IF($F69="No","No"," "))</f>
        <v>No</v>
      </c>
      <c r="H69" s="337" t="str">
        <f t="shared" si="30"/>
        <v>No</v>
      </c>
      <c r="I69" s="337" t="str">
        <f t="shared" si="30"/>
        <v>No</v>
      </c>
      <c r="J69" s="337" t="str">
        <f t="shared" si="30"/>
        <v>No</v>
      </c>
      <c r="K69" s="337" t="str">
        <f t="shared" si="30"/>
        <v>No</v>
      </c>
      <c r="L69" s="337" t="str">
        <f t="shared" si="30"/>
        <v>No</v>
      </c>
      <c r="M69" s="337" t="str">
        <f t="shared" si="30"/>
        <v>No</v>
      </c>
      <c r="N69" s="337" t="str">
        <f t="shared" si="30"/>
        <v>No</v>
      </c>
      <c r="O69" s="96" t="str">
        <f t="shared" si="23"/>
        <v>Monitoreo de asignación de citas</v>
      </c>
      <c r="P69" s="78" t="str">
        <f t="shared" si="23"/>
        <v>Permanente</v>
      </c>
      <c r="Q69" s="97" t="s">
        <v>102</v>
      </c>
      <c r="R69" s="97" t="str">
        <f t="shared" si="24"/>
        <v>Enero-Abril</v>
      </c>
      <c r="S69" s="97" t="str">
        <f>+'FT-Mapa de riesgos'!X41</f>
        <v>Mayo-Agosto</v>
      </c>
      <c r="T69" s="97" t="str">
        <f>+'FT-Mapa de riesgos'!Y41</f>
        <v>Septiembre-Diciembre</v>
      </c>
      <c r="U69" s="97">
        <f t="shared" si="26"/>
        <v>1</v>
      </c>
      <c r="V69" s="97" t="str">
        <f t="shared" si="27"/>
        <v>Si</v>
      </c>
      <c r="W69" s="96" t="str">
        <f t="shared" si="31"/>
        <v xml:space="preserve"> </v>
      </c>
      <c r="X69" s="139" t="str">
        <f t="shared" si="31"/>
        <v xml:space="preserve"> </v>
      </c>
      <c r="Y69" s="134" t="str">
        <f t="shared" si="28"/>
        <v xml:space="preserve"> </v>
      </c>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7"/>
      <c r="BD69" s="17"/>
      <c r="BE69" s="17"/>
      <c r="BF69" s="17"/>
      <c r="BG69" s="17"/>
      <c r="BH69" s="17"/>
      <c r="BI69" s="17"/>
      <c r="BJ69" s="17"/>
      <c r="BK69" s="17"/>
      <c r="BL69" s="17"/>
      <c r="BM69" s="17"/>
      <c r="BN69" s="17"/>
      <c r="BO69" s="17"/>
      <c r="BP69" s="17"/>
      <c r="BQ69" s="17"/>
      <c r="BR69" s="17"/>
      <c r="BS69" s="17"/>
      <c r="BT69" s="17"/>
      <c r="BU69" s="17"/>
      <c r="BV69" s="17"/>
      <c r="BW69" s="17"/>
      <c r="BX69" s="17"/>
      <c r="BY69" s="17"/>
      <c r="BZ69" s="17"/>
      <c r="CA69" s="17"/>
      <c r="CB69" s="17"/>
      <c r="CC69" s="17"/>
      <c r="CD69" s="17"/>
    </row>
    <row r="70" spans="1:82" s="1" customFormat="1" ht="42.75" customHeight="1" x14ac:dyDescent="0.25">
      <c r="A70" s="373"/>
      <c r="B70" s="364"/>
      <c r="C70" s="348"/>
      <c r="D70" s="339"/>
      <c r="E70" s="348"/>
      <c r="F70" s="348"/>
      <c r="G70" s="327"/>
      <c r="H70" s="327"/>
      <c r="I70" s="327"/>
      <c r="J70" s="327"/>
      <c r="K70" s="327"/>
      <c r="L70" s="327"/>
      <c r="M70" s="327"/>
      <c r="N70" s="327"/>
      <c r="O70" s="96" t="str">
        <f t="shared" si="23"/>
        <v/>
      </c>
      <c r="P70" s="78" t="str">
        <f t="shared" si="23"/>
        <v/>
      </c>
      <c r="Q70" s="97" t="s">
        <v>102</v>
      </c>
      <c r="R70" s="97" t="str">
        <f t="shared" si="24"/>
        <v/>
      </c>
      <c r="S70" s="97">
        <f>+'FT-Mapa de riesgos'!X42</f>
        <v>0</v>
      </c>
      <c r="T70" s="97">
        <f>+'FT-Mapa de riesgos'!Y42</f>
        <v>0</v>
      </c>
      <c r="U70" s="97">
        <f t="shared" si="26"/>
        <v>0</v>
      </c>
      <c r="V70" s="97" t="str">
        <f t="shared" si="27"/>
        <v>No</v>
      </c>
      <c r="W70" s="96" t="str">
        <f t="shared" si="31"/>
        <v>No</v>
      </c>
      <c r="X70" s="139" t="str">
        <f t="shared" si="31"/>
        <v>No</v>
      </c>
      <c r="Y70" s="134" t="str">
        <f t="shared" si="28"/>
        <v xml:space="preserve"> </v>
      </c>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7"/>
      <c r="BD70" s="17"/>
      <c r="BE70" s="17"/>
      <c r="BF70" s="17"/>
      <c r="BG70" s="17"/>
      <c r="BH70" s="17"/>
      <c r="BI70" s="17"/>
      <c r="BJ70" s="17"/>
      <c r="BK70" s="17"/>
      <c r="BL70" s="17"/>
      <c r="BM70" s="17"/>
      <c r="BN70" s="17"/>
      <c r="BO70" s="17"/>
      <c r="BP70" s="17"/>
      <c r="BQ70" s="17"/>
      <c r="BR70" s="17"/>
      <c r="BS70" s="17"/>
      <c r="BT70" s="17"/>
      <c r="BU70" s="17"/>
      <c r="BV70" s="17"/>
      <c r="BW70" s="17"/>
      <c r="BX70" s="17"/>
      <c r="BY70" s="17"/>
      <c r="BZ70" s="17"/>
      <c r="CA70" s="17"/>
      <c r="CB70" s="17"/>
      <c r="CC70" s="17"/>
      <c r="CD70" s="17"/>
    </row>
    <row r="71" spans="1:82" s="1" customFormat="1" ht="42.75" customHeight="1" thickBot="1" x14ac:dyDescent="0.3">
      <c r="A71" s="373"/>
      <c r="B71" s="365"/>
      <c r="C71" s="348"/>
      <c r="D71" s="344"/>
      <c r="E71" s="348"/>
      <c r="F71" s="348"/>
      <c r="G71" s="327"/>
      <c r="H71" s="327"/>
      <c r="I71" s="327"/>
      <c r="J71" s="327"/>
      <c r="K71" s="327"/>
      <c r="L71" s="327"/>
      <c r="M71" s="327"/>
      <c r="N71" s="327"/>
      <c r="O71" s="96" t="str">
        <f t="shared" si="23"/>
        <v/>
      </c>
      <c r="P71" s="78" t="str">
        <f t="shared" si="23"/>
        <v/>
      </c>
      <c r="Q71" s="97" t="s">
        <v>102</v>
      </c>
      <c r="R71" s="97" t="str">
        <f t="shared" si="24"/>
        <v/>
      </c>
      <c r="S71" s="97">
        <f>+'FT-Mapa de riesgos'!X43</f>
        <v>0</v>
      </c>
      <c r="T71" s="97">
        <f>+'FT-Mapa de riesgos'!Y43</f>
        <v>0</v>
      </c>
      <c r="U71" s="97">
        <f t="shared" si="26"/>
        <v>0</v>
      </c>
      <c r="V71" s="97" t="str">
        <f t="shared" si="27"/>
        <v>No</v>
      </c>
      <c r="W71" s="96" t="str">
        <f t="shared" si="31"/>
        <v>No</v>
      </c>
      <c r="X71" s="139" t="str">
        <f t="shared" si="31"/>
        <v>No</v>
      </c>
      <c r="Y71" s="134" t="str">
        <f t="shared" si="28"/>
        <v xml:space="preserve"> </v>
      </c>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7"/>
      <c r="BD71" s="17"/>
      <c r="BE71" s="17"/>
      <c r="BF71" s="17"/>
      <c r="BG71" s="17"/>
      <c r="BH71" s="17"/>
      <c r="BI71" s="17"/>
      <c r="BJ71" s="17"/>
      <c r="BK71" s="17"/>
      <c r="BL71" s="17"/>
      <c r="BM71" s="17"/>
      <c r="BN71" s="17"/>
      <c r="BO71" s="17"/>
      <c r="BP71" s="17"/>
      <c r="BQ71" s="17"/>
      <c r="BR71" s="17"/>
      <c r="BS71" s="17"/>
      <c r="BT71" s="17"/>
      <c r="BU71" s="17"/>
      <c r="BV71" s="17"/>
      <c r="BW71" s="17"/>
      <c r="BX71" s="17"/>
      <c r="BY71" s="17"/>
      <c r="BZ71" s="17"/>
      <c r="CA71" s="17"/>
      <c r="CB71" s="17"/>
      <c r="CC71" s="17"/>
      <c r="CD71" s="17"/>
    </row>
    <row r="72" spans="1:82" s="1" customFormat="1" ht="42.75" customHeight="1" x14ac:dyDescent="0.25">
      <c r="A72" s="373"/>
      <c r="B72" s="364" t="str">
        <f>+IF($A$79=$X$45,'FT-Mapa de riesgos'!B80,"")</f>
        <v/>
      </c>
      <c r="C72" s="344" t="str">
        <f>+IF(B72=9,'FT-Mapa de riesgos'!C80,"")</f>
        <v/>
      </c>
      <c r="D72" s="338" t="str">
        <f t="shared" ref="D72" si="44">+IF(B72=1,1,"NA")</f>
        <v>NA</v>
      </c>
      <c r="E72" s="344" t="str">
        <f>+IF(B72=8,'FT-Mapa de riesgos'!E80,"")</f>
        <v/>
      </c>
      <c r="F72" s="352"/>
      <c r="G72" s="337" t="str">
        <f t="shared" ref="G72" si="45">IF($F72="","No",IF($F72="No","No"," "))</f>
        <v>No</v>
      </c>
      <c r="H72" s="337" t="str">
        <f t="shared" si="30"/>
        <v>No</v>
      </c>
      <c r="I72" s="337" t="str">
        <f t="shared" si="30"/>
        <v>No</v>
      </c>
      <c r="J72" s="337" t="str">
        <f t="shared" si="30"/>
        <v>No</v>
      </c>
      <c r="K72" s="337" t="str">
        <f t="shared" si="30"/>
        <v>No</v>
      </c>
      <c r="L72" s="337" t="str">
        <f t="shared" si="30"/>
        <v>No</v>
      </c>
      <c r="M72" s="337" t="str">
        <f t="shared" si="30"/>
        <v>No</v>
      </c>
      <c r="N72" s="337" t="str">
        <f t="shared" si="30"/>
        <v>No</v>
      </c>
      <c r="O72" s="96" t="str">
        <f t="shared" si="23"/>
        <v>Verificación de experiencia en docencia</v>
      </c>
      <c r="P72" s="78" t="str">
        <f t="shared" si="23"/>
        <v>Anual</v>
      </c>
      <c r="Q72" s="97" t="s">
        <v>102</v>
      </c>
      <c r="R72" s="97" t="str">
        <f t="shared" si="24"/>
        <v>N/A</v>
      </c>
      <c r="S72" s="97" t="str">
        <f>+'FT-Mapa de riesgos'!X80</f>
        <v>N/A</v>
      </c>
      <c r="T72" s="97" t="str">
        <f>+'FT-Mapa de riesgos'!Y80</f>
        <v>Septiembre-Diciembre</v>
      </c>
      <c r="U72" s="97">
        <f t="shared" si="26"/>
        <v>0</v>
      </c>
      <c r="V72" s="97" t="str">
        <f t="shared" si="27"/>
        <v>No</v>
      </c>
      <c r="W72" s="96" t="str">
        <f t="shared" si="31"/>
        <v>No</v>
      </c>
      <c r="X72" s="139" t="str">
        <f t="shared" si="31"/>
        <v>No</v>
      </c>
      <c r="Y72" s="134" t="str">
        <f t="shared" si="28"/>
        <v xml:space="preserve"> </v>
      </c>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7"/>
      <c r="BD72" s="17"/>
      <c r="BE72" s="17"/>
      <c r="BF72" s="17"/>
      <c r="BG72" s="17"/>
      <c r="BH72" s="17"/>
      <c r="BI72" s="17"/>
      <c r="BJ72" s="17"/>
      <c r="BK72" s="17"/>
      <c r="BL72" s="17"/>
      <c r="BM72" s="17"/>
      <c r="BN72" s="17"/>
      <c r="BO72" s="17"/>
      <c r="BP72" s="17"/>
      <c r="BQ72" s="17"/>
      <c r="BR72" s="17"/>
      <c r="BS72" s="17"/>
      <c r="BT72" s="17"/>
      <c r="BU72" s="17"/>
      <c r="BV72" s="17"/>
      <c r="BW72" s="17"/>
      <c r="BX72" s="17"/>
      <c r="BY72" s="17"/>
      <c r="BZ72" s="17"/>
      <c r="CA72" s="17"/>
      <c r="CB72" s="17"/>
      <c r="CC72" s="17"/>
      <c r="CD72" s="17"/>
    </row>
    <row r="73" spans="1:82" s="1" customFormat="1" ht="42.75" customHeight="1" x14ac:dyDescent="0.25">
      <c r="A73" s="373"/>
      <c r="B73" s="364"/>
      <c r="C73" s="348"/>
      <c r="D73" s="339"/>
      <c r="E73" s="348"/>
      <c r="F73" s="339"/>
      <c r="G73" s="327"/>
      <c r="H73" s="327"/>
      <c r="I73" s="327"/>
      <c r="J73" s="327"/>
      <c r="K73" s="327"/>
      <c r="L73" s="327"/>
      <c r="M73" s="327"/>
      <c r="N73" s="327"/>
      <c r="O73" s="96" t="str">
        <f t="shared" si="23"/>
        <v/>
      </c>
      <c r="P73" s="78" t="str">
        <f t="shared" si="23"/>
        <v/>
      </c>
      <c r="Q73" s="97" t="s">
        <v>102</v>
      </c>
      <c r="R73" s="97" t="str">
        <f t="shared" si="24"/>
        <v/>
      </c>
      <c r="S73" s="97">
        <f>+'FT-Mapa de riesgos'!X81</f>
        <v>0</v>
      </c>
      <c r="T73" s="97">
        <f>+'FT-Mapa de riesgos'!Y81</f>
        <v>0</v>
      </c>
      <c r="U73" s="97">
        <f t="shared" si="26"/>
        <v>0</v>
      </c>
      <c r="V73" s="97" t="str">
        <f t="shared" si="27"/>
        <v>No</v>
      </c>
      <c r="W73" s="96" t="str">
        <f t="shared" si="31"/>
        <v>No</v>
      </c>
      <c r="X73" s="139" t="str">
        <f t="shared" si="31"/>
        <v>No</v>
      </c>
      <c r="Y73" s="134" t="str">
        <f t="shared" si="28"/>
        <v xml:space="preserve"> </v>
      </c>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7"/>
      <c r="BD73" s="17"/>
      <c r="BE73" s="17"/>
      <c r="BF73" s="17"/>
      <c r="BG73" s="17"/>
      <c r="BH73" s="17"/>
      <c r="BI73" s="17"/>
      <c r="BJ73" s="17"/>
      <c r="BK73" s="17"/>
      <c r="BL73" s="17"/>
      <c r="BM73" s="17"/>
      <c r="BN73" s="17"/>
      <c r="BO73" s="17"/>
      <c r="BP73" s="17"/>
      <c r="BQ73" s="17"/>
      <c r="BR73" s="17"/>
      <c r="BS73" s="17"/>
      <c r="BT73" s="17"/>
      <c r="BU73" s="17"/>
      <c r="BV73" s="17"/>
      <c r="BW73" s="17"/>
      <c r="BX73" s="17"/>
      <c r="BY73" s="17"/>
      <c r="BZ73" s="17"/>
      <c r="CA73" s="17"/>
      <c r="CB73" s="17"/>
      <c r="CC73" s="17"/>
      <c r="CD73" s="17"/>
    </row>
    <row r="74" spans="1:82" s="1" customFormat="1" ht="42.75" customHeight="1" thickBot="1" x14ac:dyDescent="0.3">
      <c r="A74" s="373"/>
      <c r="B74" s="365"/>
      <c r="C74" s="348"/>
      <c r="D74" s="344"/>
      <c r="E74" s="348"/>
      <c r="F74" s="344"/>
      <c r="G74" s="327"/>
      <c r="H74" s="327"/>
      <c r="I74" s="327"/>
      <c r="J74" s="327"/>
      <c r="K74" s="327"/>
      <c r="L74" s="327"/>
      <c r="M74" s="327"/>
      <c r="N74" s="327"/>
      <c r="O74" s="96" t="str">
        <f t="shared" si="23"/>
        <v/>
      </c>
      <c r="P74" s="78" t="str">
        <f t="shared" si="23"/>
        <v/>
      </c>
      <c r="Q74" s="97" t="s">
        <v>102</v>
      </c>
      <c r="R74" s="97" t="str">
        <f t="shared" si="24"/>
        <v/>
      </c>
      <c r="S74" s="97">
        <f>+'FT-Mapa de riesgos'!X82</f>
        <v>0</v>
      </c>
      <c r="T74" s="97">
        <f>+'FT-Mapa de riesgos'!Y82</f>
        <v>0</v>
      </c>
      <c r="U74" s="97">
        <f t="shared" si="26"/>
        <v>0</v>
      </c>
      <c r="V74" s="97" t="str">
        <f t="shared" si="27"/>
        <v>No</v>
      </c>
      <c r="W74" s="96" t="str">
        <f t="shared" si="31"/>
        <v>No</v>
      </c>
      <c r="X74" s="139" t="str">
        <f t="shared" si="31"/>
        <v>No</v>
      </c>
      <c r="Y74" s="134" t="str">
        <f t="shared" si="28"/>
        <v xml:space="preserve"> </v>
      </c>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row>
    <row r="75" spans="1:82" s="1" customFormat="1" ht="42.75" customHeight="1" x14ac:dyDescent="0.25">
      <c r="A75" s="373"/>
      <c r="B75" s="364" t="str">
        <f>+IF($A$79=$X$45,'FT-Mapa de riesgos'!#REF!,"")</f>
        <v/>
      </c>
      <c r="C75" s="344" t="str">
        <f>+IF(B75=10,'FT-Mapa de riesgos'!#REF!,"")</f>
        <v/>
      </c>
      <c r="D75" s="338" t="str">
        <f t="shared" ref="D75" si="46">+IF(B75=1,1,"NA")</f>
        <v>NA</v>
      </c>
      <c r="E75" s="344" t="str">
        <f>+IF(B75=10,'FT-Mapa de riesgos'!#REF!,"")</f>
        <v/>
      </c>
      <c r="F75" s="352"/>
      <c r="G75" s="337" t="str">
        <f t="shared" ref="G75" si="47">IF($F75="","No",IF($F75="No","No"," "))</f>
        <v>No</v>
      </c>
      <c r="H75" s="337" t="str">
        <f t="shared" si="30"/>
        <v>No</v>
      </c>
      <c r="I75" s="337" t="str">
        <f t="shared" si="30"/>
        <v>No</v>
      </c>
      <c r="J75" s="337" t="str">
        <f t="shared" si="30"/>
        <v>No</v>
      </c>
      <c r="K75" s="337" t="str">
        <f t="shared" si="30"/>
        <v>No</v>
      </c>
      <c r="L75" s="337" t="str">
        <f t="shared" si="30"/>
        <v>No</v>
      </c>
      <c r="M75" s="337" t="str">
        <f t="shared" si="30"/>
        <v>No</v>
      </c>
      <c r="N75" s="337" t="str">
        <f t="shared" si="30"/>
        <v>No</v>
      </c>
      <c r="O75" s="96" t="e">
        <f t="shared" si="23"/>
        <v>#REF!</v>
      </c>
      <c r="P75" s="78" t="e">
        <f t="shared" si="23"/>
        <v>#REF!</v>
      </c>
      <c r="Q75" s="97" t="s">
        <v>102</v>
      </c>
      <c r="R75" s="97" t="e">
        <f t="shared" si="24"/>
        <v>#REF!</v>
      </c>
      <c r="S75" s="97" t="e">
        <f>+'FT-Mapa de riesgos'!#REF!</f>
        <v>#REF!</v>
      </c>
      <c r="T75" s="97" t="e">
        <f>+'FT-Mapa de riesgos'!#REF!</f>
        <v>#REF!</v>
      </c>
      <c r="U75" s="97" t="e">
        <f t="shared" si="26"/>
        <v>#REF!</v>
      </c>
      <c r="V75" s="97" t="e">
        <f t="shared" si="27"/>
        <v>#REF!</v>
      </c>
      <c r="W75" s="96" t="e">
        <f t="shared" si="31"/>
        <v>#REF!</v>
      </c>
      <c r="X75" s="139" t="e">
        <f t="shared" si="31"/>
        <v>#REF!</v>
      </c>
      <c r="Y75" s="134" t="str">
        <f t="shared" si="28"/>
        <v xml:space="preserve"> </v>
      </c>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7"/>
      <c r="BD75" s="17"/>
      <c r="BE75" s="17"/>
      <c r="BF75" s="17"/>
      <c r="BG75" s="17"/>
      <c r="BH75" s="17"/>
      <c r="BI75" s="17"/>
      <c r="BJ75" s="17"/>
      <c r="BK75" s="17"/>
      <c r="BL75" s="17"/>
      <c r="BM75" s="17"/>
      <c r="BN75" s="17"/>
      <c r="BO75" s="17"/>
      <c r="BP75" s="17"/>
      <c r="BQ75" s="17"/>
      <c r="BR75" s="17"/>
      <c r="BS75" s="17"/>
      <c r="BT75" s="17"/>
      <c r="BU75" s="17"/>
      <c r="BV75" s="17"/>
      <c r="BW75" s="17"/>
      <c r="BX75" s="17"/>
      <c r="BY75" s="17"/>
      <c r="BZ75" s="17"/>
      <c r="CA75" s="17"/>
      <c r="CB75" s="17"/>
      <c r="CC75" s="17"/>
      <c r="CD75" s="17"/>
    </row>
    <row r="76" spans="1:82" s="1" customFormat="1" ht="42.75" customHeight="1" x14ac:dyDescent="0.25">
      <c r="A76" s="373"/>
      <c r="B76" s="364"/>
      <c r="C76" s="348"/>
      <c r="D76" s="339"/>
      <c r="E76" s="348"/>
      <c r="F76" s="339"/>
      <c r="G76" s="327"/>
      <c r="H76" s="327"/>
      <c r="I76" s="327"/>
      <c r="J76" s="327"/>
      <c r="K76" s="327"/>
      <c r="L76" s="327"/>
      <c r="M76" s="327"/>
      <c r="N76" s="327"/>
      <c r="O76" s="96" t="e">
        <f t="shared" si="23"/>
        <v>#REF!</v>
      </c>
      <c r="P76" s="78" t="e">
        <f t="shared" si="23"/>
        <v>#REF!</v>
      </c>
      <c r="Q76" s="97" t="s">
        <v>102</v>
      </c>
      <c r="R76" s="97" t="e">
        <f t="shared" si="24"/>
        <v>#REF!</v>
      </c>
      <c r="S76" s="97" t="e">
        <f>+'FT-Mapa de riesgos'!#REF!</f>
        <v>#REF!</v>
      </c>
      <c r="T76" s="97" t="e">
        <f>+'FT-Mapa de riesgos'!#REF!</f>
        <v>#REF!</v>
      </c>
      <c r="U76" s="97" t="e">
        <f t="shared" si="26"/>
        <v>#REF!</v>
      </c>
      <c r="V76" s="97" t="e">
        <f t="shared" si="27"/>
        <v>#REF!</v>
      </c>
      <c r="W76" s="96" t="e">
        <f t="shared" si="31"/>
        <v>#REF!</v>
      </c>
      <c r="X76" s="139" t="e">
        <f t="shared" si="31"/>
        <v>#REF!</v>
      </c>
      <c r="Y76" s="134" t="str">
        <f t="shared" si="28"/>
        <v xml:space="preserve"> </v>
      </c>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c r="BF76" s="17"/>
      <c r="BG76" s="17"/>
      <c r="BH76" s="17"/>
      <c r="BI76" s="17"/>
      <c r="BJ76" s="17"/>
      <c r="BK76" s="17"/>
      <c r="BL76" s="17"/>
      <c r="BM76" s="17"/>
      <c r="BN76" s="17"/>
      <c r="BO76" s="17"/>
      <c r="BP76" s="17"/>
      <c r="BQ76" s="17"/>
      <c r="BR76" s="17"/>
      <c r="BS76" s="17"/>
      <c r="BT76" s="17"/>
      <c r="BU76" s="17"/>
      <c r="BV76" s="17"/>
      <c r="BW76" s="17"/>
      <c r="BX76" s="17"/>
      <c r="BY76" s="17"/>
      <c r="BZ76" s="17"/>
      <c r="CA76" s="17"/>
      <c r="CB76" s="17"/>
      <c r="CC76" s="17"/>
      <c r="CD76" s="17"/>
    </row>
    <row r="77" spans="1:82" s="1" customFormat="1" ht="42.75" customHeight="1" thickBot="1" x14ac:dyDescent="0.3">
      <c r="A77" s="374"/>
      <c r="B77" s="366"/>
      <c r="C77" s="367"/>
      <c r="D77" s="340"/>
      <c r="E77" s="367"/>
      <c r="F77" s="340"/>
      <c r="G77" s="425"/>
      <c r="H77" s="425"/>
      <c r="I77" s="425"/>
      <c r="J77" s="425"/>
      <c r="K77" s="425"/>
      <c r="L77" s="425"/>
      <c r="M77" s="425"/>
      <c r="N77" s="425"/>
      <c r="O77" s="140" t="e">
        <f t="shared" si="23"/>
        <v>#REF!</v>
      </c>
      <c r="P77" s="141" t="e">
        <f t="shared" si="23"/>
        <v>#REF!</v>
      </c>
      <c r="Q77" s="142" t="s">
        <v>102</v>
      </c>
      <c r="R77" s="142" t="e">
        <f t="shared" si="24"/>
        <v>#REF!</v>
      </c>
      <c r="S77" s="142" t="e">
        <f>+'FT-Mapa de riesgos'!#REF!</f>
        <v>#REF!</v>
      </c>
      <c r="T77" s="142" t="e">
        <f>+'FT-Mapa de riesgos'!#REF!</f>
        <v>#REF!</v>
      </c>
      <c r="U77" s="142" t="e">
        <f t="shared" si="26"/>
        <v>#REF!</v>
      </c>
      <c r="V77" s="142" t="e">
        <f t="shared" si="27"/>
        <v>#REF!</v>
      </c>
      <c r="W77" s="140" t="e">
        <f t="shared" si="31"/>
        <v>#REF!</v>
      </c>
      <c r="X77" s="143" t="e">
        <f t="shared" si="31"/>
        <v>#REF!</v>
      </c>
      <c r="Y77" s="134" t="str">
        <f t="shared" si="28"/>
        <v xml:space="preserve"> </v>
      </c>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7"/>
      <c r="BD77" s="17"/>
      <c r="BE77" s="17"/>
      <c r="BF77" s="17"/>
      <c r="BG77" s="17"/>
      <c r="BH77" s="17"/>
      <c r="BI77" s="17"/>
      <c r="BJ77" s="17"/>
      <c r="BK77" s="17"/>
      <c r="BL77" s="17"/>
      <c r="BM77" s="17"/>
      <c r="BN77" s="17"/>
      <c r="BO77" s="17"/>
      <c r="BP77" s="17"/>
      <c r="BQ77" s="17"/>
      <c r="BR77" s="17"/>
      <c r="BS77" s="17"/>
      <c r="BT77" s="17"/>
      <c r="BU77" s="17"/>
      <c r="BV77" s="17"/>
      <c r="BW77" s="17"/>
      <c r="BX77" s="17"/>
      <c r="BY77" s="17"/>
      <c r="BZ77" s="17"/>
      <c r="CA77" s="17"/>
      <c r="CB77" s="17"/>
      <c r="CC77" s="17"/>
      <c r="CD77" s="17"/>
    </row>
    <row r="78" spans="1:82" s="1" customFormat="1" ht="42" customHeight="1" x14ac:dyDescent="0.25">
      <c r="A78" s="41"/>
      <c r="B78" s="41"/>
      <c r="C78" s="42"/>
      <c r="D78" s="42"/>
      <c r="E78" s="42"/>
      <c r="F78" s="42"/>
      <c r="G78" s="43"/>
      <c r="H78" s="43"/>
      <c r="I78" s="43"/>
      <c r="J78" s="43"/>
      <c r="K78" s="43"/>
      <c r="L78" s="43"/>
      <c r="M78" s="43"/>
      <c r="N78" s="43"/>
      <c r="O78" s="43"/>
      <c r="P78" s="120"/>
      <c r="Q78" s="42"/>
      <c r="R78" s="42"/>
      <c r="S78" s="42"/>
      <c r="T78" s="42"/>
      <c r="U78" s="42"/>
      <c r="V78" s="42"/>
      <c r="W78" s="43"/>
      <c r="X78" s="43"/>
      <c r="Y78" s="121"/>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c r="BF78" s="17"/>
      <c r="BG78" s="17"/>
      <c r="BH78" s="17"/>
      <c r="BI78" s="17"/>
      <c r="BJ78" s="17"/>
      <c r="BK78" s="17"/>
      <c r="BL78" s="17"/>
      <c r="BM78" s="17"/>
      <c r="BN78" s="17"/>
      <c r="BO78" s="17"/>
      <c r="BP78" s="17"/>
      <c r="BQ78" s="17"/>
      <c r="BR78" s="17"/>
      <c r="BS78" s="17"/>
      <c r="BT78" s="17"/>
      <c r="BU78" s="17"/>
      <c r="BV78" s="17"/>
      <c r="BW78" s="17"/>
      <c r="BX78" s="17"/>
      <c r="BY78" s="17"/>
      <c r="BZ78" s="17"/>
      <c r="CA78" s="17"/>
      <c r="CB78" s="17"/>
      <c r="CC78" s="17"/>
      <c r="CD78" s="17"/>
    </row>
    <row r="79" spans="1:82" s="133" customFormat="1" ht="18.75" hidden="1" x14ac:dyDescent="0.25">
      <c r="A79" s="128" t="str">
        <f>+IF(A48="","",MONTH(A48))</f>
        <v/>
      </c>
      <c r="B79" s="128"/>
      <c r="C79" s="129"/>
      <c r="D79" s="129">
        <f>+COUNTIF(D48:D77,"1")</f>
        <v>0</v>
      </c>
      <c r="E79" s="129" t="e">
        <f>1-(F79/D79)</f>
        <v>#DIV/0!</v>
      </c>
      <c r="F79" s="129">
        <f>+COUNTIF(F48:F77,"Si")</f>
        <v>0</v>
      </c>
      <c r="G79" s="130"/>
      <c r="H79" s="130"/>
      <c r="I79" s="130"/>
      <c r="J79" s="130"/>
      <c r="K79" s="130"/>
      <c r="L79" s="130"/>
      <c r="M79" s="130"/>
      <c r="N79" s="130"/>
      <c r="O79" s="130"/>
      <c r="P79" s="130"/>
      <c r="Q79" s="129"/>
      <c r="R79" s="129"/>
      <c r="S79" s="129"/>
      <c r="T79" s="129"/>
      <c r="U79" s="129"/>
      <c r="V79" s="129"/>
      <c r="W79" s="130"/>
      <c r="X79" s="130"/>
      <c r="Y79" s="131"/>
      <c r="Z79" s="132"/>
      <c r="AA79" s="132"/>
      <c r="AB79" s="132"/>
      <c r="AC79" s="132"/>
      <c r="AD79" s="132"/>
      <c r="AE79" s="132"/>
      <c r="AF79" s="132"/>
      <c r="AG79" s="132"/>
      <c r="AH79" s="132"/>
      <c r="AI79" s="132"/>
      <c r="AJ79" s="132"/>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132"/>
      <c r="BH79" s="132"/>
      <c r="BI79" s="132"/>
      <c r="BJ79" s="132"/>
      <c r="BK79" s="132"/>
      <c r="BL79" s="132"/>
      <c r="BM79" s="132"/>
      <c r="BN79" s="132"/>
      <c r="BO79" s="132"/>
      <c r="BP79" s="132"/>
      <c r="BQ79" s="132"/>
      <c r="BR79" s="132"/>
      <c r="BS79" s="132"/>
      <c r="BT79" s="132"/>
      <c r="BU79" s="132"/>
      <c r="BV79" s="132"/>
      <c r="BW79" s="132"/>
      <c r="BX79" s="132"/>
      <c r="BY79" s="132"/>
      <c r="BZ79" s="132"/>
      <c r="CA79" s="132"/>
      <c r="CB79" s="132"/>
      <c r="CC79" s="132"/>
      <c r="CD79" s="132"/>
    </row>
    <row r="80" spans="1:82" s="1" customFormat="1" ht="42" customHeight="1" thickBot="1" x14ac:dyDescent="0.3">
      <c r="A80" s="65"/>
      <c r="B80" s="41"/>
      <c r="C80" s="42"/>
      <c r="D80" s="42"/>
      <c r="E80" s="42"/>
      <c r="F80" s="42"/>
      <c r="G80" s="43"/>
      <c r="H80" s="43"/>
      <c r="I80" s="43"/>
      <c r="J80" s="43"/>
      <c r="K80" s="43"/>
      <c r="L80" s="43"/>
      <c r="M80" s="43"/>
      <c r="N80" s="43"/>
      <c r="O80" s="43"/>
      <c r="P80" s="43"/>
      <c r="Q80" s="42"/>
      <c r="R80" s="42"/>
      <c r="S80" s="42"/>
      <c r="T80" s="42"/>
      <c r="U80" s="42"/>
      <c r="V80" s="42"/>
      <c r="W80" s="43"/>
      <c r="X80" s="43"/>
      <c r="Y80" s="44"/>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7"/>
      <c r="BD80" s="17"/>
      <c r="BE80" s="17"/>
      <c r="BF80" s="17"/>
      <c r="BG80" s="17"/>
      <c r="BH80" s="17"/>
      <c r="BI80" s="17"/>
      <c r="BJ80" s="17"/>
      <c r="BK80" s="17"/>
      <c r="BL80" s="17"/>
      <c r="BM80" s="17"/>
      <c r="BN80" s="17"/>
      <c r="BO80" s="17"/>
      <c r="BP80" s="17"/>
      <c r="BQ80" s="17"/>
      <c r="BR80" s="17"/>
      <c r="BS80" s="17"/>
      <c r="BT80" s="17"/>
      <c r="BU80" s="17"/>
      <c r="BV80" s="17"/>
      <c r="BW80" s="17"/>
      <c r="BX80" s="17"/>
      <c r="BY80" s="17"/>
      <c r="BZ80" s="17"/>
      <c r="CA80" s="17"/>
      <c r="CB80" s="17"/>
      <c r="CC80" s="17"/>
      <c r="CD80" s="17"/>
    </row>
    <row r="81" spans="1:82" s="1" customFormat="1" ht="33.75" customHeight="1" thickBot="1" x14ac:dyDescent="0.3">
      <c r="A81" s="341" t="s">
        <v>107</v>
      </c>
      <c r="B81" s="342"/>
      <c r="C81" s="342"/>
      <c r="D81" s="342"/>
      <c r="E81" s="342"/>
      <c r="F81" s="342"/>
      <c r="G81" s="342"/>
      <c r="H81" s="342"/>
      <c r="I81" s="342"/>
      <c r="J81" s="342"/>
      <c r="K81" s="342"/>
      <c r="L81" s="342"/>
      <c r="M81" s="342"/>
      <c r="N81" s="342"/>
      <c r="O81" s="342"/>
      <c r="P81" s="342"/>
      <c r="Q81" s="342"/>
      <c r="R81" s="342"/>
      <c r="S81" s="342"/>
      <c r="T81" s="342"/>
      <c r="U81" s="342"/>
      <c r="V81" s="342"/>
      <c r="W81" s="343"/>
      <c r="X81" s="68">
        <v>1</v>
      </c>
      <c r="Y81" s="66"/>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7"/>
      <c r="BD81" s="17"/>
      <c r="BE81" s="17"/>
      <c r="BF81" s="17"/>
      <c r="BG81" s="17"/>
      <c r="BH81" s="17"/>
      <c r="BI81" s="17"/>
      <c r="BJ81" s="17"/>
      <c r="BK81" s="17"/>
      <c r="BL81" s="17"/>
      <c r="BM81" s="17"/>
      <c r="BN81" s="17"/>
      <c r="BO81" s="17"/>
      <c r="BP81" s="17"/>
      <c r="BQ81" s="17"/>
      <c r="BR81" s="17"/>
      <c r="BS81" s="17"/>
      <c r="BT81" s="17"/>
      <c r="BU81" s="17"/>
      <c r="BV81" s="17"/>
      <c r="BW81" s="17"/>
      <c r="BX81" s="17"/>
      <c r="BY81" s="17"/>
      <c r="BZ81" s="17"/>
      <c r="CA81" s="17"/>
      <c r="CB81" s="17"/>
      <c r="CC81" s="17"/>
      <c r="CD81" s="17"/>
    </row>
    <row r="82" spans="1:82" s="9" customFormat="1" ht="63" customHeight="1" thickBot="1" x14ac:dyDescent="0.3">
      <c r="A82" s="361" t="s">
        <v>135</v>
      </c>
      <c r="B82" s="342" t="s">
        <v>12</v>
      </c>
      <c r="C82" s="342"/>
      <c r="D82" s="342"/>
      <c r="E82" s="343"/>
      <c r="F82" s="361" t="s">
        <v>49</v>
      </c>
      <c r="G82" s="341" t="s">
        <v>60</v>
      </c>
      <c r="H82" s="342"/>
      <c r="I82" s="342"/>
      <c r="J82" s="342"/>
      <c r="K82" s="342"/>
      <c r="L82" s="342"/>
      <c r="M82" s="342"/>
      <c r="N82" s="343"/>
      <c r="O82" s="70"/>
      <c r="P82" s="70"/>
      <c r="Q82" s="342"/>
      <c r="R82" s="342"/>
      <c r="S82" s="342"/>
      <c r="T82" s="342"/>
      <c r="U82" s="342"/>
      <c r="V82" s="342"/>
      <c r="W82" s="342"/>
      <c r="X82" s="342"/>
      <c r="Y82" s="343"/>
      <c r="Z82" s="17"/>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row>
    <row r="83" spans="1:82" s="9" customFormat="1" ht="144" customHeight="1" thickBot="1" x14ac:dyDescent="0.3">
      <c r="A83" s="362"/>
      <c r="B83" s="32" t="str">
        <f>+B47</f>
        <v>No</v>
      </c>
      <c r="C83" s="103" t="s">
        <v>44</v>
      </c>
      <c r="D83" s="103"/>
      <c r="E83" s="103" t="s">
        <v>45</v>
      </c>
      <c r="F83" s="363"/>
      <c r="G83" s="158" t="s">
        <v>80</v>
      </c>
      <c r="H83" s="158" t="s">
        <v>83</v>
      </c>
      <c r="I83" s="158"/>
      <c r="J83" s="158"/>
      <c r="K83" s="158" t="s">
        <v>97</v>
      </c>
      <c r="L83" s="158" t="s">
        <v>47</v>
      </c>
      <c r="M83" s="158" t="s">
        <v>48</v>
      </c>
      <c r="N83" s="158" t="s">
        <v>59</v>
      </c>
      <c r="O83" s="158"/>
      <c r="P83" s="158"/>
      <c r="Q83" s="103" t="s">
        <v>100</v>
      </c>
      <c r="R83" s="345" t="s">
        <v>98</v>
      </c>
      <c r="S83" s="346"/>
      <c r="T83" s="347"/>
      <c r="U83" s="103"/>
      <c r="V83" s="103" t="s">
        <v>92</v>
      </c>
      <c r="W83" s="103" t="s">
        <v>96</v>
      </c>
      <c r="X83" s="103" t="s">
        <v>95</v>
      </c>
      <c r="Y83" s="28" t="s">
        <v>46</v>
      </c>
      <c r="Z83" s="17"/>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c r="BK83" s="18"/>
      <c r="BL83" s="18"/>
      <c r="BM83" s="18"/>
      <c r="BN83" s="18"/>
      <c r="BO83" s="18"/>
      <c r="BP83" s="18"/>
      <c r="BQ83" s="18"/>
      <c r="BR83" s="18"/>
      <c r="BS83" s="18"/>
      <c r="BT83" s="18"/>
      <c r="BU83" s="18"/>
      <c r="BV83" s="18"/>
      <c r="BW83" s="18"/>
      <c r="BX83" s="18"/>
      <c r="BY83" s="18"/>
      <c r="BZ83" s="18"/>
      <c r="CA83" s="18"/>
      <c r="CB83" s="18"/>
      <c r="CC83" s="18"/>
      <c r="CD83" s="18"/>
    </row>
    <row r="84" spans="1:82" s="1" customFormat="1" ht="42.75" customHeight="1" x14ac:dyDescent="0.25">
      <c r="A84" s="372"/>
      <c r="B84" s="376" t="str">
        <f>+IF($A$115=$X$81,'FT-Mapa de riesgos'!B20,"")</f>
        <v/>
      </c>
      <c r="C84" s="368" t="str">
        <f>+IF(B84=1,'FT-Mapa de riesgos'!C20,"")</f>
        <v/>
      </c>
      <c r="D84" s="338" t="str">
        <f>+IF(B84=1,1,"NA")</f>
        <v>NA</v>
      </c>
      <c r="E84" s="368" t="str">
        <f>+IF(B84=1,'FT-Mapa de riesgos'!E20,"")</f>
        <v/>
      </c>
      <c r="F84" s="368"/>
      <c r="G84" s="426" t="str">
        <f>IF($F84="","No",IF($F84="No","No"," "))</f>
        <v>No</v>
      </c>
      <c r="H84" s="426" t="str">
        <f t="shared" ref="H84:N84" si="48">IF($F84="","No",IF($F84="No","No"," "))</f>
        <v>No</v>
      </c>
      <c r="I84" s="426" t="str">
        <f t="shared" si="48"/>
        <v>No</v>
      </c>
      <c r="J84" s="426" t="str">
        <f t="shared" si="48"/>
        <v>No</v>
      </c>
      <c r="K84" s="426" t="str">
        <f t="shared" si="48"/>
        <v>No</v>
      </c>
      <c r="L84" s="426" t="str">
        <f t="shared" si="48"/>
        <v>No</v>
      </c>
      <c r="M84" s="426" t="str">
        <f t="shared" si="48"/>
        <v>No</v>
      </c>
      <c r="N84" s="426" t="str">
        <f t="shared" si="48"/>
        <v>No</v>
      </c>
      <c r="O84" s="159" t="str">
        <f t="shared" ref="O84:P113" si="49">+O12</f>
        <v>Listas de verificación guías protocolos y procedimientos</v>
      </c>
      <c r="P84" s="136" t="str">
        <f t="shared" si="49"/>
        <v>Permanente</v>
      </c>
      <c r="Q84" s="137" t="s">
        <v>108</v>
      </c>
      <c r="R84" s="137" t="str">
        <f t="shared" ref="R84:R113" si="50">+R12</f>
        <v>Enero-Abril</v>
      </c>
      <c r="S84" s="137" t="str">
        <f>+'FT-Mapa de riesgos'!X20</f>
        <v>Mayo-Agosto</v>
      </c>
      <c r="T84" s="137" t="str">
        <f>+'FT-Mapa de riesgos'!Y20</f>
        <v>Septiembre-Diciembre</v>
      </c>
      <c r="U84" s="137">
        <f>IF(OR(Q84=R84,Q84=S84,Q84=T84),1,IF(R84="Enero-Diciembre",1,0))</f>
        <v>1</v>
      </c>
      <c r="V84" s="137" t="str">
        <f>+IF(U84=1,"Si","No")</f>
        <v>Si</v>
      </c>
      <c r="W84" s="135" t="str">
        <f t="shared" ref="W84:X86" si="51">IF($V84="","No",IF($V84="No","No"," "))</f>
        <v xml:space="preserve"> </v>
      </c>
      <c r="X84" s="138" t="str">
        <f t="shared" si="51"/>
        <v xml:space="preserve"> </v>
      </c>
      <c r="Y84" s="134" t="str">
        <f>+IFERROR((X84/W84)," ")</f>
        <v xml:space="preserve"> </v>
      </c>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7"/>
      <c r="BD84" s="17"/>
      <c r="BE84" s="17"/>
      <c r="BF84" s="17"/>
      <c r="BG84" s="17"/>
      <c r="BH84" s="17"/>
      <c r="BI84" s="17"/>
      <c r="BJ84" s="17"/>
      <c r="BK84" s="17"/>
      <c r="BL84" s="17"/>
      <c r="BM84" s="17"/>
      <c r="BN84" s="17"/>
      <c r="BO84" s="17"/>
      <c r="BP84" s="17"/>
      <c r="BQ84" s="17"/>
      <c r="BR84" s="17"/>
      <c r="BS84" s="17"/>
      <c r="BT84" s="17"/>
      <c r="BU84" s="17"/>
      <c r="BV84" s="17"/>
      <c r="BW84" s="17"/>
      <c r="BX84" s="17"/>
      <c r="BY84" s="17"/>
      <c r="BZ84" s="17"/>
      <c r="CA84" s="17"/>
      <c r="CB84" s="17"/>
      <c r="CC84" s="17"/>
      <c r="CD84" s="17"/>
    </row>
    <row r="85" spans="1:82" s="1" customFormat="1" ht="42.75" customHeight="1" x14ac:dyDescent="0.25">
      <c r="A85" s="422"/>
      <c r="B85" s="350"/>
      <c r="C85" s="348"/>
      <c r="D85" s="339"/>
      <c r="E85" s="348"/>
      <c r="F85" s="348"/>
      <c r="G85" s="427"/>
      <c r="H85" s="427"/>
      <c r="I85" s="427"/>
      <c r="J85" s="427"/>
      <c r="K85" s="427"/>
      <c r="L85" s="427"/>
      <c r="M85" s="427"/>
      <c r="N85" s="427"/>
      <c r="O85" s="95" t="str">
        <f t="shared" si="49"/>
        <v>Parada de seguridad</v>
      </c>
      <c r="P85" s="78" t="str">
        <f t="shared" si="49"/>
        <v>Permanente</v>
      </c>
      <c r="Q85" s="97" t="s">
        <v>108</v>
      </c>
      <c r="R85" s="97" t="str">
        <f t="shared" si="50"/>
        <v>Enero-Abril</v>
      </c>
      <c r="S85" s="97" t="str">
        <f>+'FT-Mapa de riesgos'!X21</f>
        <v>Mayo-Agosto</v>
      </c>
      <c r="T85" s="97" t="str">
        <f>+'FT-Mapa de riesgos'!Y21</f>
        <v>Septiembre-Diciembre</v>
      </c>
      <c r="U85" s="97">
        <f t="shared" ref="U85:U113" si="52">IF(OR(Q85=R85,Q85=S85,Q85=T85),1,IF(R85="Enero-Diciembre",1,0))</f>
        <v>1</v>
      </c>
      <c r="V85" s="97" t="str">
        <f t="shared" ref="V85:V113" si="53">+IF(U85=1,"Si","No")</f>
        <v>Si</v>
      </c>
      <c r="W85" s="96" t="str">
        <f t="shared" si="51"/>
        <v xml:space="preserve"> </v>
      </c>
      <c r="X85" s="139" t="str">
        <f t="shared" si="51"/>
        <v xml:space="preserve"> </v>
      </c>
      <c r="Y85" s="134" t="str">
        <f t="shared" ref="Y85:Y113" si="54">+IFERROR((X85/W85)," ")</f>
        <v xml:space="preserve"> </v>
      </c>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7"/>
      <c r="BD85" s="17"/>
      <c r="BE85" s="17"/>
      <c r="BF85" s="17"/>
      <c r="BG85" s="17"/>
      <c r="BH85" s="17"/>
      <c r="BI85" s="17"/>
      <c r="BJ85" s="17"/>
      <c r="BK85" s="17"/>
      <c r="BL85" s="17"/>
      <c r="BM85" s="17"/>
      <c r="BN85" s="17"/>
      <c r="BO85" s="17"/>
      <c r="BP85" s="17"/>
      <c r="BQ85" s="17"/>
      <c r="BR85" s="17"/>
      <c r="BS85" s="17"/>
      <c r="BT85" s="17"/>
      <c r="BU85" s="17"/>
      <c r="BV85" s="17"/>
      <c r="BW85" s="17"/>
      <c r="BX85" s="17"/>
      <c r="BY85" s="17"/>
      <c r="BZ85" s="17"/>
      <c r="CA85" s="17"/>
      <c r="CB85" s="17"/>
      <c r="CC85" s="17"/>
      <c r="CD85" s="17"/>
    </row>
    <row r="86" spans="1:82" s="1" customFormat="1" ht="42.75" customHeight="1" thickBot="1" x14ac:dyDescent="0.3">
      <c r="A86" s="422"/>
      <c r="B86" s="351"/>
      <c r="C86" s="348"/>
      <c r="D86" s="344"/>
      <c r="E86" s="348"/>
      <c r="F86" s="348"/>
      <c r="G86" s="427"/>
      <c r="H86" s="427"/>
      <c r="I86" s="427"/>
      <c r="J86" s="427"/>
      <c r="K86" s="427"/>
      <c r="L86" s="427"/>
      <c r="M86" s="427"/>
      <c r="N86" s="427"/>
      <c r="O86" s="95" t="str">
        <f t="shared" si="49"/>
        <v/>
      </c>
      <c r="P86" s="78" t="str">
        <f t="shared" si="49"/>
        <v/>
      </c>
      <c r="Q86" s="97" t="s">
        <v>108</v>
      </c>
      <c r="R86" s="97" t="str">
        <f t="shared" si="50"/>
        <v/>
      </c>
      <c r="S86" s="97">
        <f>+'FT-Mapa de riesgos'!X22</f>
        <v>0</v>
      </c>
      <c r="T86" s="97">
        <f>+'FT-Mapa de riesgos'!Y22</f>
        <v>0</v>
      </c>
      <c r="U86" s="97">
        <f t="shared" si="52"/>
        <v>0</v>
      </c>
      <c r="V86" s="97" t="str">
        <f t="shared" si="53"/>
        <v>No</v>
      </c>
      <c r="W86" s="96" t="str">
        <f t="shared" si="51"/>
        <v>No</v>
      </c>
      <c r="X86" s="139" t="str">
        <f t="shared" si="51"/>
        <v>No</v>
      </c>
      <c r="Y86" s="134" t="str">
        <f t="shared" si="54"/>
        <v xml:space="preserve"> </v>
      </c>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7"/>
      <c r="BD86" s="17"/>
      <c r="BE86" s="17"/>
      <c r="BF86" s="17"/>
      <c r="BG86" s="17"/>
      <c r="BH86" s="17"/>
      <c r="BI86" s="17"/>
      <c r="BJ86" s="17"/>
      <c r="BK86" s="17"/>
      <c r="BL86" s="17"/>
      <c r="BM86" s="17"/>
      <c r="BN86" s="17"/>
      <c r="BO86" s="17"/>
      <c r="BP86" s="17"/>
      <c r="BQ86" s="17"/>
      <c r="BR86" s="17"/>
      <c r="BS86" s="17"/>
      <c r="BT86" s="17"/>
      <c r="BU86" s="17"/>
      <c r="BV86" s="17"/>
      <c r="BW86" s="17"/>
      <c r="BX86" s="17"/>
      <c r="BY86" s="17"/>
      <c r="BZ86" s="17"/>
      <c r="CA86" s="17"/>
      <c r="CB86" s="17"/>
      <c r="CC86" s="17"/>
      <c r="CD86" s="17"/>
    </row>
    <row r="87" spans="1:82" s="1" customFormat="1" ht="42.75" customHeight="1" x14ac:dyDescent="0.25">
      <c r="A87" s="422"/>
      <c r="B87" s="349" t="str">
        <f>+IF($A$115=$X$81,'FT-Mapa de riesgos'!B23,"")</f>
        <v/>
      </c>
      <c r="C87" s="344" t="str">
        <f>+IF(B87=2,'FT-Mapa de riesgos'!C23,"")</f>
        <v/>
      </c>
      <c r="D87" s="338" t="str">
        <f t="shared" ref="D87" si="55">+IF(B87=1,1,"NA")</f>
        <v>NA</v>
      </c>
      <c r="E87" s="344" t="str">
        <f>+IF(B87=2,'FT-Mapa de riesgos'!E23,"")</f>
        <v/>
      </c>
      <c r="F87" s="348"/>
      <c r="G87" s="428" t="str">
        <f t="shared" ref="G87:N111" si="56">IF($F87="","No",IF($F87="No","No"," "))</f>
        <v>No</v>
      </c>
      <c r="H87" s="428" t="str">
        <f t="shared" si="56"/>
        <v>No</v>
      </c>
      <c r="I87" s="428" t="str">
        <f t="shared" si="56"/>
        <v>No</v>
      </c>
      <c r="J87" s="428" t="str">
        <f t="shared" si="56"/>
        <v>No</v>
      </c>
      <c r="K87" s="428" t="str">
        <f t="shared" si="56"/>
        <v>No</v>
      </c>
      <c r="L87" s="428" t="str">
        <f t="shared" si="56"/>
        <v>No</v>
      </c>
      <c r="M87" s="428" t="str">
        <f t="shared" si="56"/>
        <v>No</v>
      </c>
      <c r="N87" s="428" t="str">
        <f t="shared" si="56"/>
        <v>No</v>
      </c>
      <c r="O87" s="95" t="str">
        <f t="shared" si="49"/>
        <v>Listas de verificación guías protocolos y procedimientos</v>
      </c>
      <c r="P87" s="78" t="str">
        <f t="shared" si="49"/>
        <v>Permanente</v>
      </c>
      <c r="Q87" s="97" t="s">
        <v>108</v>
      </c>
      <c r="R87" s="97" t="str">
        <f t="shared" si="50"/>
        <v>Enero-Abril</v>
      </c>
      <c r="S87" s="97" t="str">
        <f>+'FT-Mapa de riesgos'!X23</f>
        <v>Mayo-Agosto</v>
      </c>
      <c r="T87" s="97" t="str">
        <f>+'FT-Mapa de riesgos'!Y23</f>
        <v>Septiembre-Diciembre</v>
      </c>
      <c r="U87" s="97">
        <f t="shared" si="52"/>
        <v>1</v>
      </c>
      <c r="V87" s="97" t="str">
        <f t="shared" si="53"/>
        <v>Si</v>
      </c>
      <c r="W87" s="96" t="str">
        <f t="shared" ref="W87:X113" si="57">IF($V87="","No",IF($V87="No","No"," "))</f>
        <v xml:space="preserve"> </v>
      </c>
      <c r="X87" s="139" t="str">
        <f t="shared" si="57"/>
        <v xml:space="preserve"> </v>
      </c>
      <c r="Y87" s="134" t="str">
        <f t="shared" si="54"/>
        <v xml:space="preserve"> </v>
      </c>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7"/>
      <c r="BD87" s="17"/>
      <c r="BE87" s="17"/>
      <c r="BF87" s="17"/>
      <c r="BG87" s="17"/>
      <c r="BH87" s="17"/>
      <c r="BI87" s="17"/>
      <c r="BJ87" s="17"/>
      <c r="BK87" s="17"/>
      <c r="BL87" s="17"/>
      <c r="BM87" s="17"/>
      <c r="BN87" s="17"/>
      <c r="BO87" s="17"/>
      <c r="BP87" s="17"/>
      <c r="BQ87" s="17"/>
      <c r="BR87" s="17"/>
      <c r="BS87" s="17"/>
      <c r="BT87" s="17"/>
      <c r="BU87" s="17"/>
      <c r="BV87" s="17"/>
      <c r="BW87" s="17"/>
      <c r="BX87" s="17"/>
      <c r="BY87" s="17"/>
      <c r="BZ87" s="17"/>
      <c r="CA87" s="17"/>
      <c r="CB87" s="17"/>
      <c r="CC87" s="17"/>
      <c r="CD87" s="17"/>
    </row>
    <row r="88" spans="1:82" s="1" customFormat="1" ht="42.75" customHeight="1" x14ac:dyDescent="0.25">
      <c r="A88" s="422"/>
      <c r="B88" s="350"/>
      <c r="C88" s="348"/>
      <c r="D88" s="339"/>
      <c r="E88" s="348"/>
      <c r="F88" s="348"/>
      <c r="G88" s="427"/>
      <c r="H88" s="427"/>
      <c r="I88" s="427"/>
      <c r="J88" s="427"/>
      <c r="K88" s="427"/>
      <c r="L88" s="427"/>
      <c r="M88" s="427"/>
      <c r="N88" s="427"/>
      <c r="O88" s="95" t="str">
        <f t="shared" si="49"/>
        <v>Listas de verificación guías protocolos y procedimientos</v>
      </c>
      <c r="P88" s="78" t="str">
        <f t="shared" si="49"/>
        <v>Permanente</v>
      </c>
      <c r="Q88" s="97" t="s">
        <v>108</v>
      </c>
      <c r="R88" s="97" t="str">
        <f t="shared" si="50"/>
        <v>Enero-Abril</v>
      </c>
      <c r="S88" s="97" t="str">
        <f>+'FT-Mapa de riesgos'!X24</f>
        <v>Mayo-Agosto</v>
      </c>
      <c r="T88" s="97" t="str">
        <f>+'FT-Mapa de riesgos'!Y24</f>
        <v>Septiembre-Diciembre</v>
      </c>
      <c r="U88" s="97">
        <f t="shared" si="52"/>
        <v>1</v>
      </c>
      <c r="V88" s="97" t="str">
        <f t="shared" si="53"/>
        <v>Si</v>
      </c>
      <c r="W88" s="96" t="str">
        <f t="shared" si="57"/>
        <v xml:space="preserve"> </v>
      </c>
      <c r="X88" s="139" t="str">
        <f t="shared" si="57"/>
        <v xml:space="preserve"> </v>
      </c>
      <c r="Y88" s="134" t="str">
        <f t="shared" si="54"/>
        <v xml:space="preserve"> </v>
      </c>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row>
    <row r="89" spans="1:82" s="1" customFormat="1" ht="42.75" customHeight="1" thickBot="1" x14ac:dyDescent="0.3">
      <c r="A89" s="422"/>
      <c r="B89" s="351"/>
      <c r="C89" s="348"/>
      <c r="D89" s="344"/>
      <c r="E89" s="348"/>
      <c r="F89" s="348"/>
      <c r="G89" s="427"/>
      <c r="H89" s="427"/>
      <c r="I89" s="427"/>
      <c r="J89" s="427"/>
      <c r="K89" s="427"/>
      <c r="L89" s="427"/>
      <c r="M89" s="427"/>
      <c r="N89" s="427"/>
      <c r="O89" s="95" t="str">
        <f t="shared" si="49"/>
        <v/>
      </c>
      <c r="P89" s="78" t="str">
        <f t="shared" si="49"/>
        <v/>
      </c>
      <c r="Q89" s="97" t="s">
        <v>108</v>
      </c>
      <c r="R89" s="97" t="str">
        <f t="shared" si="50"/>
        <v/>
      </c>
      <c r="S89" s="97">
        <f>+'FT-Mapa de riesgos'!X25</f>
        <v>0</v>
      </c>
      <c r="T89" s="97">
        <f>+'FT-Mapa de riesgos'!Y25</f>
        <v>0</v>
      </c>
      <c r="U89" s="97">
        <f t="shared" si="52"/>
        <v>0</v>
      </c>
      <c r="V89" s="97" t="str">
        <f t="shared" si="53"/>
        <v>No</v>
      </c>
      <c r="W89" s="96" t="str">
        <f t="shared" si="57"/>
        <v>No</v>
      </c>
      <c r="X89" s="139" t="str">
        <f t="shared" si="57"/>
        <v>No</v>
      </c>
      <c r="Y89" s="134" t="str">
        <f t="shared" si="54"/>
        <v xml:space="preserve"> </v>
      </c>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7"/>
      <c r="BD89" s="17"/>
      <c r="BE89" s="17"/>
      <c r="BF89" s="17"/>
      <c r="BG89" s="17"/>
      <c r="BH89" s="17"/>
      <c r="BI89" s="17"/>
      <c r="BJ89" s="17"/>
      <c r="BK89" s="17"/>
      <c r="BL89" s="17"/>
      <c r="BM89" s="17"/>
      <c r="BN89" s="17"/>
      <c r="BO89" s="17"/>
      <c r="BP89" s="17"/>
      <c r="BQ89" s="17"/>
      <c r="BR89" s="17"/>
      <c r="BS89" s="17"/>
      <c r="BT89" s="17"/>
      <c r="BU89" s="17"/>
      <c r="BV89" s="17"/>
      <c r="BW89" s="17"/>
      <c r="BX89" s="17"/>
      <c r="BY89" s="17"/>
      <c r="BZ89" s="17"/>
      <c r="CA89" s="17"/>
      <c r="CB89" s="17"/>
      <c r="CC89" s="17"/>
      <c r="CD89" s="17"/>
    </row>
    <row r="90" spans="1:82" s="1" customFormat="1" ht="42.75" customHeight="1" x14ac:dyDescent="0.25">
      <c r="A90" s="422"/>
      <c r="B90" s="349" t="str">
        <f>+IF($A$115=$X$81,'FT-Mapa de riesgos'!B26,"")</f>
        <v/>
      </c>
      <c r="C90" s="344" t="str">
        <f>+IF(B90=3,'FT-Mapa de riesgos'!C26,"")</f>
        <v/>
      </c>
      <c r="D90" s="338" t="str">
        <f t="shared" ref="D90" si="58">+IF(B90=1,1,"NA")</f>
        <v>NA</v>
      </c>
      <c r="E90" s="344" t="str">
        <f>+IF(B90=3,'FT-Mapa de riesgos'!E26,"")</f>
        <v/>
      </c>
      <c r="F90" s="348"/>
      <c r="G90" s="428" t="str">
        <f t="shared" ref="G90" si="59">IF($F90="","No",IF($F90="No","No"," "))</f>
        <v>No</v>
      </c>
      <c r="H90" s="428" t="str">
        <f t="shared" si="56"/>
        <v>No</v>
      </c>
      <c r="I90" s="428" t="str">
        <f t="shared" si="56"/>
        <v>No</v>
      </c>
      <c r="J90" s="428" t="str">
        <f t="shared" si="56"/>
        <v>No</v>
      </c>
      <c r="K90" s="428" t="str">
        <f t="shared" si="56"/>
        <v>No</v>
      </c>
      <c r="L90" s="428" t="str">
        <f t="shared" si="56"/>
        <v>No</v>
      </c>
      <c r="M90" s="428" t="str">
        <f t="shared" si="56"/>
        <v>No</v>
      </c>
      <c r="N90" s="428" t="str">
        <f t="shared" si="56"/>
        <v>No</v>
      </c>
      <c r="O90" s="95" t="str">
        <f t="shared" si="49"/>
        <v>Evaluación de adherencia</v>
      </c>
      <c r="P90" s="78" t="str">
        <f t="shared" si="49"/>
        <v>Semestral</v>
      </c>
      <c r="Q90" s="97" t="s">
        <v>108</v>
      </c>
      <c r="R90" s="97" t="str">
        <f t="shared" si="50"/>
        <v>Mayo-Agosto</v>
      </c>
      <c r="S90" s="97" t="str">
        <f>+'FT-Mapa de riesgos'!X26</f>
        <v>Septiembre-Diciembre</v>
      </c>
      <c r="T90" s="97" t="str">
        <f>+'FT-Mapa de riesgos'!Y26</f>
        <v>N/A</v>
      </c>
      <c r="U90" s="97">
        <f t="shared" si="52"/>
        <v>1</v>
      </c>
      <c r="V90" s="97" t="str">
        <f t="shared" si="53"/>
        <v>Si</v>
      </c>
      <c r="W90" s="96" t="str">
        <f t="shared" si="57"/>
        <v xml:space="preserve"> </v>
      </c>
      <c r="X90" s="139" t="str">
        <f t="shared" si="57"/>
        <v xml:space="preserve"> </v>
      </c>
      <c r="Y90" s="134" t="str">
        <f t="shared" si="54"/>
        <v xml:space="preserve"> </v>
      </c>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7"/>
      <c r="BD90" s="17"/>
      <c r="BE90" s="17"/>
      <c r="BF90" s="17"/>
      <c r="BG90" s="17"/>
      <c r="BH90" s="17"/>
      <c r="BI90" s="17"/>
      <c r="BJ90" s="17"/>
      <c r="BK90" s="17"/>
      <c r="BL90" s="17"/>
      <c r="BM90" s="17"/>
      <c r="BN90" s="17"/>
      <c r="BO90" s="17"/>
      <c r="BP90" s="17"/>
      <c r="BQ90" s="17"/>
      <c r="BR90" s="17"/>
      <c r="BS90" s="17"/>
      <c r="BT90" s="17"/>
      <c r="BU90" s="17"/>
      <c r="BV90" s="17"/>
      <c r="BW90" s="17"/>
      <c r="BX90" s="17"/>
      <c r="BY90" s="17"/>
      <c r="BZ90" s="17"/>
      <c r="CA90" s="17"/>
      <c r="CB90" s="17"/>
      <c r="CC90" s="17"/>
      <c r="CD90" s="17"/>
    </row>
    <row r="91" spans="1:82" s="1" customFormat="1" ht="42.75" customHeight="1" x14ac:dyDescent="0.25">
      <c r="A91" s="422"/>
      <c r="B91" s="350"/>
      <c r="C91" s="348"/>
      <c r="D91" s="339"/>
      <c r="E91" s="348"/>
      <c r="F91" s="348"/>
      <c r="G91" s="427"/>
      <c r="H91" s="427"/>
      <c r="I91" s="427"/>
      <c r="J91" s="427"/>
      <c r="K91" s="427"/>
      <c r="L91" s="427"/>
      <c r="M91" s="427"/>
      <c r="N91" s="427"/>
      <c r="O91" s="95" t="str">
        <f t="shared" si="49"/>
        <v xml:space="preserve">Rotación de personal por todas las áreas asistenciales de urgencias </v>
      </c>
      <c r="P91" s="78" t="str">
        <f t="shared" si="49"/>
        <v>Mensual</v>
      </c>
      <c r="Q91" s="97" t="s">
        <v>108</v>
      </c>
      <c r="R91" s="97" t="str">
        <f t="shared" si="50"/>
        <v>Enero-Abril</v>
      </c>
      <c r="S91" s="97" t="str">
        <f>+'FT-Mapa de riesgos'!X27</f>
        <v>Mayo-Agosto</v>
      </c>
      <c r="T91" s="97" t="str">
        <f>+'FT-Mapa de riesgos'!Y27</f>
        <v>Septiembre-Diciembre</v>
      </c>
      <c r="U91" s="97">
        <f t="shared" si="52"/>
        <v>1</v>
      </c>
      <c r="V91" s="97" t="str">
        <f t="shared" si="53"/>
        <v>Si</v>
      </c>
      <c r="W91" s="96" t="str">
        <f t="shared" si="57"/>
        <v xml:space="preserve"> </v>
      </c>
      <c r="X91" s="139" t="str">
        <f t="shared" si="57"/>
        <v xml:space="preserve"> </v>
      </c>
      <c r="Y91" s="134" t="str">
        <f t="shared" si="54"/>
        <v xml:space="preserve"> </v>
      </c>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7"/>
      <c r="BD91" s="17"/>
      <c r="BE91" s="17"/>
      <c r="BF91" s="17"/>
      <c r="BG91" s="17"/>
      <c r="BH91" s="17"/>
      <c r="BI91" s="17"/>
      <c r="BJ91" s="17"/>
      <c r="BK91" s="17"/>
      <c r="BL91" s="17"/>
      <c r="BM91" s="17"/>
      <c r="BN91" s="17"/>
      <c r="BO91" s="17"/>
      <c r="BP91" s="17"/>
      <c r="BQ91" s="17"/>
      <c r="BR91" s="17"/>
      <c r="BS91" s="17"/>
      <c r="BT91" s="17"/>
      <c r="BU91" s="17"/>
      <c r="BV91" s="17"/>
      <c r="BW91" s="17"/>
      <c r="BX91" s="17"/>
      <c r="BY91" s="17"/>
      <c r="BZ91" s="17"/>
      <c r="CA91" s="17"/>
      <c r="CB91" s="17"/>
      <c r="CC91" s="17"/>
      <c r="CD91" s="17"/>
    </row>
    <row r="92" spans="1:82" s="1" customFormat="1" ht="42.75" customHeight="1" thickBot="1" x14ac:dyDescent="0.3">
      <c r="A92" s="422"/>
      <c r="B92" s="351"/>
      <c r="C92" s="348"/>
      <c r="D92" s="344"/>
      <c r="E92" s="348"/>
      <c r="F92" s="348"/>
      <c r="G92" s="427"/>
      <c r="H92" s="427"/>
      <c r="I92" s="427"/>
      <c r="J92" s="427"/>
      <c r="K92" s="427"/>
      <c r="L92" s="427"/>
      <c r="M92" s="427"/>
      <c r="N92" s="427"/>
      <c r="O92" s="95" t="str">
        <f t="shared" si="49"/>
        <v/>
      </c>
      <c r="P92" s="78" t="str">
        <f t="shared" si="49"/>
        <v/>
      </c>
      <c r="Q92" s="97" t="s">
        <v>108</v>
      </c>
      <c r="R92" s="97" t="str">
        <f t="shared" si="50"/>
        <v/>
      </c>
      <c r="S92" s="97">
        <f>+'FT-Mapa de riesgos'!X28</f>
        <v>0</v>
      </c>
      <c r="T92" s="97">
        <f>+'FT-Mapa de riesgos'!Y28</f>
        <v>0</v>
      </c>
      <c r="U92" s="97">
        <f t="shared" si="52"/>
        <v>0</v>
      </c>
      <c r="V92" s="97" t="str">
        <f t="shared" si="53"/>
        <v>No</v>
      </c>
      <c r="W92" s="96" t="str">
        <f t="shared" si="57"/>
        <v>No</v>
      </c>
      <c r="X92" s="139" t="str">
        <f t="shared" si="57"/>
        <v>No</v>
      </c>
      <c r="Y92" s="134" t="str">
        <f t="shared" si="54"/>
        <v xml:space="preserve"> </v>
      </c>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7"/>
      <c r="BD92" s="17"/>
      <c r="BE92" s="17"/>
      <c r="BF92" s="17"/>
      <c r="BG92" s="17"/>
      <c r="BH92" s="17"/>
      <c r="BI92" s="17"/>
      <c r="BJ92" s="17"/>
      <c r="BK92" s="17"/>
      <c r="BL92" s="17"/>
      <c r="BM92" s="17"/>
      <c r="BN92" s="17"/>
      <c r="BO92" s="17"/>
      <c r="BP92" s="17"/>
      <c r="BQ92" s="17"/>
      <c r="BR92" s="17"/>
      <c r="BS92" s="17"/>
      <c r="BT92" s="17"/>
      <c r="BU92" s="17"/>
      <c r="BV92" s="17"/>
      <c r="BW92" s="17"/>
      <c r="BX92" s="17"/>
      <c r="BY92" s="17"/>
      <c r="BZ92" s="17"/>
      <c r="CA92" s="17"/>
      <c r="CB92" s="17"/>
      <c r="CC92" s="17"/>
      <c r="CD92" s="17"/>
    </row>
    <row r="93" spans="1:82" s="1" customFormat="1" ht="42.75" customHeight="1" x14ac:dyDescent="0.25">
      <c r="A93" s="422"/>
      <c r="B93" s="349" t="str">
        <f>+IF($A$115=$X$81,'FT-Mapa de riesgos'!B29,"")</f>
        <v/>
      </c>
      <c r="C93" s="344" t="str">
        <f>+IF(B93=4,'FT-Mapa de riesgos'!C29,"")</f>
        <v/>
      </c>
      <c r="D93" s="338" t="str">
        <f t="shared" ref="D93" si="60">+IF(B93=1,1,"NA")</f>
        <v>NA</v>
      </c>
      <c r="E93" s="344" t="str">
        <f>+IF(B93=4,'FT-Mapa de riesgos'!E29,"")</f>
        <v/>
      </c>
      <c r="F93" s="348"/>
      <c r="G93" s="428" t="str">
        <f t="shared" ref="G93" si="61">IF($F93="","No",IF($F93="No","No"," "))</f>
        <v>No</v>
      </c>
      <c r="H93" s="428" t="str">
        <f t="shared" si="56"/>
        <v>No</v>
      </c>
      <c r="I93" s="428" t="str">
        <f t="shared" si="56"/>
        <v>No</v>
      </c>
      <c r="J93" s="428" t="str">
        <f t="shared" si="56"/>
        <v>No</v>
      </c>
      <c r="K93" s="428" t="str">
        <f t="shared" si="56"/>
        <v>No</v>
      </c>
      <c r="L93" s="428" t="str">
        <f t="shared" si="56"/>
        <v>No</v>
      </c>
      <c r="M93" s="428" t="str">
        <f t="shared" si="56"/>
        <v>No</v>
      </c>
      <c r="N93" s="428" t="str">
        <f t="shared" si="56"/>
        <v>No</v>
      </c>
      <c r="O93" s="95" t="str">
        <f t="shared" si="49"/>
        <v xml:space="preserve">Asignación de elementos y/o  prendas de identificación </v>
      </c>
      <c r="P93" s="78" t="str">
        <f t="shared" si="49"/>
        <v>Permanente</v>
      </c>
      <c r="Q93" s="97" t="s">
        <v>108</v>
      </c>
      <c r="R93" s="97" t="str">
        <f t="shared" si="50"/>
        <v>Enero-Abril</v>
      </c>
      <c r="S93" s="97" t="str">
        <f>+'FT-Mapa de riesgos'!X29</f>
        <v>Mayo-Agosto</v>
      </c>
      <c r="T93" s="97" t="str">
        <f>+'FT-Mapa de riesgos'!Y29</f>
        <v>Septiembre-Diciembre</v>
      </c>
      <c r="U93" s="97">
        <f t="shared" si="52"/>
        <v>1</v>
      </c>
      <c r="V93" s="97" t="str">
        <f t="shared" si="53"/>
        <v>Si</v>
      </c>
      <c r="W93" s="96" t="str">
        <f t="shared" si="57"/>
        <v xml:space="preserve"> </v>
      </c>
      <c r="X93" s="139" t="str">
        <f t="shared" si="57"/>
        <v xml:space="preserve"> </v>
      </c>
      <c r="Y93" s="134" t="str">
        <f t="shared" si="54"/>
        <v xml:space="preserve"> </v>
      </c>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7"/>
      <c r="BD93" s="17"/>
      <c r="BE93" s="17"/>
      <c r="BF93" s="17"/>
      <c r="BG93" s="17"/>
      <c r="BH93" s="17"/>
      <c r="BI93" s="17"/>
      <c r="BJ93" s="17"/>
      <c r="BK93" s="17"/>
      <c r="BL93" s="17"/>
      <c r="BM93" s="17"/>
      <c r="BN93" s="17"/>
      <c r="BO93" s="17"/>
      <c r="BP93" s="17"/>
      <c r="BQ93" s="17"/>
      <c r="BR93" s="17"/>
      <c r="BS93" s="17"/>
      <c r="BT93" s="17"/>
      <c r="BU93" s="17"/>
      <c r="BV93" s="17"/>
      <c r="BW93" s="17"/>
      <c r="BX93" s="17"/>
      <c r="BY93" s="17"/>
      <c r="BZ93" s="17"/>
      <c r="CA93" s="17"/>
      <c r="CB93" s="17"/>
      <c r="CC93" s="17"/>
      <c r="CD93" s="17"/>
    </row>
    <row r="94" spans="1:82" s="1" customFormat="1" ht="42.75" customHeight="1" x14ac:dyDescent="0.25">
      <c r="A94" s="422"/>
      <c r="B94" s="350"/>
      <c r="C94" s="348"/>
      <c r="D94" s="339"/>
      <c r="E94" s="348"/>
      <c r="F94" s="348"/>
      <c r="G94" s="427"/>
      <c r="H94" s="427"/>
      <c r="I94" s="427"/>
      <c r="J94" s="427"/>
      <c r="K94" s="427"/>
      <c r="L94" s="427"/>
      <c r="M94" s="427"/>
      <c r="N94" s="427"/>
      <c r="O94" s="95" t="str">
        <f t="shared" si="49"/>
        <v xml:space="preserve">Control de puertas por los guardias de seguridad y revisión por parte del personal de información </v>
      </c>
      <c r="P94" s="78" t="str">
        <f t="shared" si="49"/>
        <v>Permanente</v>
      </c>
      <c r="Q94" s="97" t="s">
        <v>108</v>
      </c>
      <c r="R94" s="97" t="str">
        <f t="shared" si="50"/>
        <v>Enero-Abril</v>
      </c>
      <c r="S94" s="97" t="str">
        <f>+'FT-Mapa de riesgos'!X30</f>
        <v>Mayo-Agosto</v>
      </c>
      <c r="T94" s="97" t="str">
        <f>+'FT-Mapa de riesgos'!Y30</f>
        <v>Septiembre-Diciembre</v>
      </c>
      <c r="U94" s="97">
        <f t="shared" si="52"/>
        <v>1</v>
      </c>
      <c r="V94" s="97" t="str">
        <f t="shared" si="53"/>
        <v>Si</v>
      </c>
      <c r="W94" s="96" t="str">
        <f t="shared" si="57"/>
        <v xml:space="preserve"> </v>
      </c>
      <c r="X94" s="139" t="str">
        <f t="shared" si="57"/>
        <v xml:space="preserve"> </v>
      </c>
      <c r="Y94" s="134" t="str">
        <f t="shared" si="54"/>
        <v xml:space="preserve"> </v>
      </c>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7"/>
      <c r="BD94" s="17"/>
      <c r="BE94" s="17"/>
      <c r="BF94" s="17"/>
      <c r="BG94" s="17"/>
      <c r="BH94" s="17"/>
      <c r="BI94" s="17"/>
      <c r="BJ94" s="17"/>
      <c r="BK94" s="17"/>
      <c r="BL94" s="17"/>
      <c r="BM94" s="17"/>
      <c r="BN94" s="17"/>
      <c r="BO94" s="17"/>
      <c r="BP94" s="17"/>
      <c r="BQ94" s="17"/>
      <c r="BR94" s="17"/>
      <c r="BS94" s="17"/>
      <c r="BT94" s="17"/>
      <c r="BU94" s="17"/>
      <c r="BV94" s="17"/>
      <c r="BW94" s="17"/>
      <c r="BX94" s="17"/>
      <c r="BY94" s="17"/>
      <c r="BZ94" s="17"/>
      <c r="CA94" s="17"/>
      <c r="CB94" s="17"/>
      <c r="CC94" s="17"/>
      <c r="CD94" s="17"/>
    </row>
    <row r="95" spans="1:82" s="1" customFormat="1" ht="42.75" customHeight="1" thickBot="1" x14ac:dyDescent="0.3">
      <c r="A95" s="422"/>
      <c r="B95" s="351"/>
      <c r="C95" s="348"/>
      <c r="D95" s="344"/>
      <c r="E95" s="348"/>
      <c r="F95" s="348"/>
      <c r="G95" s="427"/>
      <c r="H95" s="427"/>
      <c r="I95" s="427"/>
      <c r="J95" s="427"/>
      <c r="K95" s="427"/>
      <c r="L95" s="427"/>
      <c r="M95" s="427"/>
      <c r="N95" s="427"/>
      <c r="O95" s="95" t="str">
        <f t="shared" si="49"/>
        <v/>
      </c>
      <c r="P95" s="78" t="str">
        <f t="shared" si="49"/>
        <v/>
      </c>
      <c r="Q95" s="97" t="s">
        <v>108</v>
      </c>
      <c r="R95" s="97" t="str">
        <f t="shared" si="50"/>
        <v/>
      </c>
      <c r="S95" s="97">
        <f>+'FT-Mapa de riesgos'!X31</f>
        <v>0</v>
      </c>
      <c r="T95" s="97">
        <f>+'FT-Mapa de riesgos'!Y31</f>
        <v>0</v>
      </c>
      <c r="U95" s="97">
        <f t="shared" si="52"/>
        <v>0</v>
      </c>
      <c r="V95" s="97" t="str">
        <f t="shared" si="53"/>
        <v>No</v>
      </c>
      <c r="W95" s="96" t="str">
        <f t="shared" si="57"/>
        <v>No</v>
      </c>
      <c r="X95" s="139" t="str">
        <f t="shared" si="57"/>
        <v>No</v>
      </c>
      <c r="Y95" s="134" t="str">
        <f t="shared" si="54"/>
        <v xml:space="preserve"> </v>
      </c>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7"/>
      <c r="BD95" s="17"/>
      <c r="BE95" s="17"/>
      <c r="BF95" s="17"/>
      <c r="BG95" s="17"/>
      <c r="BH95" s="17"/>
      <c r="BI95" s="17"/>
      <c r="BJ95" s="17"/>
      <c r="BK95" s="17"/>
      <c r="BL95" s="17"/>
      <c r="BM95" s="17"/>
      <c r="BN95" s="17"/>
      <c r="BO95" s="17"/>
      <c r="BP95" s="17"/>
      <c r="BQ95" s="17"/>
      <c r="BR95" s="17"/>
      <c r="BS95" s="17"/>
      <c r="BT95" s="17"/>
      <c r="BU95" s="17"/>
      <c r="BV95" s="17"/>
      <c r="BW95" s="17"/>
      <c r="BX95" s="17"/>
      <c r="BY95" s="17"/>
      <c r="BZ95" s="17"/>
      <c r="CA95" s="17"/>
      <c r="CB95" s="17"/>
      <c r="CC95" s="17"/>
      <c r="CD95" s="17"/>
    </row>
    <row r="96" spans="1:82" s="1" customFormat="1" ht="42.75" customHeight="1" x14ac:dyDescent="0.25">
      <c r="A96" s="422"/>
      <c r="B96" s="349" t="str">
        <f>+IF($A$115=$X$81,'FT-Mapa de riesgos'!B32,"")</f>
        <v/>
      </c>
      <c r="C96" s="344" t="str">
        <f>+IF(B96=5,'FT-Mapa de riesgos'!C32,"")</f>
        <v/>
      </c>
      <c r="D96" s="338" t="str">
        <f t="shared" ref="D96" si="62">+IF(B96=1,1,"NA")</f>
        <v>NA</v>
      </c>
      <c r="E96" s="344" t="str">
        <f>+IF(B96=5,'FT-Mapa de riesgos'!E32,"")</f>
        <v/>
      </c>
      <c r="F96" s="348"/>
      <c r="G96" s="428" t="str">
        <f t="shared" ref="G96" si="63">IF($F96="","No",IF($F96="No","No"," "))</f>
        <v>No</v>
      </c>
      <c r="H96" s="428" t="str">
        <f t="shared" si="56"/>
        <v>No</v>
      </c>
      <c r="I96" s="428" t="str">
        <f t="shared" si="56"/>
        <v>No</v>
      </c>
      <c r="J96" s="428" t="str">
        <f t="shared" si="56"/>
        <v>No</v>
      </c>
      <c r="K96" s="428" t="str">
        <f t="shared" si="56"/>
        <v>No</v>
      </c>
      <c r="L96" s="428" t="str">
        <f t="shared" si="56"/>
        <v>No</v>
      </c>
      <c r="M96" s="428" t="str">
        <f t="shared" si="56"/>
        <v>No</v>
      </c>
      <c r="N96" s="428" t="str">
        <f t="shared" si="56"/>
        <v>No</v>
      </c>
      <c r="O96" s="95" t="str">
        <f t="shared" si="49"/>
        <v>Evaluación de adherencia de protocolos y procedimientos</v>
      </c>
      <c r="P96" s="78" t="str">
        <f t="shared" si="49"/>
        <v>Semestral</v>
      </c>
      <c r="Q96" s="97" t="s">
        <v>108</v>
      </c>
      <c r="R96" s="97" t="str">
        <f t="shared" si="50"/>
        <v>Mayo-Agosto</v>
      </c>
      <c r="S96" s="97" t="str">
        <f>+'FT-Mapa de riesgos'!X32</f>
        <v>Septiembre-Diciembre</v>
      </c>
      <c r="T96" s="97" t="str">
        <f>+'FT-Mapa de riesgos'!Y32</f>
        <v>N/A</v>
      </c>
      <c r="U96" s="97">
        <f t="shared" si="52"/>
        <v>1</v>
      </c>
      <c r="V96" s="97" t="str">
        <f t="shared" si="53"/>
        <v>Si</v>
      </c>
      <c r="W96" s="96" t="str">
        <f t="shared" si="57"/>
        <v xml:space="preserve"> </v>
      </c>
      <c r="X96" s="139" t="str">
        <f t="shared" si="57"/>
        <v xml:space="preserve"> </v>
      </c>
      <c r="Y96" s="134" t="str">
        <f t="shared" si="54"/>
        <v xml:space="preserve"> </v>
      </c>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7"/>
      <c r="BD96" s="17"/>
      <c r="BE96" s="17"/>
      <c r="BF96" s="17"/>
      <c r="BG96" s="17"/>
      <c r="BH96" s="17"/>
      <c r="BI96" s="17"/>
      <c r="BJ96" s="17"/>
      <c r="BK96" s="17"/>
      <c r="BL96" s="17"/>
      <c r="BM96" s="17"/>
      <c r="BN96" s="17"/>
      <c r="BO96" s="17"/>
      <c r="BP96" s="17"/>
      <c r="BQ96" s="17"/>
      <c r="BR96" s="17"/>
      <c r="BS96" s="17"/>
      <c r="BT96" s="17"/>
      <c r="BU96" s="17"/>
      <c r="BV96" s="17"/>
      <c r="BW96" s="17"/>
      <c r="BX96" s="17"/>
      <c r="BY96" s="17"/>
      <c r="BZ96" s="17"/>
      <c r="CA96" s="17"/>
      <c r="CB96" s="17"/>
      <c r="CC96" s="17"/>
      <c r="CD96" s="17"/>
    </row>
    <row r="97" spans="1:82" s="1" customFormat="1" ht="42.75" customHeight="1" x14ac:dyDescent="0.25">
      <c r="A97" s="422"/>
      <c r="B97" s="350"/>
      <c r="C97" s="348"/>
      <c r="D97" s="339"/>
      <c r="E97" s="348"/>
      <c r="F97" s="348"/>
      <c r="G97" s="427"/>
      <c r="H97" s="427"/>
      <c r="I97" s="427"/>
      <c r="J97" s="427"/>
      <c r="K97" s="427"/>
      <c r="L97" s="427"/>
      <c r="M97" s="427"/>
      <c r="N97" s="427"/>
      <c r="O97" s="95" t="str">
        <f t="shared" si="49"/>
        <v>Evaluación de adherencia de protocolos y procedimientos</v>
      </c>
      <c r="P97" s="78" t="str">
        <f t="shared" si="49"/>
        <v>Semestral</v>
      </c>
      <c r="Q97" s="97" t="s">
        <v>108</v>
      </c>
      <c r="R97" s="97" t="str">
        <f t="shared" si="50"/>
        <v>Mayo-Agosto</v>
      </c>
      <c r="S97" s="97" t="str">
        <f>+'FT-Mapa de riesgos'!X33</f>
        <v>Septiembre-Diciembre</v>
      </c>
      <c r="T97" s="97" t="str">
        <f>+'FT-Mapa de riesgos'!Y33</f>
        <v>N/A</v>
      </c>
      <c r="U97" s="97">
        <f t="shared" si="52"/>
        <v>1</v>
      </c>
      <c r="V97" s="97" t="str">
        <f t="shared" si="53"/>
        <v>Si</v>
      </c>
      <c r="W97" s="96" t="str">
        <f t="shared" si="57"/>
        <v xml:space="preserve"> </v>
      </c>
      <c r="X97" s="139" t="str">
        <f t="shared" si="57"/>
        <v xml:space="preserve"> </v>
      </c>
      <c r="Y97" s="134" t="str">
        <f t="shared" si="54"/>
        <v xml:space="preserve"> </v>
      </c>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7"/>
      <c r="BD97" s="17"/>
      <c r="BE97" s="17"/>
      <c r="BF97" s="17"/>
      <c r="BG97" s="17"/>
      <c r="BH97" s="17"/>
      <c r="BI97" s="17"/>
      <c r="BJ97" s="17"/>
      <c r="BK97" s="17"/>
      <c r="BL97" s="17"/>
      <c r="BM97" s="17"/>
      <c r="BN97" s="17"/>
      <c r="BO97" s="17"/>
      <c r="BP97" s="17"/>
      <c r="BQ97" s="17"/>
      <c r="BR97" s="17"/>
      <c r="BS97" s="17"/>
      <c r="BT97" s="17"/>
      <c r="BU97" s="17"/>
      <c r="BV97" s="17"/>
      <c r="BW97" s="17"/>
      <c r="BX97" s="17"/>
      <c r="BY97" s="17"/>
      <c r="BZ97" s="17"/>
      <c r="CA97" s="17"/>
      <c r="CB97" s="17"/>
      <c r="CC97" s="17"/>
      <c r="CD97" s="17"/>
    </row>
    <row r="98" spans="1:82" s="1" customFormat="1" ht="42.75" customHeight="1" thickBot="1" x14ac:dyDescent="0.3">
      <c r="A98" s="422"/>
      <c r="B98" s="351"/>
      <c r="C98" s="348"/>
      <c r="D98" s="344"/>
      <c r="E98" s="348"/>
      <c r="F98" s="348"/>
      <c r="G98" s="427"/>
      <c r="H98" s="427"/>
      <c r="I98" s="427"/>
      <c r="J98" s="427"/>
      <c r="K98" s="427"/>
      <c r="L98" s="427"/>
      <c r="M98" s="427"/>
      <c r="N98" s="427"/>
      <c r="O98" s="95" t="str">
        <f t="shared" si="49"/>
        <v/>
      </c>
      <c r="P98" s="78" t="str">
        <f t="shared" si="49"/>
        <v/>
      </c>
      <c r="Q98" s="97" t="s">
        <v>108</v>
      </c>
      <c r="R98" s="97" t="str">
        <f t="shared" si="50"/>
        <v/>
      </c>
      <c r="S98" s="97">
        <f>+'FT-Mapa de riesgos'!X34</f>
        <v>0</v>
      </c>
      <c r="T98" s="97">
        <f>+'FT-Mapa de riesgos'!Y34</f>
        <v>0</v>
      </c>
      <c r="U98" s="97">
        <f t="shared" si="52"/>
        <v>0</v>
      </c>
      <c r="V98" s="97" t="str">
        <f t="shared" si="53"/>
        <v>No</v>
      </c>
      <c r="W98" s="96" t="str">
        <f t="shared" si="57"/>
        <v>No</v>
      </c>
      <c r="X98" s="139" t="str">
        <f t="shared" si="57"/>
        <v>No</v>
      </c>
      <c r="Y98" s="134" t="str">
        <f t="shared" si="54"/>
        <v xml:space="preserve"> </v>
      </c>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7"/>
      <c r="BD98" s="17"/>
      <c r="BE98" s="17"/>
      <c r="BF98" s="17"/>
      <c r="BG98" s="17"/>
      <c r="BH98" s="17"/>
      <c r="BI98" s="17"/>
      <c r="BJ98" s="17"/>
      <c r="BK98" s="17"/>
      <c r="BL98" s="17"/>
      <c r="BM98" s="17"/>
      <c r="BN98" s="17"/>
      <c r="BO98" s="17"/>
      <c r="BP98" s="17"/>
      <c r="BQ98" s="17"/>
      <c r="BR98" s="17"/>
      <c r="BS98" s="17"/>
      <c r="BT98" s="17"/>
      <c r="BU98" s="17"/>
      <c r="BV98" s="17"/>
      <c r="BW98" s="17"/>
      <c r="BX98" s="17"/>
      <c r="BY98" s="17"/>
      <c r="BZ98" s="17"/>
      <c r="CA98" s="17"/>
      <c r="CB98" s="17"/>
      <c r="CC98" s="17"/>
      <c r="CD98" s="17"/>
    </row>
    <row r="99" spans="1:82" s="1" customFormat="1" ht="42.75" customHeight="1" x14ac:dyDescent="0.25">
      <c r="A99" s="422"/>
      <c r="B99" s="349" t="str">
        <f>+IF($A$115=$X$81,'FT-Mapa de riesgos'!B35,"")</f>
        <v/>
      </c>
      <c r="C99" s="344" t="str">
        <f>+IF(B99=6,'FT-Mapa de riesgos'!C35,"")</f>
        <v/>
      </c>
      <c r="D99" s="338" t="str">
        <f t="shared" ref="D99" si="64">+IF(B99=1,1,"NA")</f>
        <v>NA</v>
      </c>
      <c r="E99" s="344" t="str">
        <f>+IF(B99=6,'FT-Mapa de riesgos'!E35,"")</f>
        <v/>
      </c>
      <c r="F99" s="348"/>
      <c r="G99" s="428" t="str">
        <f t="shared" ref="G99" si="65">IF($F99="","No",IF($F99="No","No"," "))</f>
        <v>No</v>
      </c>
      <c r="H99" s="428" t="str">
        <f t="shared" si="56"/>
        <v>No</v>
      </c>
      <c r="I99" s="428" t="str">
        <f t="shared" si="56"/>
        <v>No</v>
      </c>
      <c r="J99" s="428" t="str">
        <f t="shared" si="56"/>
        <v>No</v>
      </c>
      <c r="K99" s="428" t="str">
        <f t="shared" si="56"/>
        <v>No</v>
      </c>
      <c r="L99" s="428" t="str">
        <f t="shared" si="56"/>
        <v>No</v>
      </c>
      <c r="M99" s="428" t="str">
        <f t="shared" si="56"/>
        <v>No</v>
      </c>
      <c r="N99" s="428" t="str">
        <f t="shared" si="56"/>
        <v>No</v>
      </c>
      <c r="O99" s="95" t="str">
        <f t="shared" si="49"/>
        <v>Verificación de las características del  estado de los dispositivos médicos para el correcto uso de los mismos</v>
      </c>
      <c r="P99" s="78" t="str">
        <f t="shared" si="49"/>
        <v>Permanente</v>
      </c>
      <c r="Q99" s="97" t="s">
        <v>108</v>
      </c>
      <c r="R99" s="97" t="str">
        <f t="shared" si="50"/>
        <v>Enero-Abril</v>
      </c>
      <c r="S99" s="97" t="str">
        <f>+'FT-Mapa de riesgos'!X35</f>
        <v>Mayo-Agosto</v>
      </c>
      <c r="T99" s="97" t="str">
        <f>+'FT-Mapa de riesgos'!Y35</f>
        <v>Septiembre-Diciembre</v>
      </c>
      <c r="U99" s="97">
        <f t="shared" si="52"/>
        <v>1</v>
      </c>
      <c r="V99" s="97" t="str">
        <f t="shared" si="53"/>
        <v>Si</v>
      </c>
      <c r="W99" s="96" t="str">
        <f t="shared" si="57"/>
        <v xml:space="preserve"> </v>
      </c>
      <c r="X99" s="139" t="str">
        <f t="shared" si="57"/>
        <v xml:space="preserve"> </v>
      </c>
      <c r="Y99" s="134" t="str">
        <f t="shared" si="54"/>
        <v xml:space="preserve"> </v>
      </c>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7"/>
      <c r="BD99" s="17"/>
      <c r="BE99" s="17"/>
      <c r="BF99" s="17"/>
      <c r="BG99" s="17"/>
      <c r="BH99" s="17"/>
      <c r="BI99" s="17"/>
      <c r="BJ99" s="17"/>
      <c r="BK99" s="17"/>
      <c r="BL99" s="17"/>
      <c r="BM99" s="17"/>
      <c r="BN99" s="17"/>
      <c r="BO99" s="17"/>
      <c r="BP99" s="17"/>
      <c r="BQ99" s="17"/>
      <c r="BR99" s="17"/>
      <c r="BS99" s="17"/>
      <c r="BT99" s="17"/>
      <c r="BU99" s="17"/>
      <c r="BV99" s="17"/>
      <c r="BW99" s="17"/>
      <c r="BX99" s="17"/>
      <c r="BY99" s="17"/>
      <c r="BZ99" s="17"/>
      <c r="CA99" s="17"/>
      <c r="CB99" s="17"/>
      <c r="CC99" s="17"/>
      <c r="CD99" s="17"/>
    </row>
    <row r="100" spans="1:82" s="1" customFormat="1" ht="42.75" customHeight="1" x14ac:dyDescent="0.25">
      <c r="A100" s="422"/>
      <c r="B100" s="350"/>
      <c r="C100" s="348"/>
      <c r="D100" s="339"/>
      <c r="E100" s="348"/>
      <c r="F100" s="348"/>
      <c r="G100" s="427"/>
      <c r="H100" s="427"/>
      <c r="I100" s="427"/>
      <c r="J100" s="427"/>
      <c r="K100" s="427"/>
      <c r="L100" s="427"/>
      <c r="M100" s="427"/>
      <c r="N100" s="427"/>
      <c r="O100" s="95" t="str">
        <f t="shared" si="49"/>
        <v>Evaluación de adherencia de protocolos y procedimientos</v>
      </c>
      <c r="P100" s="78" t="str">
        <f t="shared" si="49"/>
        <v>Semestral</v>
      </c>
      <c r="Q100" s="97" t="s">
        <v>108</v>
      </c>
      <c r="R100" s="97" t="str">
        <f t="shared" si="50"/>
        <v>Mayo-Agosto</v>
      </c>
      <c r="S100" s="97" t="str">
        <f>+'FT-Mapa de riesgos'!X36</f>
        <v>Septiembre-Diciembre</v>
      </c>
      <c r="T100" s="97" t="str">
        <f>+'FT-Mapa de riesgos'!Y36</f>
        <v>N/A</v>
      </c>
      <c r="U100" s="97">
        <f t="shared" si="52"/>
        <v>1</v>
      </c>
      <c r="V100" s="97" t="str">
        <f t="shared" si="53"/>
        <v>Si</v>
      </c>
      <c r="W100" s="96" t="str">
        <f t="shared" si="57"/>
        <v xml:space="preserve"> </v>
      </c>
      <c r="X100" s="139" t="str">
        <f t="shared" si="57"/>
        <v xml:space="preserve"> </v>
      </c>
      <c r="Y100" s="134" t="str">
        <f t="shared" si="54"/>
        <v xml:space="preserve"> </v>
      </c>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7"/>
      <c r="BD100" s="17"/>
      <c r="BE100" s="17"/>
      <c r="BF100" s="17"/>
      <c r="BG100" s="17"/>
      <c r="BH100" s="17"/>
      <c r="BI100" s="17"/>
      <c r="BJ100" s="17"/>
      <c r="BK100" s="17"/>
      <c r="BL100" s="17"/>
      <c r="BM100" s="17"/>
      <c r="BN100" s="17"/>
      <c r="BO100" s="17"/>
      <c r="BP100" s="17"/>
      <c r="BQ100" s="17"/>
      <c r="BR100" s="17"/>
      <c r="BS100" s="17"/>
      <c r="BT100" s="17"/>
      <c r="BU100" s="17"/>
      <c r="BV100" s="17"/>
      <c r="BW100" s="17"/>
      <c r="BX100" s="17"/>
      <c r="BY100" s="17"/>
      <c r="BZ100" s="17"/>
      <c r="CA100" s="17"/>
      <c r="CB100" s="17"/>
      <c r="CC100" s="17"/>
      <c r="CD100" s="17"/>
    </row>
    <row r="101" spans="1:82" s="1" customFormat="1" ht="42.75" customHeight="1" thickBot="1" x14ac:dyDescent="0.3">
      <c r="A101" s="422"/>
      <c r="B101" s="351"/>
      <c r="C101" s="348"/>
      <c r="D101" s="344"/>
      <c r="E101" s="348"/>
      <c r="F101" s="348"/>
      <c r="G101" s="427"/>
      <c r="H101" s="427"/>
      <c r="I101" s="427"/>
      <c r="J101" s="427"/>
      <c r="K101" s="427"/>
      <c r="L101" s="427"/>
      <c r="M101" s="427"/>
      <c r="N101" s="427"/>
      <c r="O101" s="95" t="str">
        <f t="shared" si="49"/>
        <v>Inspección de las condiciones de cerramiento en caso de obras y mantenimientos</v>
      </c>
      <c r="P101" s="78" t="str">
        <f t="shared" si="49"/>
        <v>Permanente</v>
      </c>
      <c r="Q101" s="97" t="s">
        <v>108</v>
      </c>
      <c r="R101" s="97" t="str">
        <f t="shared" si="50"/>
        <v>Enero-Abril</v>
      </c>
      <c r="S101" s="97" t="str">
        <f>+'FT-Mapa de riesgos'!X37</f>
        <v>Mayo-Agosto</v>
      </c>
      <c r="T101" s="97" t="str">
        <f>+'FT-Mapa de riesgos'!Y37</f>
        <v>Septiembre-Diciembre</v>
      </c>
      <c r="U101" s="97">
        <f t="shared" si="52"/>
        <v>1</v>
      </c>
      <c r="V101" s="97" t="str">
        <f t="shared" si="53"/>
        <v>Si</v>
      </c>
      <c r="W101" s="96" t="str">
        <f t="shared" si="57"/>
        <v xml:space="preserve"> </v>
      </c>
      <c r="X101" s="139" t="str">
        <f t="shared" si="57"/>
        <v xml:space="preserve"> </v>
      </c>
      <c r="Y101" s="134" t="str">
        <f t="shared" si="54"/>
        <v xml:space="preserve"> </v>
      </c>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7"/>
      <c r="BD101" s="17"/>
      <c r="BE101" s="17"/>
      <c r="BF101" s="17"/>
      <c r="BG101" s="17"/>
      <c r="BH101" s="17"/>
      <c r="BI101" s="17"/>
      <c r="BJ101" s="17"/>
      <c r="BK101" s="17"/>
      <c r="BL101" s="17"/>
      <c r="BM101" s="17"/>
      <c r="BN101" s="17"/>
      <c r="BO101" s="17"/>
      <c r="BP101" s="17"/>
      <c r="BQ101" s="17"/>
      <c r="BR101" s="17"/>
      <c r="BS101" s="17"/>
      <c r="BT101" s="17"/>
      <c r="BU101" s="17"/>
      <c r="BV101" s="17"/>
      <c r="BW101" s="17"/>
      <c r="BX101" s="17"/>
      <c r="BY101" s="17"/>
      <c r="BZ101" s="17"/>
      <c r="CA101" s="17"/>
      <c r="CB101" s="17"/>
      <c r="CC101" s="17"/>
      <c r="CD101" s="17"/>
    </row>
    <row r="102" spans="1:82" s="1" customFormat="1" ht="42.75" customHeight="1" x14ac:dyDescent="0.25">
      <c r="A102" s="422"/>
      <c r="B102" s="349" t="str">
        <f>+IF($A$115=$X$81,'FT-Mapa de riesgos'!B38,"")</f>
        <v/>
      </c>
      <c r="C102" s="344" t="str">
        <f>+IF(B102=7,'FT-Mapa de riesgos'!C38,"")</f>
        <v/>
      </c>
      <c r="D102" s="338" t="str">
        <f t="shared" ref="D102" si="66">+IF(B102=1,1,"NA")</f>
        <v>NA</v>
      </c>
      <c r="E102" s="344" t="str">
        <f>+IF(B102=7,'FT-Mapa de riesgos'!E38,"")</f>
        <v/>
      </c>
      <c r="F102" s="348"/>
      <c r="G102" s="428" t="str">
        <f t="shared" ref="G102" si="67">IF($F102="","No",IF($F102="No","No"," "))</f>
        <v>No</v>
      </c>
      <c r="H102" s="428" t="str">
        <f t="shared" si="56"/>
        <v>No</v>
      </c>
      <c r="I102" s="428" t="str">
        <f t="shared" si="56"/>
        <v>No</v>
      </c>
      <c r="J102" s="428" t="str">
        <f t="shared" si="56"/>
        <v>No</v>
      </c>
      <c r="K102" s="428" t="str">
        <f t="shared" si="56"/>
        <v>No</v>
      </c>
      <c r="L102" s="428" t="str">
        <f t="shared" si="56"/>
        <v>No</v>
      </c>
      <c r="M102" s="428" t="str">
        <f t="shared" si="56"/>
        <v>No</v>
      </c>
      <c r="N102" s="428" t="str">
        <f t="shared" si="56"/>
        <v>No</v>
      </c>
      <c r="O102" s="95" t="str">
        <f t="shared" si="49"/>
        <v>Evaluación de adherencia de protocolos y procedimientos</v>
      </c>
      <c r="P102" s="78" t="str">
        <f t="shared" si="49"/>
        <v>Permanente</v>
      </c>
      <c r="Q102" s="97" t="s">
        <v>108</v>
      </c>
      <c r="R102" s="97" t="str">
        <f t="shared" si="50"/>
        <v>Enero-Abril</v>
      </c>
      <c r="S102" s="97" t="str">
        <f>+'FT-Mapa de riesgos'!X38</f>
        <v>Mayo-Agosto</v>
      </c>
      <c r="T102" s="97" t="str">
        <f>+'FT-Mapa de riesgos'!Y38</f>
        <v>Septiembre-Diciembre</v>
      </c>
      <c r="U102" s="97">
        <f t="shared" si="52"/>
        <v>1</v>
      </c>
      <c r="V102" s="97" t="str">
        <f t="shared" si="53"/>
        <v>Si</v>
      </c>
      <c r="W102" s="96" t="str">
        <f t="shared" si="57"/>
        <v xml:space="preserve"> </v>
      </c>
      <c r="X102" s="139" t="str">
        <f t="shared" si="57"/>
        <v xml:space="preserve"> </v>
      </c>
      <c r="Y102" s="134" t="str">
        <f t="shared" si="54"/>
        <v xml:space="preserve"> </v>
      </c>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7"/>
      <c r="BD102" s="17"/>
      <c r="BE102" s="17"/>
      <c r="BF102" s="17"/>
      <c r="BG102" s="17"/>
      <c r="BH102" s="17"/>
      <c r="BI102" s="17"/>
      <c r="BJ102" s="17"/>
      <c r="BK102" s="17"/>
      <c r="BL102" s="17"/>
      <c r="BM102" s="17"/>
      <c r="BN102" s="17"/>
      <c r="BO102" s="17"/>
      <c r="BP102" s="17"/>
      <c r="BQ102" s="17"/>
      <c r="BR102" s="17"/>
      <c r="BS102" s="17"/>
      <c r="BT102" s="17"/>
      <c r="BU102" s="17"/>
      <c r="BV102" s="17"/>
      <c r="BW102" s="17"/>
      <c r="BX102" s="17"/>
      <c r="BY102" s="17"/>
      <c r="BZ102" s="17"/>
      <c r="CA102" s="17"/>
      <c r="CB102" s="17"/>
      <c r="CC102" s="17"/>
      <c r="CD102" s="17"/>
    </row>
    <row r="103" spans="1:82" s="1" customFormat="1" ht="42.75" customHeight="1" x14ac:dyDescent="0.25">
      <c r="A103" s="422"/>
      <c r="B103" s="350"/>
      <c r="C103" s="348"/>
      <c r="D103" s="339"/>
      <c r="E103" s="348"/>
      <c r="F103" s="348"/>
      <c r="G103" s="427"/>
      <c r="H103" s="427"/>
      <c r="I103" s="427"/>
      <c r="J103" s="427"/>
      <c r="K103" s="427"/>
      <c r="L103" s="427"/>
      <c r="M103" s="427"/>
      <c r="N103" s="427"/>
      <c r="O103" s="95" t="str">
        <f t="shared" si="49"/>
        <v>Evaluación de adherencia de protocolos y procedimientos</v>
      </c>
      <c r="P103" s="78" t="str">
        <f t="shared" si="49"/>
        <v>Permanente</v>
      </c>
      <c r="Q103" s="97" t="s">
        <v>108</v>
      </c>
      <c r="R103" s="97" t="str">
        <f t="shared" si="50"/>
        <v>Enero-Abril</v>
      </c>
      <c r="S103" s="97" t="str">
        <f>+'FT-Mapa de riesgos'!X39</f>
        <v>Mayo-Agosto</v>
      </c>
      <c r="T103" s="97" t="str">
        <f>+'FT-Mapa de riesgos'!Y39</f>
        <v>Septiembre-Diciembre</v>
      </c>
      <c r="U103" s="97">
        <f t="shared" si="52"/>
        <v>1</v>
      </c>
      <c r="V103" s="97" t="str">
        <f t="shared" si="53"/>
        <v>Si</v>
      </c>
      <c r="W103" s="96" t="str">
        <f t="shared" si="57"/>
        <v xml:space="preserve"> </v>
      </c>
      <c r="X103" s="139" t="str">
        <f t="shared" si="57"/>
        <v xml:space="preserve"> </v>
      </c>
      <c r="Y103" s="134" t="str">
        <f t="shared" si="54"/>
        <v xml:space="preserve"> </v>
      </c>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7"/>
      <c r="BD103" s="17"/>
      <c r="BE103" s="17"/>
      <c r="BF103" s="17"/>
      <c r="BG103" s="17"/>
      <c r="BH103" s="17"/>
      <c r="BI103" s="17"/>
      <c r="BJ103" s="17"/>
      <c r="BK103" s="17"/>
      <c r="BL103" s="17"/>
      <c r="BM103" s="17"/>
      <c r="BN103" s="17"/>
      <c r="BO103" s="17"/>
      <c r="BP103" s="17"/>
      <c r="BQ103" s="17"/>
      <c r="BR103" s="17"/>
      <c r="BS103" s="17"/>
      <c r="BT103" s="17"/>
      <c r="BU103" s="17"/>
      <c r="BV103" s="17"/>
      <c r="BW103" s="17"/>
      <c r="BX103" s="17"/>
      <c r="BY103" s="17"/>
      <c r="BZ103" s="17"/>
      <c r="CA103" s="17"/>
      <c r="CB103" s="17"/>
      <c r="CC103" s="17"/>
      <c r="CD103" s="17"/>
    </row>
    <row r="104" spans="1:82" s="1" customFormat="1" ht="42.75" customHeight="1" thickBot="1" x14ac:dyDescent="0.3">
      <c r="A104" s="422"/>
      <c r="B104" s="351"/>
      <c r="C104" s="348"/>
      <c r="D104" s="344"/>
      <c r="E104" s="348"/>
      <c r="F104" s="348"/>
      <c r="G104" s="427"/>
      <c r="H104" s="427"/>
      <c r="I104" s="427"/>
      <c r="J104" s="427"/>
      <c r="K104" s="427"/>
      <c r="L104" s="427"/>
      <c r="M104" s="427"/>
      <c r="N104" s="427"/>
      <c r="O104" s="95" t="str">
        <f t="shared" si="49"/>
        <v/>
      </c>
      <c r="P104" s="78" t="str">
        <f t="shared" si="49"/>
        <v/>
      </c>
      <c r="Q104" s="97" t="s">
        <v>108</v>
      </c>
      <c r="R104" s="97" t="str">
        <f t="shared" si="50"/>
        <v/>
      </c>
      <c r="S104" s="97">
        <f>+'FT-Mapa de riesgos'!X40</f>
        <v>0</v>
      </c>
      <c r="T104" s="97">
        <f>+'FT-Mapa de riesgos'!Y40</f>
        <v>0</v>
      </c>
      <c r="U104" s="97">
        <f t="shared" si="52"/>
        <v>0</v>
      </c>
      <c r="V104" s="97" t="str">
        <f t="shared" si="53"/>
        <v>No</v>
      </c>
      <c r="W104" s="96" t="str">
        <f t="shared" si="57"/>
        <v>No</v>
      </c>
      <c r="X104" s="139" t="str">
        <f t="shared" si="57"/>
        <v>No</v>
      </c>
      <c r="Y104" s="134" t="str">
        <f t="shared" si="54"/>
        <v xml:space="preserve"> </v>
      </c>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7"/>
      <c r="BD104" s="17"/>
      <c r="BE104" s="17"/>
      <c r="BF104" s="17"/>
      <c r="BG104" s="17"/>
      <c r="BH104" s="17"/>
      <c r="BI104" s="17"/>
      <c r="BJ104" s="17"/>
      <c r="BK104" s="17"/>
      <c r="BL104" s="17"/>
      <c r="BM104" s="17"/>
      <c r="BN104" s="17"/>
      <c r="BO104" s="17"/>
      <c r="BP104" s="17"/>
      <c r="BQ104" s="17"/>
      <c r="BR104" s="17"/>
      <c r="BS104" s="17"/>
      <c r="BT104" s="17"/>
      <c r="BU104" s="17"/>
      <c r="BV104" s="17"/>
      <c r="BW104" s="17"/>
      <c r="BX104" s="17"/>
      <c r="BY104" s="17"/>
      <c r="BZ104" s="17"/>
      <c r="CA104" s="17"/>
      <c r="CB104" s="17"/>
      <c r="CC104" s="17"/>
      <c r="CD104" s="17"/>
    </row>
    <row r="105" spans="1:82" s="1" customFormat="1" ht="42.75" customHeight="1" x14ac:dyDescent="0.25">
      <c r="A105" s="422"/>
      <c r="B105" s="349" t="str">
        <f>+IF($A$115=$X$81,'FT-Mapa de riesgos'!B41,"")</f>
        <v/>
      </c>
      <c r="C105" s="344" t="str">
        <f>+IF(B105=8,'FT-Mapa de riesgos'!C41,"")</f>
        <v/>
      </c>
      <c r="D105" s="338" t="str">
        <f t="shared" ref="D105" si="68">+IF(B105=1,1,"NA")</f>
        <v>NA</v>
      </c>
      <c r="E105" s="344" t="str">
        <f>+IF(B105=8,'FT-Mapa de riesgos'!E41,"")</f>
        <v/>
      </c>
      <c r="F105" s="348"/>
      <c r="G105" s="428" t="str">
        <f t="shared" ref="G105" si="69">IF($F105="","No",IF($F105="No","No"," "))</f>
        <v>No</v>
      </c>
      <c r="H105" s="428" t="str">
        <f t="shared" si="56"/>
        <v>No</v>
      </c>
      <c r="I105" s="428" t="str">
        <f t="shared" si="56"/>
        <v>No</v>
      </c>
      <c r="J105" s="428" t="str">
        <f t="shared" si="56"/>
        <v>No</v>
      </c>
      <c r="K105" s="428" t="str">
        <f t="shared" si="56"/>
        <v>No</v>
      </c>
      <c r="L105" s="428" t="str">
        <f t="shared" si="56"/>
        <v>No</v>
      </c>
      <c r="M105" s="428" t="str">
        <f t="shared" si="56"/>
        <v>No</v>
      </c>
      <c r="N105" s="428" t="str">
        <f t="shared" si="56"/>
        <v>No</v>
      </c>
      <c r="O105" s="95" t="str">
        <f t="shared" si="49"/>
        <v>Monitoreo de asignación de citas</v>
      </c>
      <c r="P105" s="78" t="str">
        <f t="shared" si="49"/>
        <v>Permanente</v>
      </c>
      <c r="Q105" s="97" t="s">
        <v>108</v>
      </c>
      <c r="R105" s="97" t="str">
        <f t="shared" si="50"/>
        <v>Enero-Abril</v>
      </c>
      <c r="S105" s="97" t="str">
        <f>+'FT-Mapa de riesgos'!X41</f>
        <v>Mayo-Agosto</v>
      </c>
      <c r="T105" s="97" t="str">
        <f>+'FT-Mapa de riesgos'!Y41</f>
        <v>Septiembre-Diciembre</v>
      </c>
      <c r="U105" s="97">
        <f t="shared" si="52"/>
        <v>1</v>
      </c>
      <c r="V105" s="97" t="str">
        <f t="shared" si="53"/>
        <v>Si</v>
      </c>
      <c r="W105" s="96" t="str">
        <f t="shared" si="57"/>
        <v xml:space="preserve"> </v>
      </c>
      <c r="X105" s="139" t="str">
        <f t="shared" si="57"/>
        <v xml:space="preserve"> </v>
      </c>
      <c r="Y105" s="134" t="str">
        <f t="shared" si="54"/>
        <v xml:space="preserve"> </v>
      </c>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7"/>
      <c r="BD105" s="17"/>
      <c r="BE105" s="17"/>
      <c r="BF105" s="17"/>
      <c r="BG105" s="17"/>
      <c r="BH105" s="17"/>
      <c r="BI105" s="17"/>
      <c r="BJ105" s="17"/>
      <c r="BK105" s="17"/>
      <c r="BL105" s="17"/>
      <c r="BM105" s="17"/>
      <c r="BN105" s="17"/>
      <c r="BO105" s="17"/>
      <c r="BP105" s="17"/>
      <c r="BQ105" s="17"/>
      <c r="BR105" s="17"/>
      <c r="BS105" s="17"/>
      <c r="BT105" s="17"/>
      <c r="BU105" s="17"/>
      <c r="BV105" s="17"/>
      <c r="BW105" s="17"/>
      <c r="BX105" s="17"/>
      <c r="BY105" s="17"/>
      <c r="BZ105" s="17"/>
      <c r="CA105" s="17"/>
      <c r="CB105" s="17"/>
      <c r="CC105" s="17"/>
      <c r="CD105" s="17"/>
    </row>
    <row r="106" spans="1:82" s="1" customFormat="1" ht="42.75" customHeight="1" x14ac:dyDescent="0.25">
      <c r="A106" s="422"/>
      <c r="B106" s="350"/>
      <c r="C106" s="348"/>
      <c r="D106" s="339"/>
      <c r="E106" s="348"/>
      <c r="F106" s="348"/>
      <c r="G106" s="427"/>
      <c r="H106" s="427"/>
      <c r="I106" s="427"/>
      <c r="J106" s="427"/>
      <c r="K106" s="427"/>
      <c r="L106" s="427"/>
      <c r="M106" s="427"/>
      <c r="N106" s="427"/>
      <c r="O106" s="95" t="str">
        <f t="shared" si="49"/>
        <v/>
      </c>
      <c r="P106" s="78" t="str">
        <f t="shared" si="49"/>
        <v/>
      </c>
      <c r="Q106" s="97" t="s">
        <v>108</v>
      </c>
      <c r="R106" s="97" t="str">
        <f t="shared" si="50"/>
        <v/>
      </c>
      <c r="S106" s="97">
        <f>+'FT-Mapa de riesgos'!X42</f>
        <v>0</v>
      </c>
      <c r="T106" s="97">
        <f>+'FT-Mapa de riesgos'!Y42</f>
        <v>0</v>
      </c>
      <c r="U106" s="97">
        <f t="shared" si="52"/>
        <v>0</v>
      </c>
      <c r="V106" s="97" t="str">
        <f t="shared" si="53"/>
        <v>No</v>
      </c>
      <c r="W106" s="96" t="str">
        <f t="shared" si="57"/>
        <v>No</v>
      </c>
      <c r="X106" s="139" t="str">
        <f t="shared" si="57"/>
        <v>No</v>
      </c>
      <c r="Y106" s="134" t="str">
        <f t="shared" si="54"/>
        <v xml:space="preserve"> </v>
      </c>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7"/>
      <c r="BD106" s="17"/>
      <c r="BE106" s="17"/>
      <c r="BF106" s="17"/>
      <c r="BG106" s="17"/>
      <c r="BH106" s="17"/>
      <c r="BI106" s="17"/>
      <c r="BJ106" s="17"/>
      <c r="BK106" s="17"/>
      <c r="BL106" s="17"/>
      <c r="BM106" s="17"/>
      <c r="BN106" s="17"/>
      <c r="BO106" s="17"/>
      <c r="BP106" s="17"/>
      <c r="BQ106" s="17"/>
      <c r="BR106" s="17"/>
      <c r="BS106" s="17"/>
      <c r="BT106" s="17"/>
      <c r="BU106" s="17"/>
      <c r="BV106" s="17"/>
      <c r="BW106" s="17"/>
      <c r="BX106" s="17"/>
      <c r="BY106" s="17"/>
      <c r="BZ106" s="17"/>
      <c r="CA106" s="17"/>
      <c r="CB106" s="17"/>
      <c r="CC106" s="17"/>
      <c r="CD106" s="17"/>
    </row>
    <row r="107" spans="1:82" s="1" customFormat="1" ht="42.75" customHeight="1" thickBot="1" x14ac:dyDescent="0.3">
      <c r="A107" s="422"/>
      <c r="B107" s="351"/>
      <c r="C107" s="348"/>
      <c r="D107" s="344"/>
      <c r="E107" s="348"/>
      <c r="F107" s="348"/>
      <c r="G107" s="427"/>
      <c r="H107" s="427"/>
      <c r="I107" s="427"/>
      <c r="J107" s="427"/>
      <c r="K107" s="427"/>
      <c r="L107" s="427"/>
      <c r="M107" s="427"/>
      <c r="N107" s="427"/>
      <c r="O107" s="95" t="str">
        <f t="shared" si="49"/>
        <v/>
      </c>
      <c r="P107" s="78" t="str">
        <f t="shared" si="49"/>
        <v/>
      </c>
      <c r="Q107" s="97" t="s">
        <v>108</v>
      </c>
      <c r="R107" s="97" t="str">
        <f t="shared" si="50"/>
        <v/>
      </c>
      <c r="S107" s="97">
        <f>+'FT-Mapa de riesgos'!X43</f>
        <v>0</v>
      </c>
      <c r="T107" s="97">
        <f>+'FT-Mapa de riesgos'!Y43</f>
        <v>0</v>
      </c>
      <c r="U107" s="97">
        <f t="shared" si="52"/>
        <v>0</v>
      </c>
      <c r="V107" s="97" t="str">
        <f t="shared" si="53"/>
        <v>No</v>
      </c>
      <c r="W107" s="96" t="str">
        <f t="shared" si="57"/>
        <v>No</v>
      </c>
      <c r="X107" s="139" t="str">
        <f t="shared" si="57"/>
        <v>No</v>
      </c>
      <c r="Y107" s="134" t="str">
        <f t="shared" si="54"/>
        <v xml:space="preserve"> </v>
      </c>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7"/>
      <c r="BD107" s="17"/>
      <c r="BE107" s="17"/>
      <c r="BF107" s="17"/>
      <c r="BG107" s="17"/>
      <c r="BH107" s="17"/>
      <c r="BI107" s="17"/>
      <c r="BJ107" s="17"/>
      <c r="BK107" s="17"/>
      <c r="BL107" s="17"/>
      <c r="BM107" s="17"/>
      <c r="BN107" s="17"/>
      <c r="BO107" s="17"/>
      <c r="BP107" s="17"/>
      <c r="BQ107" s="17"/>
      <c r="BR107" s="17"/>
      <c r="BS107" s="17"/>
      <c r="BT107" s="17"/>
      <c r="BU107" s="17"/>
      <c r="BV107" s="17"/>
      <c r="BW107" s="17"/>
      <c r="BX107" s="17"/>
      <c r="BY107" s="17"/>
      <c r="BZ107" s="17"/>
      <c r="CA107" s="17"/>
      <c r="CB107" s="17"/>
      <c r="CC107" s="17"/>
      <c r="CD107" s="17"/>
    </row>
    <row r="108" spans="1:82" s="1" customFormat="1" ht="42.75" customHeight="1" x14ac:dyDescent="0.25">
      <c r="A108" s="422"/>
      <c r="B108" s="349" t="str">
        <f>+IF($A$115=$X$81,'FT-Mapa de riesgos'!B80,"")</f>
        <v/>
      </c>
      <c r="C108" s="344" t="str">
        <f>+IF(B108=9,'FT-Mapa de riesgos'!C80,"")</f>
        <v/>
      </c>
      <c r="D108" s="338" t="str">
        <f t="shared" ref="D108" si="70">+IF(B108=1,1,"NA")</f>
        <v>NA</v>
      </c>
      <c r="E108" s="344" t="str">
        <f>+IF(B108=9,'FT-Mapa de riesgos'!E80,"")</f>
        <v/>
      </c>
      <c r="F108" s="352"/>
      <c r="G108" s="428" t="str">
        <f t="shared" ref="G108" si="71">IF($F108="","No",IF($F108="No","No"," "))</f>
        <v>No</v>
      </c>
      <c r="H108" s="428" t="str">
        <f t="shared" si="56"/>
        <v>No</v>
      </c>
      <c r="I108" s="428" t="str">
        <f t="shared" si="56"/>
        <v>No</v>
      </c>
      <c r="J108" s="428" t="str">
        <f t="shared" si="56"/>
        <v>No</v>
      </c>
      <c r="K108" s="428" t="str">
        <f t="shared" si="56"/>
        <v>No</v>
      </c>
      <c r="L108" s="428" t="str">
        <f t="shared" si="56"/>
        <v>No</v>
      </c>
      <c r="M108" s="428" t="str">
        <f t="shared" si="56"/>
        <v>No</v>
      </c>
      <c r="N108" s="428" t="str">
        <f t="shared" si="56"/>
        <v>No</v>
      </c>
      <c r="O108" s="95" t="str">
        <f t="shared" si="49"/>
        <v>Verificación de experiencia en docencia</v>
      </c>
      <c r="P108" s="78" t="str">
        <f t="shared" si="49"/>
        <v>Anual</v>
      </c>
      <c r="Q108" s="97" t="s">
        <v>108</v>
      </c>
      <c r="R108" s="97" t="str">
        <f t="shared" si="50"/>
        <v>N/A</v>
      </c>
      <c r="S108" s="97" t="str">
        <f>+'FT-Mapa de riesgos'!X80</f>
        <v>N/A</v>
      </c>
      <c r="T108" s="97" t="str">
        <f>+'FT-Mapa de riesgos'!Y80</f>
        <v>Septiembre-Diciembre</v>
      </c>
      <c r="U108" s="97">
        <f t="shared" si="52"/>
        <v>1</v>
      </c>
      <c r="V108" s="97" t="str">
        <f t="shared" si="53"/>
        <v>Si</v>
      </c>
      <c r="W108" s="96" t="str">
        <f t="shared" si="57"/>
        <v xml:space="preserve"> </v>
      </c>
      <c r="X108" s="139" t="str">
        <f t="shared" si="57"/>
        <v xml:space="preserve"> </v>
      </c>
      <c r="Y108" s="134" t="str">
        <f t="shared" si="54"/>
        <v xml:space="preserve"> </v>
      </c>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7"/>
      <c r="BD108" s="17"/>
      <c r="BE108" s="17"/>
      <c r="BF108" s="17"/>
      <c r="BG108" s="17"/>
      <c r="BH108" s="17"/>
      <c r="BI108" s="17"/>
      <c r="BJ108" s="17"/>
      <c r="BK108" s="17"/>
      <c r="BL108" s="17"/>
      <c r="BM108" s="17"/>
      <c r="BN108" s="17"/>
      <c r="BO108" s="17"/>
      <c r="BP108" s="17"/>
      <c r="BQ108" s="17"/>
      <c r="BR108" s="17"/>
      <c r="BS108" s="17"/>
      <c r="BT108" s="17"/>
      <c r="BU108" s="17"/>
      <c r="BV108" s="17"/>
      <c r="BW108" s="17"/>
      <c r="BX108" s="17"/>
      <c r="BY108" s="17"/>
      <c r="BZ108" s="17"/>
      <c r="CA108" s="17"/>
      <c r="CB108" s="17"/>
      <c r="CC108" s="17"/>
      <c r="CD108" s="17"/>
    </row>
    <row r="109" spans="1:82" s="1" customFormat="1" ht="42.75" customHeight="1" x14ac:dyDescent="0.25">
      <c r="A109" s="422"/>
      <c r="B109" s="350"/>
      <c r="C109" s="348"/>
      <c r="D109" s="339"/>
      <c r="E109" s="348"/>
      <c r="F109" s="339"/>
      <c r="G109" s="427"/>
      <c r="H109" s="427"/>
      <c r="I109" s="427"/>
      <c r="J109" s="427"/>
      <c r="K109" s="427"/>
      <c r="L109" s="427"/>
      <c r="M109" s="427"/>
      <c r="N109" s="427"/>
      <c r="O109" s="95" t="str">
        <f t="shared" si="49"/>
        <v/>
      </c>
      <c r="P109" s="78" t="str">
        <f t="shared" si="49"/>
        <v/>
      </c>
      <c r="Q109" s="97" t="s">
        <v>108</v>
      </c>
      <c r="R109" s="97" t="str">
        <f t="shared" si="50"/>
        <v/>
      </c>
      <c r="S109" s="97">
        <f>+'FT-Mapa de riesgos'!X81</f>
        <v>0</v>
      </c>
      <c r="T109" s="97">
        <f>+'FT-Mapa de riesgos'!Y81</f>
        <v>0</v>
      </c>
      <c r="U109" s="97">
        <f t="shared" si="52"/>
        <v>0</v>
      </c>
      <c r="V109" s="97" t="str">
        <f t="shared" si="53"/>
        <v>No</v>
      </c>
      <c r="W109" s="96" t="str">
        <f t="shared" si="57"/>
        <v>No</v>
      </c>
      <c r="X109" s="139" t="str">
        <f t="shared" si="57"/>
        <v>No</v>
      </c>
      <c r="Y109" s="134" t="str">
        <f t="shared" si="54"/>
        <v xml:space="preserve"> </v>
      </c>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7"/>
      <c r="BD109" s="17"/>
      <c r="BE109" s="17"/>
      <c r="BF109" s="17"/>
      <c r="BG109" s="17"/>
      <c r="BH109" s="17"/>
      <c r="BI109" s="17"/>
      <c r="BJ109" s="17"/>
      <c r="BK109" s="17"/>
      <c r="BL109" s="17"/>
      <c r="BM109" s="17"/>
      <c r="BN109" s="17"/>
      <c r="BO109" s="17"/>
      <c r="BP109" s="17"/>
      <c r="BQ109" s="17"/>
      <c r="BR109" s="17"/>
      <c r="BS109" s="17"/>
      <c r="BT109" s="17"/>
      <c r="BU109" s="17"/>
      <c r="BV109" s="17"/>
      <c r="BW109" s="17"/>
      <c r="BX109" s="17"/>
      <c r="BY109" s="17"/>
      <c r="BZ109" s="17"/>
      <c r="CA109" s="17"/>
      <c r="CB109" s="17"/>
      <c r="CC109" s="17"/>
      <c r="CD109" s="17"/>
    </row>
    <row r="110" spans="1:82" s="1" customFormat="1" ht="42.75" customHeight="1" thickBot="1" x14ac:dyDescent="0.3">
      <c r="A110" s="422"/>
      <c r="B110" s="351"/>
      <c r="C110" s="348"/>
      <c r="D110" s="344"/>
      <c r="E110" s="348"/>
      <c r="F110" s="344"/>
      <c r="G110" s="427"/>
      <c r="H110" s="427"/>
      <c r="I110" s="427"/>
      <c r="J110" s="427"/>
      <c r="K110" s="427"/>
      <c r="L110" s="427"/>
      <c r="M110" s="427"/>
      <c r="N110" s="427"/>
      <c r="O110" s="95" t="str">
        <f t="shared" si="49"/>
        <v/>
      </c>
      <c r="P110" s="78" t="str">
        <f t="shared" si="49"/>
        <v/>
      </c>
      <c r="Q110" s="97" t="s">
        <v>108</v>
      </c>
      <c r="R110" s="97" t="str">
        <f t="shared" si="50"/>
        <v/>
      </c>
      <c r="S110" s="97">
        <f>+'FT-Mapa de riesgos'!X82</f>
        <v>0</v>
      </c>
      <c r="T110" s="97">
        <f>+'FT-Mapa de riesgos'!Y82</f>
        <v>0</v>
      </c>
      <c r="U110" s="97">
        <f t="shared" si="52"/>
        <v>0</v>
      </c>
      <c r="V110" s="97" t="str">
        <f t="shared" si="53"/>
        <v>No</v>
      </c>
      <c r="W110" s="96" t="str">
        <f t="shared" si="57"/>
        <v>No</v>
      </c>
      <c r="X110" s="139" t="str">
        <f t="shared" si="57"/>
        <v>No</v>
      </c>
      <c r="Y110" s="134" t="str">
        <f t="shared" si="54"/>
        <v xml:space="preserve"> </v>
      </c>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7"/>
      <c r="BD110" s="17"/>
      <c r="BE110" s="17"/>
      <c r="BF110" s="17"/>
      <c r="BG110" s="17"/>
      <c r="BH110" s="17"/>
      <c r="BI110" s="17"/>
      <c r="BJ110" s="17"/>
      <c r="BK110" s="17"/>
      <c r="BL110" s="17"/>
      <c r="BM110" s="17"/>
      <c r="BN110" s="17"/>
      <c r="BO110" s="17"/>
      <c r="BP110" s="17"/>
      <c r="BQ110" s="17"/>
      <c r="BR110" s="17"/>
      <c r="BS110" s="17"/>
      <c r="BT110" s="17"/>
      <c r="BU110" s="17"/>
      <c r="BV110" s="17"/>
      <c r="BW110" s="17"/>
      <c r="BX110" s="17"/>
      <c r="BY110" s="17"/>
      <c r="BZ110" s="17"/>
      <c r="CA110" s="17"/>
      <c r="CB110" s="17"/>
      <c r="CC110" s="17"/>
      <c r="CD110" s="17"/>
    </row>
    <row r="111" spans="1:82" ht="42.75" customHeight="1" x14ac:dyDescent="0.25">
      <c r="A111" s="422"/>
      <c r="B111" s="349" t="str">
        <f>+IF($A$115=$X$81,'FT-Mapa de riesgos'!#REF!,"")</f>
        <v/>
      </c>
      <c r="C111" s="344" t="str">
        <f>+IF(B111=10,'FT-Mapa de riesgos'!#REF!,"")</f>
        <v/>
      </c>
      <c r="D111" s="338" t="str">
        <f t="shared" ref="D111" si="72">+IF(B111=1,1,"NA")</f>
        <v>NA</v>
      </c>
      <c r="E111" s="344" t="str">
        <f>+IF(B111=10,'FT-Mapa de riesgos'!#REF!,"")</f>
        <v/>
      </c>
      <c r="F111" s="348"/>
      <c r="G111" s="428" t="str">
        <f t="shared" ref="G111" si="73">IF($F111="","No",IF($F111="No","No"," "))</f>
        <v>No</v>
      </c>
      <c r="H111" s="428" t="str">
        <f t="shared" si="56"/>
        <v>No</v>
      </c>
      <c r="I111" s="428" t="str">
        <f t="shared" si="56"/>
        <v>No</v>
      </c>
      <c r="J111" s="428" t="str">
        <f t="shared" si="56"/>
        <v>No</v>
      </c>
      <c r="K111" s="428" t="str">
        <f t="shared" si="56"/>
        <v>No</v>
      </c>
      <c r="L111" s="428" t="str">
        <f t="shared" si="56"/>
        <v>No</v>
      </c>
      <c r="M111" s="428" t="str">
        <f t="shared" si="56"/>
        <v>No</v>
      </c>
      <c r="N111" s="428" t="str">
        <f t="shared" si="56"/>
        <v>No</v>
      </c>
      <c r="O111" s="95" t="e">
        <f t="shared" si="49"/>
        <v>#REF!</v>
      </c>
      <c r="P111" s="78" t="e">
        <f t="shared" si="49"/>
        <v>#REF!</v>
      </c>
      <c r="Q111" s="97" t="s">
        <v>108</v>
      </c>
      <c r="R111" s="97" t="e">
        <f t="shared" si="50"/>
        <v>#REF!</v>
      </c>
      <c r="S111" s="97" t="e">
        <f>+'FT-Mapa de riesgos'!#REF!</f>
        <v>#REF!</v>
      </c>
      <c r="T111" s="97" t="e">
        <f>+'FT-Mapa de riesgos'!#REF!</f>
        <v>#REF!</v>
      </c>
      <c r="U111" s="97" t="e">
        <f t="shared" si="52"/>
        <v>#REF!</v>
      </c>
      <c r="V111" s="97" t="e">
        <f t="shared" si="53"/>
        <v>#REF!</v>
      </c>
      <c r="W111" s="96" t="e">
        <f t="shared" si="57"/>
        <v>#REF!</v>
      </c>
      <c r="X111" s="139" t="e">
        <f t="shared" si="57"/>
        <v>#REF!</v>
      </c>
      <c r="Y111" s="134" t="str">
        <f t="shared" si="54"/>
        <v xml:space="preserve"> </v>
      </c>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7"/>
      <c r="BD111" s="17"/>
      <c r="BE111" s="17"/>
      <c r="BF111" s="17"/>
      <c r="BG111" s="17"/>
      <c r="BH111" s="17"/>
      <c r="BI111" s="17"/>
      <c r="BJ111" s="17"/>
      <c r="BK111" s="17"/>
      <c r="BL111" s="17"/>
      <c r="BM111" s="17"/>
      <c r="BN111" s="17"/>
      <c r="BO111" s="17"/>
      <c r="BP111" s="17"/>
      <c r="BQ111" s="17"/>
      <c r="BR111" s="17"/>
      <c r="BS111" s="17"/>
      <c r="BT111" s="17"/>
      <c r="BU111" s="17"/>
      <c r="BV111" s="17"/>
      <c r="BW111" s="17"/>
      <c r="BX111" s="17"/>
      <c r="BY111" s="17"/>
      <c r="BZ111" s="17"/>
      <c r="CA111" s="17"/>
      <c r="CB111" s="17"/>
      <c r="CC111" s="17"/>
      <c r="CD111" s="17"/>
    </row>
    <row r="112" spans="1:82" ht="42.75" customHeight="1" x14ac:dyDescent="0.25">
      <c r="A112" s="422"/>
      <c r="B112" s="350"/>
      <c r="C112" s="348"/>
      <c r="D112" s="339"/>
      <c r="E112" s="348"/>
      <c r="F112" s="348"/>
      <c r="G112" s="427"/>
      <c r="H112" s="427"/>
      <c r="I112" s="427"/>
      <c r="J112" s="427"/>
      <c r="K112" s="427"/>
      <c r="L112" s="427"/>
      <c r="M112" s="427"/>
      <c r="N112" s="427"/>
      <c r="O112" s="95" t="e">
        <f t="shared" si="49"/>
        <v>#REF!</v>
      </c>
      <c r="P112" s="78" t="e">
        <f t="shared" si="49"/>
        <v>#REF!</v>
      </c>
      <c r="Q112" s="97" t="s">
        <v>108</v>
      </c>
      <c r="R112" s="97" t="e">
        <f t="shared" si="50"/>
        <v>#REF!</v>
      </c>
      <c r="S112" s="97" t="e">
        <f>+'FT-Mapa de riesgos'!#REF!</f>
        <v>#REF!</v>
      </c>
      <c r="T112" s="97" t="e">
        <f>+'FT-Mapa de riesgos'!#REF!</f>
        <v>#REF!</v>
      </c>
      <c r="U112" s="97" t="e">
        <f t="shared" si="52"/>
        <v>#REF!</v>
      </c>
      <c r="V112" s="97" t="e">
        <f t="shared" si="53"/>
        <v>#REF!</v>
      </c>
      <c r="W112" s="96" t="e">
        <f t="shared" si="57"/>
        <v>#REF!</v>
      </c>
      <c r="X112" s="139" t="e">
        <f t="shared" si="57"/>
        <v>#REF!</v>
      </c>
      <c r="Y112" s="134" t="str">
        <f t="shared" si="54"/>
        <v xml:space="preserve"> </v>
      </c>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7"/>
      <c r="BD112" s="17"/>
      <c r="BE112" s="17"/>
      <c r="BF112" s="17"/>
      <c r="BG112" s="17"/>
      <c r="BH112" s="17"/>
      <c r="BI112" s="17"/>
      <c r="BJ112" s="17"/>
      <c r="BK112" s="17"/>
      <c r="BL112" s="17"/>
      <c r="BM112" s="17"/>
      <c r="BN112" s="17"/>
      <c r="BO112" s="17"/>
      <c r="BP112" s="17"/>
      <c r="BQ112" s="17"/>
      <c r="BR112" s="17"/>
      <c r="BS112" s="17"/>
      <c r="BT112" s="17"/>
      <c r="BU112" s="17"/>
      <c r="BV112" s="17"/>
      <c r="BW112" s="17"/>
      <c r="BX112" s="17"/>
      <c r="BY112" s="17"/>
      <c r="BZ112" s="17"/>
      <c r="CA112" s="17"/>
      <c r="CB112" s="17"/>
      <c r="CC112" s="17"/>
      <c r="CD112" s="17"/>
    </row>
    <row r="113" spans="1:82" ht="42.75" customHeight="1" thickBot="1" x14ac:dyDescent="0.3">
      <c r="A113" s="423"/>
      <c r="B113" s="424"/>
      <c r="C113" s="367"/>
      <c r="D113" s="340"/>
      <c r="E113" s="367"/>
      <c r="F113" s="367"/>
      <c r="G113" s="429"/>
      <c r="H113" s="429"/>
      <c r="I113" s="429"/>
      <c r="J113" s="429"/>
      <c r="K113" s="429"/>
      <c r="L113" s="429"/>
      <c r="M113" s="429"/>
      <c r="N113" s="429"/>
      <c r="O113" s="160" t="e">
        <f t="shared" si="49"/>
        <v>#REF!</v>
      </c>
      <c r="P113" s="141" t="e">
        <f t="shared" si="49"/>
        <v>#REF!</v>
      </c>
      <c r="Q113" s="142" t="s">
        <v>108</v>
      </c>
      <c r="R113" s="142" t="e">
        <f t="shared" si="50"/>
        <v>#REF!</v>
      </c>
      <c r="S113" s="142" t="e">
        <f>+'FT-Mapa de riesgos'!#REF!</f>
        <v>#REF!</v>
      </c>
      <c r="T113" s="142" t="e">
        <f>+'FT-Mapa de riesgos'!#REF!</f>
        <v>#REF!</v>
      </c>
      <c r="U113" s="142" t="e">
        <f t="shared" si="52"/>
        <v>#REF!</v>
      </c>
      <c r="V113" s="142" t="e">
        <f t="shared" si="53"/>
        <v>#REF!</v>
      </c>
      <c r="W113" s="140" t="e">
        <f t="shared" si="57"/>
        <v>#REF!</v>
      </c>
      <c r="X113" s="143" t="e">
        <f t="shared" si="57"/>
        <v>#REF!</v>
      </c>
      <c r="Y113" s="134" t="str">
        <f t="shared" si="54"/>
        <v xml:space="preserve"> </v>
      </c>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7"/>
      <c r="BD113" s="17"/>
      <c r="BE113" s="17"/>
      <c r="BF113" s="17"/>
      <c r="BG113" s="17"/>
      <c r="BH113" s="17"/>
      <c r="BI113" s="17"/>
      <c r="BJ113" s="17"/>
      <c r="BK113" s="17"/>
      <c r="BL113" s="17"/>
      <c r="BM113" s="17"/>
      <c r="BN113" s="17"/>
      <c r="BO113" s="17"/>
      <c r="BP113" s="17"/>
      <c r="BQ113" s="17"/>
      <c r="BR113" s="17"/>
      <c r="BS113" s="17"/>
      <c r="BT113" s="17"/>
      <c r="BU113" s="17"/>
      <c r="BV113" s="17"/>
      <c r="BW113" s="17"/>
      <c r="BX113" s="17"/>
      <c r="BY113" s="17"/>
      <c r="BZ113" s="17"/>
      <c r="CA113" s="17"/>
      <c r="CB113" s="17"/>
      <c r="CC113" s="17"/>
      <c r="CD113" s="17"/>
    </row>
    <row r="114" spans="1:82" s="1" customFormat="1" ht="42" customHeight="1" x14ac:dyDescent="0.25">
      <c r="A114" s="155"/>
      <c r="B114" s="147"/>
      <c r="C114" s="148"/>
      <c r="D114" s="148"/>
      <c r="E114" s="148"/>
      <c r="F114" s="148"/>
      <c r="G114" s="149"/>
      <c r="H114" s="149"/>
      <c r="I114" s="149"/>
      <c r="J114" s="149"/>
      <c r="K114" s="149"/>
      <c r="L114" s="149"/>
      <c r="M114" s="149"/>
      <c r="N114" s="149"/>
      <c r="O114" s="149"/>
      <c r="P114" s="150"/>
      <c r="Q114" s="148"/>
      <c r="R114" s="148"/>
      <c r="S114" s="148"/>
      <c r="T114" s="148"/>
      <c r="U114" s="148"/>
      <c r="V114" s="148"/>
      <c r="W114" s="151"/>
      <c r="X114" s="151"/>
      <c r="Y114" s="144"/>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7"/>
      <c r="BD114" s="17"/>
      <c r="BE114" s="17"/>
      <c r="BF114" s="17"/>
      <c r="BG114" s="17"/>
      <c r="BH114" s="17"/>
      <c r="BI114" s="17"/>
      <c r="BJ114" s="17"/>
      <c r="BK114" s="17"/>
      <c r="BL114" s="17"/>
      <c r="BM114" s="17"/>
      <c r="BN114" s="17"/>
      <c r="BO114" s="17"/>
      <c r="BP114" s="17"/>
      <c r="BQ114" s="17"/>
      <c r="BR114" s="17"/>
      <c r="BS114" s="17"/>
      <c r="BT114" s="17"/>
      <c r="BU114" s="17"/>
      <c r="BV114" s="17"/>
      <c r="BW114" s="17"/>
      <c r="BX114" s="17"/>
      <c r="BY114" s="17"/>
      <c r="BZ114" s="17"/>
      <c r="CA114" s="17"/>
      <c r="CB114" s="17"/>
      <c r="CC114" s="17"/>
      <c r="CD114" s="17"/>
    </row>
    <row r="115" spans="1:82" s="133" customFormat="1" ht="18.75" hidden="1" x14ac:dyDescent="0.25">
      <c r="A115" s="156" t="str">
        <f>+IF(A84="","",MONTH(A84))</f>
        <v/>
      </c>
      <c r="B115" s="152"/>
      <c r="C115" s="153"/>
      <c r="D115" s="153">
        <f>+COUNTIF(D84:D113,"1")</f>
        <v>0</v>
      </c>
      <c r="E115" s="153" t="e">
        <f>1-(F115/D115)</f>
        <v>#DIV/0!</v>
      </c>
      <c r="F115" s="153">
        <f>+COUNTIF(F84:F113,"Si")</f>
        <v>0</v>
      </c>
      <c r="G115" s="153"/>
      <c r="H115" s="153"/>
      <c r="I115" s="153"/>
      <c r="J115" s="153"/>
      <c r="K115" s="153"/>
      <c r="L115" s="153"/>
      <c r="M115" s="153"/>
      <c r="N115" s="153"/>
      <c r="O115" s="153"/>
      <c r="P115" s="153"/>
      <c r="Q115" s="153"/>
      <c r="R115" s="153"/>
      <c r="S115" s="153"/>
      <c r="T115" s="153"/>
      <c r="U115" s="153"/>
      <c r="V115" s="153"/>
      <c r="W115" s="154"/>
      <c r="X115" s="154"/>
      <c r="Y115" s="145"/>
      <c r="Z115" s="132"/>
      <c r="AA115" s="132"/>
      <c r="AB115" s="132"/>
      <c r="AC115" s="132"/>
      <c r="AD115" s="132"/>
      <c r="AE115" s="132"/>
      <c r="AF115" s="132"/>
      <c r="AG115" s="132"/>
      <c r="AH115" s="132"/>
      <c r="AI115" s="132"/>
      <c r="AJ115" s="132"/>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132"/>
      <c r="BH115" s="132"/>
      <c r="BI115" s="132"/>
      <c r="BJ115" s="132"/>
      <c r="BK115" s="132"/>
      <c r="BL115" s="132"/>
      <c r="BM115" s="132"/>
      <c r="BN115" s="132"/>
      <c r="BO115" s="132"/>
      <c r="BP115" s="132"/>
      <c r="BQ115" s="132"/>
      <c r="BR115" s="132"/>
      <c r="BS115" s="132"/>
      <c r="BT115" s="132"/>
      <c r="BU115" s="132"/>
      <c r="BV115" s="132"/>
      <c r="BW115" s="132"/>
      <c r="BX115" s="132"/>
      <c r="BY115" s="132"/>
      <c r="BZ115" s="132"/>
      <c r="CA115" s="132"/>
      <c r="CB115" s="132"/>
      <c r="CC115" s="132"/>
      <c r="CD115" s="132"/>
    </row>
    <row r="116" spans="1:82" s="1" customFormat="1" ht="42" customHeight="1" x14ac:dyDescent="0.25">
      <c r="A116" s="157"/>
      <c r="B116" s="147"/>
      <c r="C116" s="148"/>
      <c r="D116" s="148"/>
      <c r="E116" s="148"/>
      <c r="F116" s="148"/>
      <c r="G116" s="149"/>
      <c r="H116" s="149"/>
      <c r="I116" s="149"/>
      <c r="J116" s="149"/>
      <c r="K116" s="149"/>
      <c r="L116" s="149"/>
      <c r="M116" s="149"/>
      <c r="N116" s="149"/>
      <c r="O116" s="149"/>
      <c r="P116" s="149"/>
      <c r="Q116" s="148"/>
      <c r="R116" s="148"/>
      <c r="S116" s="148"/>
      <c r="T116" s="148"/>
      <c r="U116" s="148"/>
      <c r="V116" s="148"/>
      <c r="W116" s="151"/>
      <c r="X116" s="151"/>
      <c r="Y116" s="146"/>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row>
    <row r="117" spans="1:82" ht="18.75" x14ac:dyDescent="0.25">
      <c r="A117" s="29" t="s">
        <v>71</v>
      </c>
      <c r="B117" s="29"/>
      <c r="C117" s="377"/>
      <c r="D117" s="377"/>
      <c r="E117" s="377"/>
      <c r="F117" s="377"/>
      <c r="G117" s="102"/>
      <c r="H117" s="102"/>
      <c r="I117" s="102"/>
      <c r="J117" s="102"/>
      <c r="K117" s="102"/>
      <c r="L117" s="102"/>
      <c r="M117" s="102"/>
      <c r="N117" s="102"/>
      <c r="O117" s="102"/>
      <c r="P117" s="102"/>
      <c r="Q117" s="377"/>
      <c r="R117" s="377"/>
      <c r="S117" s="377"/>
      <c r="T117" s="377"/>
      <c r="U117" s="377"/>
      <c r="V117" s="377"/>
      <c r="W117" s="377"/>
      <c r="X117" s="377"/>
      <c r="Y117" s="37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7"/>
      <c r="BD117" s="17"/>
      <c r="BE117" s="17"/>
      <c r="BF117" s="17"/>
      <c r="BG117" s="17"/>
      <c r="BH117" s="17"/>
      <c r="BI117" s="17"/>
      <c r="BJ117" s="17"/>
      <c r="BK117" s="17"/>
      <c r="BL117" s="17"/>
      <c r="BM117" s="17"/>
      <c r="BN117" s="17"/>
      <c r="BO117" s="17"/>
      <c r="BP117" s="17"/>
      <c r="BQ117" s="17"/>
      <c r="BR117" s="17"/>
      <c r="BS117" s="17"/>
      <c r="BT117" s="17"/>
      <c r="BU117" s="17"/>
      <c r="BV117" s="17"/>
      <c r="BW117" s="17"/>
      <c r="BX117" s="17"/>
      <c r="BY117" s="17"/>
      <c r="BZ117" s="17"/>
      <c r="CA117" s="17"/>
      <c r="CB117" s="17"/>
      <c r="CC117" s="17"/>
      <c r="CD117" s="17"/>
    </row>
    <row r="118" spans="1:82" ht="18.75" x14ac:dyDescent="0.25">
      <c r="A118" s="29" t="s">
        <v>1</v>
      </c>
      <c r="B118" s="29"/>
      <c r="C118" s="377"/>
      <c r="D118" s="377"/>
      <c r="E118" s="377"/>
      <c r="F118" s="377"/>
      <c r="G118" s="102"/>
      <c r="H118" s="102"/>
      <c r="I118" s="102"/>
      <c r="J118" s="102"/>
      <c r="K118" s="102"/>
      <c r="L118" s="102"/>
      <c r="M118" s="102"/>
      <c r="N118" s="102"/>
      <c r="O118" s="102"/>
      <c r="P118" s="102"/>
      <c r="Q118" s="377"/>
      <c r="R118" s="377"/>
      <c r="S118" s="377"/>
      <c r="T118" s="377"/>
      <c r="U118" s="377"/>
      <c r="V118" s="377"/>
      <c r="W118" s="377"/>
      <c r="X118" s="377"/>
      <c r="Y118" s="37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7"/>
      <c r="BD118" s="17"/>
      <c r="BE118" s="17"/>
      <c r="BF118" s="17"/>
      <c r="BG118" s="17"/>
      <c r="BH118" s="17"/>
      <c r="BI118" s="17"/>
      <c r="BJ118" s="17"/>
      <c r="BK118" s="17"/>
      <c r="BL118" s="17"/>
      <c r="BM118" s="17"/>
      <c r="BN118" s="17"/>
      <c r="BO118" s="17"/>
      <c r="BP118" s="17"/>
      <c r="BQ118" s="17"/>
      <c r="BR118" s="17"/>
      <c r="BS118" s="17"/>
      <c r="BT118" s="17"/>
      <c r="BU118" s="17"/>
      <c r="BV118" s="17"/>
      <c r="BW118" s="17"/>
      <c r="BX118" s="17"/>
      <c r="BY118" s="17"/>
      <c r="BZ118" s="17"/>
      <c r="CA118" s="17"/>
      <c r="CB118" s="17"/>
      <c r="CC118" s="17"/>
      <c r="CD118" s="17"/>
    </row>
    <row r="119" spans="1:82"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7"/>
      <c r="BD119" s="17"/>
      <c r="BE119" s="17"/>
      <c r="BF119" s="17"/>
      <c r="BG119" s="17"/>
      <c r="BH119" s="17"/>
      <c r="BI119" s="17"/>
      <c r="BJ119" s="17"/>
      <c r="BK119" s="17"/>
      <c r="BL119" s="17"/>
      <c r="BM119" s="17"/>
      <c r="BN119" s="17"/>
      <c r="BO119" s="17"/>
      <c r="BP119" s="17"/>
      <c r="BQ119" s="17"/>
      <c r="BR119" s="17"/>
      <c r="BS119" s="17"/>
      <c r="BT119" s="17"/>
      <c r="BU119" s="17"/>
      <c r="BV119" s="17"/>
      <c r="BW119" s="17"/>
      <c r="BX119" s="17"/>
      <c r="BY119" s="17"/>
      <c r="BZ119" s="17"/>
      <c r="CA119" s="17"/>
      <c r="CB119" s="17"/>
      <c r="CC119" s="17"/>
      <c r="CD119" s="17"/>
    </row>
    <row r="120" spans="1:82"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7"/>
      <c r="BD120" s="17"/>
      <c r="BE120" s="17"/>
      <c r="BF120" s="17"/>
      <c r="BG120" s="17"/>
      <c r="BH120" s="17"/>
      <c r="BI120" s="17"/>
      <c r="BJ120" s="17"/>
      <c r="BK120" s="17"/>
      <c r="BL120" s="17"/>
      <c r="BM120" s="17"/>
      <c r="BN120" s="17"/>
      <c r="BO120" s="17"/>
      <c r="BP120" s="17"/>
      <c r="BQ120" s="17"/>
      <c r="BR120" s="17"/>
      <c r="BS120" s="17"/>
      <c r="BT120" s="17"/>
      <c r="BU120" s="17"/>
      <c r="BV120" s="17"/>
      <c r="BW120" s="17"/>
      <c r="BX120" s="17"/>
      <c r="BY120" s="17"/>
      <c r="BZ120" s="17"/>
      <c r="CA120" s="17"/>
      <c r="CB120" s="17"/>
      <c r="CC120" s="17"/>
      <c r="CD120" s="17"/>
    </row>
    <row r="121" spans="1:82"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7"/>
      <c r="BD121" s="17"/>
      <c r="BE121" s="17"/>
      <c r="BF121" s="17"/>
      <c r="BG121" s="17"/>
      <c r="BH121" s="17"/>
      <c r="BI121" s="17"/>
      <c r="BJ121" s="17"/>
      <c r="BK121" s="17"/>
      <c r="BL121" s="17"/>
      <c r="BM121" s="17"/>
      <c r="BN121" s="17"/>
      <c r="BO121" s="17"/>
      <c r="BP121" s="17"/>
      <c r="BQ121" s="17"/>
      <c r="BR121" s="17"/>
      <c r="BS121" s="17"/>
      <c r="BT121" s="17"/>
      <c r="BU121" s="17"/>
      <c r="BV121" s="17"/>
      <c r="BW121" s="17"/>
      <c r="BX121" s="17"/>
      <c r="BY121" s="17"/>
      <c r="BZ121" s="17"/>
      <c r="CA121" s="17"/>
      <c r="CB121" s="17"/>
      <c r="CC121" s="17"/>
      <c r="CD121" s="17"/>
    </row>
    <row r="122" spans="1:82"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7"/>
      <c r="BD122" s="17"/>
      <c r="BE122" s="17"/>
      <c r="BF122" s="17"/>
      <c r="BG122" s="17"/>
      <c r="BH122" s="17"/>
      <c r="BI122" s="17"/>
      <c r="BJ122" s="17"/>
      <c r="BK122" s="17"/>
      <c r="BL122" s="17"/>
      <c r="BM122" s="17"/>
      <c r="BN122" s="17"/>
      <c r="BO122" s="17"/>
      <c r="BP122" s="17"/>
      <c r="BQ122" s="17"/>
      <c r="BR122" s="17"/>
      <c r="BS122" s="17"/>
      <c r="BT122" s="17"/>
      <c r="BU122" s="17"/>
      <c r="BV122" s="17"/>
      <c r="BW122" s="17"/>
      <c r="BX122" s="17"/>
      <c r="BY122" s="17"/>
      <c r="BZ122" s="17"/>
      <c r="CA122" s="17"/>
      <c r="CB122" s="17"/>
      <c r="CC122" s="17"/>
      <c r="CD122" s="17"/>
    </row>
    <row r="123" spans="1:82"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7"/>
      <c r="BD123" s="17"/>
      <c r="BE123" s="17"/>
      <c r="BF123" s="17"/>
      <c r="BG123" s="17"/>
      <c r="BH123" s="17"/>
      <c r="BI123" s="17"/>
      <c r="BJ123" s="17"/>
      <c r="BK123" s="17"/>
      <c r="BL123" s="17"/>
      <c r="BM123" s="17"/>
      <c r="BN123" s="17"/>
      <c r="BO123" s="17"/>
      <c r="BP123" s="17"/>
      <c r="BQ123" s="17"/>
      <c r="BR123" s="17"/>
      <c r="BS123" s="17"/>
      <c r="BT123" s="17"/>
      <c r="BU123" s="17"/>
      <c r="BV123" s="17"/>
      <c r="BW123" s="17"/>
      <c r="BX123" s="17"/>
      <c r="BY123" s="17"/>
      <c r="BZ123" s="17"/>
      <c r="CA123" s="17"/>
      <c r="CB123" s="17"/>
      <c r="CC123" s="17"/>
      <c r="CD123" s="17"/>
    </row>
    <row r="124" spans="1:82"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7"/>
      <c r="BD124" s="17"/>
      <c r="BE124" s="17"/>
      <c r="BF124" s="17"/>
      <c r="BG124" s="17"/>
      <c r="BH124" s="17"/>
      <c r="BI124" s="17"/>
      <c r="BJ124" s="17"/>
      <c r="BK124" s="17"/>
      <c r="BL124" s="17"/>
      <c r="BM124" s="17"/>
      <c r="BN124" s="17"/>
      <c r="BO124" s="17"/>
      <c r="BP124" s="17"/>
      <c r="BQ124" s="17"/>
      <c r="BR124" s="17"/>
      <c r="BS124" s="17"/>
      <c r="BT124" s="17"/>
      <c r="BU124" s="17"/>
      <c r="BV124" s="17"/>
      <c r="BW124" s="17"/>
      <c r="BX124" s="17"/>
      <c r="BY124" s="17"/>
      <c r="BZ124" s="17"/>
      <c r="CA124" s="17"/>
      <c r="CB124" s="17"/>
      <c r="CC124" s="17"/>
      <c r="CD124" s="17"/>
    </row>
    <row r="125" spans="1:82"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7"/>
      <c r="BD125" s="17"/>
      <c r="BE125" s="17"/>
      <c r="BF125" s="17"/>
      <c r="BG125" s="17"/>
      <c r="BH125" s="17"/>
      <c r="BI125" s="17"/>
      <c r="BJ125" s="17"/>
      <c r="BK125" s="17"/>
      <c r="BL125" s="17"/>
      <c r="BM125" s="17"/>
      <c r="BN125" s="17"/>
      <c r="BO125" s="17"/>
      <c r="BP125" s="17"/>
      <c r="BQ125" s="17"/>
      <c r="BR125" s="17"/>
      <c r="BS125" s="17"/>
      <c r="BT125" s="17"/>
      <c r="BU125" s="17"/>
      <c r="BV125" s="17"/>
      <c r="BW125" s="17"/>
      <c r="BX125" s="17"/>
      <c r="BY125" s="17"/>
      <c r="BZ125" s="17"/>
      <c r="CA125" s="17"/>
      <c r="CB125" s="17"/>
      <c r="CC125" s="17"/>
      <c r="CD125" s="17"/>
    </row>
    <row r="126" spans="1:82"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7"/>
      <c r="BD126" s="17"/>
      <c r="BE126" s="17"/>
      <c r="BF126" s="17"/>
      <c r="BG126" s="17"/>
      <c r="BH126" s="17"/>
      <c r="BI126" s="17"/>
      <c r="BJ126" s="17"/>
      <c r="BK126" s="17"/>
      <c r="BL126" s="17"/>
      <c r="BM126" s="17"/>
      <c r="BN126" s="17"/>
      <c r="BO126" s="17"/>
      <c r="BP126" s="17"/>
      <c r="BQ126" s="17"/>
      <c r="BR126" s="17"/>
      <c r="BS126" s="17"/>
      <c r="BT126" s="17"/>
      <c r="BU126" s="17"/>
      <c r="BV126" s="17"/>
      <c r="BW126" s="17"/>
      <c r="BX126" s="17"/>
      <c r="BY126" s="17"/>
      <c r="BZ126" s="17"/>
      <c r="CA126" s="17"/>
      <c r="CB126" s="17"/>
      <c r="CC126" s="17"/>
      <c r="CD126" s="17"/>
    </row>
    <row r="127" spans="1:82"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7"/>
      <c r="BD127" s="17"/>
      <c r="BE127" s="17"/>
      <c r="BF127" s="17"/>
      <c r="BG127" s="17"/>
      <c r="BH127" s="17"/>
      <c r="BI127" s="17"/>
      <c r="BJ127" s="17"/>
      <c r="BK127" s="17"/>
      <c r="BL127" s="17"/>
      <c r="BM127" s="17"/>
      <c r="BN127" s="17"/>
      <c r="BO127" s="17"/>
      <c r="BP127" s="17"/>
      <c r="BQ127" s="17"/>
      <c r="BR127" s="17"/>
      <c r="BS127" s="17"/>
      <c r="BT127" s="17"/>
      <c r="BU127" s="17"/>
      <c r="BV127" s="17"/>
      <c r="BW127" s="17"/>
      <c r="BX127" s="17"/>
      <c r="BY127" s="17"/>
      <c r="BZ127" s="17"/>
      <c r="CA127" s="17"/>
      <c r="CB127" s="17"/>
      <c r="CC127" s="17"/>
      <c r="CD127" s="17"/>
    </row>
    <row r="128" spans="1:82"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7"/>
      <c r="BD128" s="17"/>
      <c r="BE128" s="17"/>
      <c r="BF128" s="17"/>
      <c r="BG128" s="17"/>
      <c r="BH128" s="17"/>
      <c r="BI128" s="17"/>
      <c r="BJ128" s="17"/>
      <c r="BK128" s="17"/>
      <c r="BL128" s="17"/>
      <c r="BM128" s="17"/>
      <c r="BN128" s="17"/>
      <c r="BO128" s="17"/>
      <c r="BP128" s="17"/>
      <c r="BQ128" s="17"/>
      <c r="BR128" s="17"/>
      <c r="BS128" s="17"/>
      <c r="BT128" s="17"/>
      <c r="BU128" s="17"/>
      <c r="BV128" s="17"/>
      <c r="BW128" s="17"/>
      <c r="BX128" s="17"/>
      <c r="BY128" s="17"/>
      <c r="BZ128" s="17"/>
      <c r="CA128" s="17"/>
      <c r="CB128" s="17"/>
      <c r="CC128" s="17"/>
      <c r="CD128" s="17"/>
    </row>
    <row r="129" spans="1:82"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7"/>
      <c r="BD129" s="17"/>
      <c r="BE129" s="17"/>
      <c r="BF129" s="17"/>
      <c r="BG129" s="17"/>
      <c r="BH129" s="17"/>
      <c r="BI129" s="17"/>
      <c r="BJ129" s="17"/>
      <c r="BK129" s="17"/>
      <c r="BL129" s="17"/>
      <c r="BM129" s="17"/>
      <c r="BN129" s="17"/>
      <c r="BO129" s="17"/>
      <c r="BP129" s="17"/>
      <c r="BQ129" s="17"/>
      <c r="BR129" s="17"/>
      <c r="BS129" s="17"/>
      <c r="BT129" s="17"/>
      <c r="BU129" s="17"/>
      <c r="BV129" s="17"/>
      <c r="BW129" s="17"/>
      <c r="BX129" s="17"/>
      <c r="BY129" s="17"/>
      <c r="BZ129" s="17"/>
      <c r="CA129" s="17"/>
      <c r="CB129" s="17"/>
      <c r="CC129" s="17"/>
      <c r="CD129" s="17"/>
    </row>
    <row r="130" spans="1:82"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7"/>
      <c r="BD130" s="17"/>
      <c r="BE130" s="17"/>
      <c r="BF130" s="17"/>
      <c r="BG130" s="17"/>
      <c r="BH130" s="17"/>
      <c r="BI130" s="17"/>
      <c r="BJ130" s="17"/>
      <c r="BK130" s="17"/>
      <c r="BL130" s="17"/>
      <c r="BM130" s="17"/>
      <c r="BN130" s="17"/>
      <c r="BO130" s="17"/>
      <c r="BP130" s="17"/>
      <c r="BQ130" s="17"/>
      <c r="BR130" s="17"/>
      <c r="BS130" s="17"/>
      <c r="BT130" s="17"/>
      <c r="BU130" s="17"/>
      <c r="BV130" s="17"/>
      <c r="BW130" s="17"/>
      <c r="BX130" s="17"/>
      <c r="BY130" s="17"/>
      <c r="BZ130" s="17"/>
      <c r="CA130" s="17"/>
      <c r="CB130" s="17"/>
      <c r="CC130" s="17"/>
      <c r="CD130" s="17"/>
    </row>
    <row r="131" spans="1:82"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7"/>
      <c r="BD131" s="17"/>
      <c r="BE131" s="17"/>
      <c r="BF131" s="17"/>
      <c r="BG131" s="17"/>
      <c r="BH131" s="17"/>
      <c r="BI131" s="17"/>
      <c r="BJ131" s="17"/>
      <c r="BK131" s="17"/>
      <c r="BL131" s="17"/>
      <c r="BM131" s="17"/>
      <c r="BN131" s="17"/>
      <c r="BO131" s="17"/>
      <c r="BP131" s="17"/>
      <c r="BQ131" s="17"/>
      <c r="BR131" s="17"/>
      <c r="BS131" s="17"/>
      <c r="BT131" s="17"/>
      <c r="BU131" s="17"/>
      <c r="BV131" s="17"/>
      <c r="BW131" s="17"/>
      <c r="BX131" s="17"/>
      <c r="BY131" s="17"/>
      <c r="BZ131" s="17"/>
      <c r="CA131" s="17"/>
      <c r="CB131" s="17"/>
      <c r="CC131" s="17"/>
      <c r="CD131" s="17"/>
    </row>
    <row r="132" spans="1:82"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7"/>
      <c r="BD132" s="17"/>
      <c r="BE132" s="17"/>
      <c r="BF132" s="17"/>
      <c r="BG132" s="17"/>
      <c r="BH132" s="17"/>
      <c r="BI132" s="17"/>
      <c r="BJ132" s="17"/>
      <c r="BK132" s="17"/>
      <c r="BL132" s="17"/>
      <c r="BM132" s="17"/>
      <c r="BN132" s="17"/>
      <c r="BO132" s="17"/>
      <c r="BP132" s="17"/>
      <c r="BQ132" s="17"/>
      <c r="BR132" s="17"/>
      <c r="BS132" s="17"/>
      <c r="BT132" s="17"/>
      <c r="BU132" s="17"/>
      <c r="BV132" s="17"/>
      <c r="BW132" s="17"/>
      <c r="BX132" s="17"/>
      <c r="BY132" s="17"/>
      <c r="BZ132" s="17"/>
      <c r="CA132" s="17"/>
      <c r="CB132" s="17"/>
      <c r="CC132" s="17"/>
      <c r="CD132" s="17"/>
    </row>
    <row r="133" spans="1:82"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7"/>
      <c r="BD133" s="17"/>
      <c r="BE133" s="17"/>
      <c r="BF133" s="17"/>
      <c r="BG133" s="17"/>
      <c r="BH133" s="17"/>
      <c r="BI133" s="17"/>
      <c r="BJ133" s="17"/>
      <c r="BK133" s="17"/>
      <c r="BL133" s="17"/>
      <c r="BM133" s="17"/>
      <c r="BN133" s="17"/>
      <c r="BO133" s="17"/>
      <c r="BP133" s="17"/>
      <c r="BQ133" s="17"/>
      <c r="BR133" s="17"/>
      <c r="BS133" s="17"/>
      <c r="BT133" s="17"/>
      <c r="BU133" s="17"/>
      <c r="BV133" s="17"/>
      <c r="BW133" s="17"/>
      <c r="BX133" s="17"/>
      <c r="BY133" s="17"/>
      <c r="BZ133" s="17"/>
      <c r="CA133" s="17"/>
      <c r="CB133" s="17"/>
      <c r="CC133" s="17"/>
      <c r="CD133" s="17"/>
    </row>
    <row r="134" spans="1:82"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7"/>
      <c r="BD134" s="17"/>
      <c r="BE134" s="17"/>
      <c r="BF134" s="17"/>
      <c r="BG134" s="17"/>
      <c r="BH134" s="17"/>
      <c r="BI134" s="17"/>
      <c r="BJ134" s="17"/>
      <c r="BK134" s="17"/>
      <c r="BL134" s="17"/>
      <c r="BM134" s="17"/>
      <c r="BN134" s="17"/>
      <c r="BO134" s="17"/>
      <c r="BP134" s="17"/>
      <c r="BQ134" s="17"/>
      <c r="BR134" s="17"/>
      <c r="BS134" s="17"/>
      <c r="BT134" s="17"/>
      <c r="BU134" s="17"/>
      <c r="BV134" s="17"/>
      <c r="BW134" s="17"/>
      <c r="BX134" s="17"/>
      <c r="BY134" s="17"/>
      <c r="BZ134" s="17"/>
      <c r="CA134" s="17"/>
      <c r="CB134" s="17"/>
      <c r="CC134" s="17"/>
      <c r="CD134" s="17"/>
    </row>
    <row r="135" spans="1:82"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7"/>
      <c r="BD135" s="17"/>
      <c r="BE135" s="17"/>
      <c r="BF135" s="17"/>
      <c r="BG135" s="17"/>
      <c r="BH135" s="17"/>
      <c r="BI135" s="17"/>
      <c r="BJ135" s="17"/>
      <c r="BK135" s="17"/>
      <c r="BL135" s="17"/>
      <c r="BM135" s="17"/>
      <c r="BN135" s="17"/>
      <c r="BO135" s="17"/>
      <c r="BP135" s="17"/>
      <c r="BQ135" s="17"/>
      <c r="BR135" s="17"/>
      <c r="BS135" s="17"/>
      <c r="BT135" s="17"/>
      <c r="BU135" s="17"/>
      <c r="BV135" s="17"/>
      <c r="BW135" s="17"/>
      <c r="BX135" s="17"/>
      <c r="BY135" s="17"/>
      <c r="BZ135" s="17"/>
      <c r="CA135" s="17"/>
      <c r="CB135" s="17"/>
      <c r="CC135" s="17"/>
      <c r="CD135" s="17"/>
    </row>
    <row r="136" spans="1:82"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7"/>
      <c r="BD136" s="17"/>
      <c r="BE136" s="17"/>
      <c r="BF136" s="17"/>
      <c r="BG136" s="17"/>
      <c r="BH136" s="17"/>
      <c r="BI136" s="17"/>
      <c r="BJ136" s="17"/>
      <c r="BK136" s="17"/>
      <c r="BL136" s="17"/>
      <c r="BM136" s="17"/>
      <c r="BN136" s="17"/>
      <c r="BO136" s="17"/>
      <c r="BP136" s="17"/>
      <c r="BQ136" s="17"/>
      <c r="BR136" s="17"/>
      <c r="BS136" s="17"/>
      <c r="BT136" s="17"/>
      <c r="BU136" s="17"/>
      <c r="BV136" s="17"/>
      <c r="BW136" s="17"/>
      <c r="BX136" s="17"/>
      <c r="BY136" s="17"/>
      <c r="BZ136" s="17"/>
      <c r="CA136" s="17"/>
      <c r="CB136" s="17"/>
      <c r="CC136" s="17"/>
      <c r="CD136" s="17"/>
    </row>
    <row r="137" spans="1:82"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row>
    <row r="138" spans="1:82"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7"/>
      <c r="BD138" s="17"/>
      <c r="BE138" s="17"/>
      <c r="BF138" s="17"/>
      <c r="BG138" s="17"/>
      <c r="BH138" s="17"/>
      <c r="BI138" s="17"/>
      <c r="BJ138" s="17"/>
      <c r="BK138" s="17"/>
      <c r="BL138" s="17"/>
      <c r="BM138" s="17"/>
      <c r="BN138" s="17"/>
      <c r="BO138" s="17"/>
      <c r="BP138" s="17"/>
      <c r="BQ138" s="17"/>
      <c r="BR138" s="17"/>
      <c r="BS138" s="17"/>
      <c r="BT138" s="17"/>
      <c r="BU138" s="17"/>
      <c r="BV138" s="17"/>
      <c r="BW138" s="17"/>
      <c r="BX138" s="17"/>
      <c r="BY138" s="17"/>
      <c r="BZ138" s="17"/>
      <c r="CA138" s="17"/>
      <c r="CB138" s="17"/>
      <c r="CC138" s="17"/>
      <c r="CD138" s="17"/>
    </row>
    <row r="139" spans="1:82"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7"/>
      <c r="BD139" s="17"/>
      <c r="BE139" s="17"/>
      <c r="BF139" s="17"/>
      <c r="BG139" s="17"/>
      <c r="BH139" s="17"/>
      <c r="BI139" s="17"/>
      <c r="BJ139" s="17"/>
      <c r="BK139" s="17"/>
      <c r="BL139" s="17"/>
      <c r="BM139" s="17"/>
      <c r="BN139" s="17"/>
      <c r="BO139" s="17"/>
      <c r="BP139" s="17"/>
      <c r="BQ139" s="17"/>
      <c r="BR139" s="17"/>
      <c r="BS139" s="17"/>
      <c r="BT139" s="17"/>
      <c r="BU139" s="17"/>
      <c r="BV139" s="17"/>
      <c r="BW139" s="17"/>
      <c r="BX139" s="17"/>
      <c r="BY139" s="17"/>
      <c r="BZ139" s="17"/>
      <c r="CA139" s="17"/>
      <c r="CB139" s="17"/>
      <c r="CC139" s="17"/>
      <c r="CD139" s="17"/>
    </row>
    <row r="140" spans="1:82"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7"/>
      <c r="BD140" s="17"/>
      <c r="BE140" s="17"/>
      <c r="BF140" s="17"/>
      <c r="BG140" s="17"/>
      <c r="BH140" s="17"/>
      <c r="BI140" s="17"/>
      <c r="BJ140" s="17"/>
      <c r="BK140" s="17"/>
      <c r="BL140" s="17"/>
      <c r="BM140" s="17"/>
      <c r="BN140" s="17"/>
      <c r="BO140" s="17"/>
      <c r="BP140" s="17"/>
      <c r="BQ140" s="17"/>
      <c r="BR140" s="17"/>
      <c r="BS140" s="17"/>
      <c r="BT140" s="17"/>
      <c r="BU140" s="17"/>
      <c r="BV140" s="17"/>
      <c r="BW140" s="17"/>
      <c r="BX140" s="17"/>
      <c r="BY140" s="17"/>
      <c r="BZ140" s="17"/>
      <c r="CA140" s="17"/>
      <c r="CB140" s="17"/>
      <c r="CC140" s="17"/>
      <c r="CD140" s="17"/>
    </row>
    <row r="141" spans="1:82"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7"/>
      <c r="BD141" s="17"/>
      <c r="BE141" s="17"/>
      <c r="BF141" s="17"/>
      <c r="BG141" s="17"/>
      <c r="BH141" s="17"/>
      <c r="BI141" s="17"/>
      <c r="BJ141" s="17"/>
      <c r="BK141" s="17"/>
      <c r="BL141" s="17"/>
      <c r="BM141" s="17"/>
      <c r="BN141" s="17"/>
      <c r="BO141" s="17"/>
      <c r="BP141" s="17"/>
      <c r="BQ141" s="17"/>
      <c r="BR141" s="17"/>
      <c r="BS141" s="17"/>
      <c r="BT141" s="17"/>
      <c r="BU141" s="17"/>
      <c r="BV141" s="17"/>
      <c r="BW141" s="17"/>
      <c r="BX141" s="17"/>
      <c r="BY141" s="17"/>
      <c r="BZ141" s="17"/>
      <c r="CA141" s="17"/>
      <c r="CB141" s="17"/>
      <c r="CC141" s="17"/>
      <c r="CD141" s="17"/>
    </row>
    <row r="142" spans="1:82"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7"/>
      <c r="BD142" s="17"/>
      <c r="BE142" s="17"/>
      <c r="BF142" s="17"/>
      <c r="BG142" s="17"/>
      <c r="BH142" s="17"/>
      <c r="BI142" s="17"/>
      <c r="BJ142" s="17"/>
      <c r="BK142" s="17"/>
      <c r="BL142" s="17"/>
      <c r="BM142" s="17"/>
      <c r="BN142" s="17"/>
      <c r="BO142" s="17"/>
      <c r="BP142" s="17"/>
      <c r="BQ142" s="17"/>
      <c r="BR142" s="17"/>
      <c r="BS142" s="17"/>
      <c r="BT142" s="17"/>
      <c r="BU142" s="17"/>
      <c r="BV142" s="17"/>
      <c r="BW142" s="17"/>
      <c r="BX142" s="17"/>
      <c r="BY142" s="17"/>
      <c r="BZ142" s="17"/>
      <c r="CA142" s="17"/>
      <c r="CB142" s="17"/>
      <c r="CC142" s="17"/>
      <c r="CD142" s="17"/>
    </row>
    <row r="143" spans="1:82"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7"/>
      <c r="BD143" s="17"/>
      <c r="BE143" s="17"/>
      <c r="BF143" s="17"/>
      <c r="BG143" s="17"/>
      <c r="BH143" s="17"/>
      <c r="BI143" s="17"/>
      <c r="BJ143" s="17"/>
      <c r="BK143" s="17"/>
      <c r="BL143" s="17"/>
      <c r="BM143" s="17"/>
      <c r="BN143" s="17"/>
      <c r="BO143" s="17"/>
      <c r="BP143" s="17"/>
      <c r="BQ143" s="17"/>
      <c r="BR143" s="17"/>
      <c r="BS143" s="17"/>
      <c r="BT143" s="17"/>
      <c r="BU143" s="17"/>
      <c r="BV143" s="17"/>
      <c r="BW143" s="17"/>
      <c r="BX143" s="17"/>
      <c r="BY143" s="17"/>
      <c r="BZ143" s="17"/>
      <c r="CA143" s="17"/>
      <c r="CB143" s="17"/>
      <c r="CC143" s="17"/>
      <c r="CD143" s="17"/>
    </row>
    <row r="144" spans="1:82"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7"/>
      <c r="BD144" s="17"/>
      <c r="BE144" s="17"/>
      <c r="BF144" s="17"/>
      <c r="BG144" s="17"/>
      <c r="BH144" s="17"/>
      <c r="BI144" s="17"/>
      <c r="BJ144" s="17"/>
      <c r="BK144" s="17"/>
      <c r="BL144" s="17"/>
      <c r="BM144" s="17"/>
      <c r="BN144" s="17"/>
      <c r="BO144" s="17"/>
      <c r="BP144" s="17"/>
      <c r="BQ144" s="17"/>
      <c r="BR144" s="17"/>
      <c r="BS144" s="17"/>
      <c r="BT144" s="17"/>
      <c r="BU144" s="17"/>
      <c r="BV144" s="17"/>
      <c r="BW144" s="17"/>
      <c r="BX144" s="17"/>
      <c r="BY144" s="17"/>
      <c r="BZ144" s="17"/>
      <c r="CA144" s="17"/>
      <c r="CB144" s="17"/>
      <c r="CC144" s="17"/>
      <c r="CD144" s="17"/>
    </row>
    <row r="145" spans="1:82"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7"/>
      <c r="BD145" s="17"/>
      <c r="BE145" s="17"/>
      <c r="BF145" s="17"/>
      <c r="BG145" s="17"/>
      <c r="BH145" s="17"/>
      <c r="BI145" s="17"/>
      <c r="BJ145" s="17"/>
      <c r="BK145" s="17"/>
      <c r="BL145" s="17"/>
      <c r="BM145" s="17"/>
      <c r="BN145" s="17"/>
      <c r="BO145" s="17"/>
      <c r="BP145" s="17"/>
      <c r="BQ145" s="17"/>
      <c r="BR145" s="17"/>
      <c r="BS145" s="17"/>
      <c r="BT145" s="17"/>
      <c r="BU145" s="17"/>
      <c r="BV145" s="17"/>
      <c r="BW145" s="17"/>
      <c r="BX145" s="17"/>
      <c r="BY145" s="17"/>
      <c r="BZ145" s="17"/>
      <c r="CA145" s="17"/>
      <c r="CB145" s="17"/>
      <c r="CC145" s="17"/>
      <c r="CD145" s="17"/>
    </row>
    <row r="146" spans="1:82"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7"/>
      <c r="BD146" s="17"/>
      <c r="BE146" s="17"/>
      <c r="BF146" s="17"/>
      <c r="BG146" s="17"/>
      <c r="BH146" s="17"/>
      <c r="BI146" s="17"/>
      <c r="BJ146" s="17"/>
      <c r="BK146" s="17"/>
      <c r="BL146" s="17"/>
      <c r="BM146" s="17"/>
      <c r="BN146" s="17"/>
      <c r="BO146" s="17"/>
      <c r="BP146" s="17"/>
      <c r="BQ146" s="17"/>
      <c r="BR146" s="17"/>
      <c r="BS146" s="17"/>
      <c r="BT146" s="17"/>
      <c r="BU146" s="17"/>
      <c r="BV146" s="17"/>
      <c r="BW146" s="17"/>
      <c r="BX146" s="17"/>
      <c r="BY146" s="17"/>
      <c r="BZ146" s="17"/>
      <c r="CA146" s="17"/>
      <c r="CB146" s="17"/>
      <c r="CC146" s="17"/>
      <c r="CD146" s="17"/>
    </row>
    <row r="147" spans="1:82"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7"/>
      <c r="BD147" s="17"/>
      <c r="BE147" s="17"/>
      <c r="BF147" s="17"/>
      <c r="BG147" s="17"/>
      <c r="BH147" s="17"/>
      <c r="BI147" s="17"/>
      <c r="BJ147" s="17"/>
      <c r="BK147" s="17"/>
      <c r="BL147" s="17"/>
      <c r="BM147" s="17"/>
      <c r="BN147" s="17"/>
      <c r="BO147" s="17"/>
      <c r="BP147" s="17"/>
      <c r="BQ147" s="17"/>
      <c r="BR147" s="17"/>
      <c r="BS147" s="17"/>
      <c r="BT147" s="17"/>
      <c r="BU147" s="17"/>
      <c r="BV147" s="17"/>
      <c r="BW147" s="17"/>
      <c r="BX147" s="17"/>
      <c r="BY147" s="17"/>
      <c r="BZ147" s="17"/>
      <c r="CA147" s="17"/>
      <c r="CB147" s="17"/>
      <c r="CC147" s="17"/>
      <c r="CD147" s="17"/>
    </row>
    <row r="148" spans="1:82"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7"/>
      <c r="BD148" s="17"/>
      <c r="BE148" s="17"/>
      <c r="BF148" s="17"/>
      <c r="BG148" s="17"/>
      <c r="BH148" s="17"/>
      <c r="BI148" s="17"/>
      <c r="BJ148" s="17"/>
      <c r="BK148" s="17"/>
      <c r="BL148" s="17"/>
      <c r="BM148" s="17"/>
      <c r="BN148" s="17"/>
      <c r="BO148" s="17"/>
      <c r="BP148" s="17"/>
      <c r="BQ148" s="17"/>
      <c r="BR148" s="17"/>
      <c r="BS148" s="17"/>
      <c r="BT148" s="17"/>
      <c r="BU148" s="17"/>
      <c r="BV148" s="17"/>
      <c r="BW148" s="17"/>
      <c r="BX148" s="17"/>
      <c r="BY148" s="17"/>
      <c r="BZ148" s="17"/>
      <c r="CA148" s="17"/>
      <c r="CB148" s="17"/>
      <c r="CC148" s="17"/>
      <c r="CD148" s="17"/>
    </row>
    <row r="149" spans="1:82"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7"/>
      <c r="BD149" s="17"/>
      <c r="BE149" s="17"/>
      <c r="BF149" s="17"/>
      <c r="BG149" s="17"/>
      <c r="BH149" s="17"/>
      <c r="BI149" s="17"/>
      <c r="BJ149" s="17"/>
      <c r="BK149" s="17"/>
      <c r="BL149" s="17"/>
      <c r="BM149" s="17"/>
      <c r="BN149" s="17"/>
      <c r="BO149" s="17"/>
      <c r="BP149" s="17"/>
      <c r="BQ149" s="17"/>
      <c r="BR149" s="17"/>
      <c r="BS149" s="17"/>
      <c r="BT149" s="17"/>
      <c r="BU149" s="17"/>
      <c r="BV149" s="17"/>
      <c r="BW149" s="17"/>
      <c r="BX149" s="17"/>
      <c r="BY149" s="17"/>
      <c r="BZ149" s="17"/>
      <c r="CA149" s="17"/>
      <c r="CB149" s="17"/>
      <c r="CC149" s="17"/>
      <c r="CD149" s="17"/>
    </row>
    <row r="150" spans="1:82"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7"/>
      <c r="BD150" s="17"/>
      <c r="BE150" s="17"/>
      <c r="BF150" s="17"/>
      <c r="BG150" s="17"/>
      <c r="BH150" s="17"/>
      <c r="BI150" s="17"/>
      <c r="BJ150" s="17"/>
      <c r="BK150" s="17"/>
      <c r="BL150" s="17"/>
      <c r="BM150" s="17"/>
      <c r="BN150" s="17"/>
      <c r="BO150" s="17"/>
      <c r="BP150" s="17"/>
      <c r="BQ150" s="17"/>
      <c r="BR150" s="17"/>
      <c r="BS150" s="17"/>
      <c r="BT150" s="17"/>
      <c r="BU150" s="17"/>
      <c r="BV150" s="17"/>
      <c r="BW150" s="17"/>
      <c r="BX150" s="17"/>
      <c r="BY150" s="17"/>
      <c r="BZ150" s="17"/>
      <c r="CA150" s="17"/>
      <c r="CB150" s="17"/>
      <c r="CC150" s="17"/>
      <c r="CD150" s="17"/>
    </row>
    <row r="151" spans="1:82"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7"/>
      <c r="BD151" s="17"/>
      <c r="BE151" s="17"/>
      <c r="BF151" s="17"/>
      <c r="BG151" s="17"/>
      <c r="BH151" s="17"/>
      <c r="BI151" s="17"/>
      <c r="BJ151" s="17"/>
      <c r="BK151" s="17"/>
      <c r="BL151" s="17"/>
      <c r="BM151" s="17"/>
      <c r="BN151" s="17"/>
      <c r="BO151" s="17"/>
      <c r="BP151" s="17"/>
      <c r="BQ151" s="17"/>
      <c r="BR151" s="17"/>
      <c r="BS151" s="17"/>
      <c r="BT151" s="17"/>
      <c r="BU151" s="17"/>
      <c r="BV151" s="17"/>
      <c r="BW151" s="17"/>
      <c r="BX151" s="17"/>
      <c r="BY151" s="17"/>
      <c r="BZ151" s="17"/>
      <c r="CA151" s="17"/>
      <c r="CB151" s="17"/>
      <c r="CC151" s="17"/>
      <c r="CD151" s="17"/>
    </row>
    <row r="152" spans="1:82"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7"/>
      <c r="BD152" s="17"/>
      <c r="BE152" s="17"/>
      <c r="BF152" s="17"/>
      <c r="BG152" s="17"/>
      <c r="BH152" s="17"/>
      <c r="BI152" s="17"/>
      <c r="BJ152" s="17"/>
      <c r="BK152" s="17"/>
      <c r="BL152" s="17"/>
      <c r="BM152" s="17"/>
      <c r="BN152" s="17"/>
      <c r="BO152" s="17"/>
      <c r="BP152" s="17"/>
      <c r="BQ152" s="17"/>
      <c r="BR152" s="17"/>
      <c r="BS152" s="17"/>
      <c r="BT152" s="17"/>
      <c r="BU152" s="17"/>
      <c r="BV152" s="17"/>
      <c r="BW152" s="17"/>
      <c r="BX152" s="17"/>
      <c r="BY152" s="17"/>
      <c r="BZ152" s="17"/>
      <c r="CA152" s="17"/>
      <c r="CB152" s="17"/>
      <c r="CC152" s="17"/>
      <c r="CD152" s="17"/>
    </row>
    <row r="153" spans="1:82"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row>
    <row r="154" spans="1:82"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7"/>
      <c r="BD154" s="17"/>
      <c r="BE154" s="17"/>
      <c r="BF154" s="17"/>
      <c r="BG154" s="17"/>
      <c r="BH154" s="17"/>
      <c r="BI154" s="17"/>
      <c r="BJ154" s="17"/>
      <c r="BK154" s="17"/>
      <c r="BL154" s="17"/>
      <c r="BM154" s="17"/>
      <c r="BN154" s="17"/>
      <c r="BO154" s="17"/>
      <c r="BP154" s="17"/>
      <c r="BQ154" s="17"/>
      <c r="BR154" s="17"/>
      <c r="BS154" s="17"/>
      <c r="BT154" s="17"/>
      <c r="BU154" s="17"/>
      <c r="BV154" s="17"/>
      <c r="BW154" s="17"/>
      <c r="BX154" s="17"/>
      <c r="BY154" s="17"/>
      <c r="BZ154" s="17"/>
      <c r="CA154" s="17"/>
      <c r="CB154" s="17"/>
      <c r="CC154" s="17"/>
      <c r="CD154" s="17"/>
    </row>
    <row r="155" spans="1:82"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7"/>
      <c r="BD155" s="17"/>
      <c r="BE155" s="17"/>
      <c r="BF155" s="17"/>
      <c r="BG155" s="17"/>
      <c r="BH155" s="17"/>
      <c r="BI155" s="17"/>
      <c r="BJ155" s="17"/>
      <c r="BK155" s="17"/>
      <c r="BL155" s="17"/>
      <c r="BM155" s="17"/>
      <c r="BN155" s="17"/>
      <c r="BO155" s="17"/>
      <c r="BP155" s="17"/>
      <c r="BQ155" s="17"/>
      <c r="BR155" s="17"/>
      <c r="BS155" s="17"/>
      <c r="BT155" s="17"/>
      <c r="BU155" s="17"/>
      <c r="BV155" s="17"/>
      <c r="BW155" s="17"/>
      <c r="BX155" s="17"/>
      <c r="BY155" s="17"/>
      <c r="BZ155" s="17"/>
      <c r="CA155" s="17"/>
      <c r="CB155" s="17"/>
      <c r="CC155" s="17"/>
      <c r="CD155" s="17"/>
    </row>
    <row r="156" spans="1:82"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7"/>
      <c r="BD156" s="17"/>
      <c r="BE156" s="17"/>
      <c r="BF156" s="17"/>
      <c r="BG156" s="17"/>
      <c r="BH156" s="17"/>
      <c r="BI156" s="17"/>
      <c r="BJ156" s="17"/>
      <c r="BK156" s="17"/>
      <c r="BL156" s="17"/>
      <c r="BM156" s="17"/>
      <c r="BN156" s="17"/>
      <c r="BO156" s="17"/>
      <c r="BP156" s="17"/>
      <c r="BQ156" s="17"/>
      <c r="BR156" s="17"/>
      <c r="BS156" s="17"/>
      <c r="BT156" s="17"/>
      <c r="BU156" s="17"/>
      <c r="BV156" s="17"/>
      <c r="BW156" s="17"/>
      <c r="BX156" s="17"/>
      <c r="BY156" s="17"/>
      <c r="BZ156" s="17"/>
      <c r="CA156" s="17"/>
      <c r="CB156" s="17"/>
      <c r="CC156" s="17"/>
      <c r="CD156" s="17"/>
    </row>
    <row r="157" spans="1:82"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7"/>
      <c r="BD157" s="17"/>
      <c r="BE157" s="17"/>
      <c r="BF157" s="17"/>
      <c r="BG157" s="17"/>
      <c r="BH157" s="17"/>
      <c r="BI157" s="17"/>
      <c r="BJ157" s="17"/>
      <c r="BK157" s="17"/>
      <c r="BL157" s="17"/>
      <c r="BM157" s="17"/>
      <c r="BN157" s="17"/>
      <c r="BO157" s="17"/>
      <c r="BP157" s="17"/>
      <c r="BQ157" s="17"/>
      <c r="BR157" s="17"/>
      <c r="BS157" s="17"/>
      <c r="BT157" s="17"/>
      <c r="BU157" s="17"/>
      <c r="BV157" s="17"/>
      <c r="BW157" s="17"/>
      <c r="BX157" s="17"/>
      <c r="BY157" s="17"/>
      <c r="BZ157" s="17"/>
      <c r="CA157" s="17"/>
      <c r="CB157" s="17"/>
      <c r="CC157" s="17"/>
      <c r="CD157" s="17"/>
    </row>
    <row r="158" spans="1:82"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7"/>
      <c r="BD158" s="17"/>
      <c r="BE158" s="17"/>
      <c r="BF158" s="17"/>
      <c r="BG158" s="17"/>
      <c r="BH158" s="17"/>
      <c r="BI158" s="17"/>
      <c r="BJ158" s="17"/>
      <c r="BK158" s="17"/>
      <c r="BL158" s="17"/>
      <c r="BM158" s="17"/>
      <c r="BN158" s="17"/>
      <c r="BO158" s="17"/>
      <c r="BP158" s="17"/>
      <c r="BQ158" s="17"/>
      <c r="BR158" s="17"/>
      <c r="BS158" s="17"/>
      <c r="BT158" s="17"/>
      <c r="BU158" s="17"/>
      <c r="BV158" s="17"/>
      <c r="BW158" s="17"/>
      <c r="BX158" s="17"/>
      <c r="BY158" s="17"/>
      <c r="BZ158" s="17"/>
      <c r="CA158" s="17"/>
      <c r="CB158" s="17"/>
      <c r="CC158" s="17"/>
      <c r="CD158" s="17"/>
    </row>
    <row r="159" spans="1:82"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7"/>
      <c r="BD159" s="17"/>
      <c r="BE159" s="17"/>
      <c r="BF159" s="17"/>
      <c r="BG159" s="17"/>
      <c r="BH159" s="17"/>
      <c r="BI159" s="17"/>
      <c r="BJ159" s="17"/>
      <c r="BK159" s="17"/>
      <c r="BL159" s="17"/>
      <c r="BM159" s="17"/>
      <c r="BN159" s="17"/>
      <c r="BO159" s="17"/>
      <c r="BP159" s="17"/>
      <c r="BQ159" s="17"/>
      <c r="BR159" s="17"/>
      <c r="BS159" s="17"/>
      <c r="BT159" s="17"/>
      <c r="BU159" s="17"/>
      <c r="BV159" s="17"/>
      <c r="BW159" s="17"/>
      <c r="BX159" s="17"/>
      <c r="BY159" s="17"/>
      <c r="BZ159" s="17"/>
      <c r="CA159" s="17"/>
      <c r="CB159" s="17"/>
      <c r="CC159" s="17"/>
      <c r="CD159" s="17"/>
    </row>
    <row r="160" spans="1:82"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7"/>
      <c r="BD160" s="17"/>
      <c r="BE160" s="17"/>
      <c r="BF160" s="17"/>
      <c r="BG160" s="17"/>
      <c r="BH160" s="17"/>
      <c r="BI160" s="17"/>
      <c r="BJ160" s="17"/>
      <c r="BK160" s="17"/>
      <c r="BL160" s="17"/>
      <c r="BM160" s="17"/>
      <c r="BN160" s="17"/>
      <c r="BO160" s="17"/>
      <c r="BP160" s="17"/>
      <c r="BQ160" s="17"/>
      <c r="BR160" s="17"/>
      <c r="BS160" s="17"/>
      <c r="BT160" s="17"/>
      <c r="BU160" s="17"/>
      <c r="BV160" s="17"/>
      <c r="BW160" s="17"/>
      <c r="BX160" s="17"/>
      <c r="BY160" s="17"/>
      <c r="BZ160" s="17"/>
      <c r="CA160" s="17"/>
      <c r="CB160" s="17"/>
      <c r="CC160" s="17"/>
      <c r="CD160" s="17"/>
    </row>
    <row r="161" spans="1:82"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7"/>
      <c r="BD161" s="17"/>
      <c r="BE161" s="17"/>
      <c r="BF161" s="17"/>
      <c r="BG161" s="17"/>
      <c r="BH161" s="17"/>
      <c r="BI161" s="17"/>
      <c r="BJ161" s="17"/>
      <c r="BK161" s="17"/>
      <c r="BL161" s="17"/>
      <c r="BM161" s="17"/>
      <c r="BN161" s="17"/>
      <c r="BO161" s="17"/>
      <c r="BP161" s="17"/>
      <c r="BQ161" s="17"/>
      <c r="BR161" s="17"/>
      <c r="BS161" s="17"/>
      <c r="BT161" s="17"/>
      <c r="BU161" s="17"/>
      <c r="BV161" s="17"/>
      <c r="BW161" s="17"/>
      <c r="BX161" s="17"/>
      <c r="BY161" s="17"/>
      <c r="BZ161" s="17"/>
      <c r="CA161" s="17"/>
      <c r="CB161" s="17"/>
      <c r="CC161" s="17"/>
      <c r="CD161" s="17"/>
    </row>
    <row r="162" spans="1:82"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row>
    <row r="163" spans="1:82"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7"/>
      <c r="BD163" s="17"/>
      <c r="BE163" s="17"/>
      <c r="BF163" s="17"/>
      <c r="BG163" s="17"/>
      <c r="BH163" s="17"/>
      <c r="BI163" s="17"/>
      <c r="BJ163" s="17"/>
      <c r="BK163" s="17"/>
      <c r="BL163" s="17"/>
      <c r="BM163" s="17"/>
      <c r="BN163" s="17"/>
      <c r="BO163" s="17"/>
      <c r="BP163" s="17"/>
      <c r="BQ163" s="17"/>
      <c r="BR163" s="17"/>
      <c r="BS163" s="17"/>
      <c r="BT163" s="17"/>
      <c r="BU163" s="17"/>
      <c r="BV163" s="17"/>
      <c r="BW163" s="17"/>
      <c r="BX163" s="17"/>
      <c r="BY163" s="17"/>
      <c r="BZ163" s="17"/>
      <c r="CA163" s="17"/>
      <c r="CB163" s="17"/>
      <c r="CC163" s="17"/>
      <c r="CD163" s="17"/>
    </row>
    <row r="164" spans="1:82"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7"/>
      <c r="BD164" s="17"/>
      <c r="BE164" s="17"/>
      <c r="BF164" s="17"/>
      <c r="BG164" s="17"/>
      <c r="BH164" s="17"/>
      <c r="BI164" s="17"/>
      <c r="BJ164" s="17"/>
      <c r="BK164" s="17"/>
      <c r="BL164" s="17"/>
      <c r="BM164" s="17"/>
      <c r="BN164" s="17"/>
      <c r="BO164" s="17"/>
      <c r="BP164" s="17"/>
      <c r="BQ164" s="17"/>
      <c r="BR164" s="17"/>
      <c r="BS164" s="17"/>
      <c r="BT164" s="17"/>
      <c r="BU164" s="17"/>
      <c r="BV164" s="17"/>
      <c r="BW164" s="17"/>
      <c r="BX164" s="17"/>
      <c r="BY164" s="17"/>
      <c r="BZ164" s="17"/>
      <c r="CA164" s="17"/>
      <c r="CB164" s="17"/>
      <c r="CC164" s="17"/>
      <c r="CD164" s="17"/>
    </row>
    <row r="165" spans="1:82"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7"/>
      <c r="BD165" s="17"/>
      <c r="BE165" s="17"/>
      <c r="BF165" s="17"/>
      <c r="BG165" s="17"/>
      <c r="BH165" s="17"/>
      <c r="BI165" s="17"/>
      <c r="BJ165" s="17"/>
      <c r="BK165" s="17"/>
      <c r="BL165" s="17"/>
      <c r="BM165" s="17"/>
      <c r="BN165" s="17"/>
      <c r="BO165" s="17"/>
      <c r="BP165" s="17"/>
      <c r="BQ165" s="17"/>
      <c r="BR165" s="17"/>
      <c r="BS165" s="17"/>
      <c r="BT165" s="17"/>
      <c r="BU165" s="17"/>
      <c r="BV165" s="17"/>
      <c r="BW165" s="17"/>
      <c r="BX165" s="17"/>
      <c r="BY165" s="17"/>
      <c r="BZ165" s="17"/>
      <c r="CA165" s="17"/>
      <c r="CB165" s="17"/>
      <c r="CC165" s="17"/>
      <c r="CD165" s="17"/>
    </row>
    <row r="166" spans="1:82"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7"/>
      <c r="BD166" s="17"/>
      <c r="BE166" s="17"/>
      <c r="BF166" s="17"/>
      <c r="BG166" s="17"/>
      <c r="BH166" s="17"/>
      <c r="BI166" s="17"/>
      <c r="BJ166" s="17"/>
      <c r="BK166" s="17"/>
      <c r="BL166" s="17"/>
      <c r="BM166" s="17"/>
      <c r="BN166" s="17"/>
      <c r="BO166" s="17"/>
      <c r="BP166" s="17"/>
      <c r="BQ166" s="17"/>
      <c r="BR166" s="17"/>
      <c r="BS166" s="17"/>
      <c r="BT166" s="17"/>
      <c r="BU166" s="17"/>
      <c r="BV166" s="17"/>
      <c r="BW166" s="17"/>
      <c r="BX166" s="17"/>
      <c r="BY166" s="17"/>
      <c r="BZ166" s="17"/>
      <c r="CA166" s="17"/>
      <c r="CB166" s="17"/>
      <c r="CC166" s="17"/>
      <c r="CD166" s="17"/>
    </row>
    <row r="167" spans="1:82"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7"/>
      <c r="BD167" s="17"/>
      <c r="BE167" s="17"/>
      <c r="BF167" s="17"/>
      <c r="BG167" s="17"/>
      <c r="BH167" s="17"/>
      <c r="BI167" s="17"/>
      <c r="BJ167" s="17"/>
      <c r="BK167" s="17"/>
      <c r="BL167" s="17"/>
      <c r="BM167" s="17"/>
      <c r="BN167" s="17"/>
      <c r="BO167" s="17"/>
      <c r="BP167" s="17"/>
      <c r="BQ167" s="17"/>
      <c r="BR167" s="17"/>
      <c r="BS167" s="17"/>
      <c r="BT167" s="17"/>
      <c r="BU167" s="17"/>
      <c r="BV167" s="17"/>
      <c r="BW167" s="17"/>
      <c r="BX167" s="17"/>
      <c r="BY167" s="17"/>
      <c r="BZ167" s="17"/>
      <c r="CA167" s="17"/>
      <c r="CB167" s="17"/>
      <c r="CC167" s="17"/>
      <c r="CD167" s="17"/>
    </row>
    <row r="168" spans="1:82"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row>
    <row r="169" spans="1:82"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7"/>
      <c r="BD169" s="17"/>
      <c r="BE169" s="17"/>
      <c r="BF169" s="17"/>
      <c r="BG169" s="17"/>
      <c r="BH169" s="17"/>
      <c r="BI169" s="17"/>
      <c r="BJ169" s="17"/>
      <c r="BK169" s="17"/>
      <c r="BL169" s="17"/>
      <c r="BM169" s="17"/>
      <c r="BN169" s="17"/>
      <c r="BO169" s="17"/>
      <c r="BP169" s="17"/>
      <c r="BQ169" s="17"/>
      <c r="BR169" s="17"/>
      <c r="BS169" s="17"/>
      <c r="BT169" s="17"/>
      <c r="BU169" s="17"/>
      <c r="BV169" s="17"/>
      <c r="BW169" s="17"/>
      <c r="BX169" s="17"/>
      <c r="BY169" s="17"/>
      <c r="BZ169" s="17"/>
      <c r="CA169" s="17"/>
      <c r="CB169" s="17"/>
      <c r="CC169" s="17"/>
      <c r="CD169" s="17"/>
    </row>
    <row r="170" spans="1:82"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row>
    <row r="171" spans="1:82"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7"/>
      <c r="BD171" s="17"/>
      <c r="BE171" s="17"/>
      <c r="BF171" s="17"/>
      <c r="BG171" s="17"/>
      <c r="BH171" s="17"/>
      <c r="BI171" s="17"/>
      <c r="BJ171" s="17"/>
      <c r="BK171" s="17"/>
      <c r="BL171" s="17"/>
      <c r="BM171" s="17"/>
      <c r="BN171" s="17"/>
      <c r="BO171" s="17"/>
      <c r="BP171" s="17"/>
      <c r="BQ171" s="17"/>
      <c r="BR171" s="17"/>
      <c r="BS171" s="17"/>
      <c r="BT171" s="17"/>
      <c r="BU171" s="17"/>
      <c r="BV171" s="17"/>
      <c r="BW171" s="17"/>
      <c r="BX171" s="17"/>
      <c r="BY171" s="17"/>
      <c r="BZ171" s="17"/>
      <c r="CA171" s="17"/>
      <c r="CB171" s="17"/>
      <c r="CC171" s="17"/>
      <c r="CD171" s="17"/>
    </row>
    <row r="172" spans="1:82"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7"/>
      <c r="BD172" s="17"/>
      <c r="BE172" s="17"/>
      <c r="BF172" s="17"/>
      <c r="BG172" s="17"/>
      <c r="BH172" s="17"/>
      <c r="BI172" s="17"/>
      <c r="BJ172" s="17"/>
      <c r="BK172" s="17"/>
      <c r="BL172" s="17"/>
      <c r="BM172" s="17"/>
      <c r="BN172" s="17"/>
      <c r="BO172" s="17"/>
      <c r="BP172" s="17"/>
      <c r="BQ172" s="17"/>
      <c r="BR172" s="17"/>
      <c r="BS172" s="17"/>
      <c r="BT172" s="17"/>
      <c r="BU172" s="17"/>
      <c r="BV172" s="17"/>
      <c r="BW172" s="17"/>
      <c r="BX172" s="17"/>
      <c r="BY172" s="17"/>
      <c r="BZ172" s="17"/>
      <c r="CA172" s="17"/>
      <c r="CB172" s="17"/>
      <c r="CC172" s="17"/>
      <c r="CD172" s="17"/>
    </row>
    <row r="173" spans="1:82"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7"/>
      <c r="BD173" s="17"/>
      <c r="BE173" s="17"/>
      <c r="BF173" s="17"/>
      <c r="BG173" s="17"/>
      <c r="BH173" s="17"/>
      <c r="BI173" s="17"/>
      <c r="BJ173" s="17"/>
      <c r="BK173" s="17"/>
      <c r="BL173" s="17"/>
      <c r="BM173" s="17"/>
      <c r="BN173" s="17"/>
      <c r="BO173" s="17"/>
      <c r="BP173" s="17"/>
      <c r="BQ173" s="17"/>
      <c r="BR173" s="17"/>
      <c r="BS173" s="17"/>
      <c r="BT173" s="17"/>
      <c r="BU173" s="17"/>
      <c r="BV173" s="17"/>
      <c r="BW173" s="17"/>
      <c r="BX173" s="17"/>
      <c r="BY173" s="17"/>
      <c r="BZ173" s="17"/>
      <c r="CA173" s="17"/>
      <c r="CB173" s="17"/>
      <c r="CC173" s="17"/>
      <c r="CD173" s="17"/>
    </row>
    <row r="174" spans="1:82"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7"/>
      <c r="BD174" s="17"/>
      <c r="BE174" s="17"/>
      <c r="BF174" s="17"/>
      <c r="BG174" s="17"/>
      <c r="BH174" s="17"/>
      <c r="BI174" s="17"/>
      <c r="BJ174" s="17"/>
      <c r="BK174" s="17"/>
      <c r="BL174" s="17"/>
      <c r="BM174" s="17"/>
      <c r="BN174" s="17"/>
      <c r="BO174" s="17"/>
      <c r="BP174" s="17"/>
      <c r="BQ174" s="17"/>
      <c r="BR174" s="17"/>
      <c r="BS174" s="17"/>
      <c r="BT174" s="17"/>
      <c r="BU174" s="17"/>
      <c r="BV174" s="17"/>
      <c r="BW174" s="17"/>
      <c r="BX174" s="17"/>
      <c r="BY174" s="17"/>
      <c r="BZ174" s="17"/>
      <c r="CA174" s="17"/>
      <c r="CB174" s="17"/>
      <c r="CC174" s="17"/>
      <c r="CD174" s="17"/>
    </row>
    <row r="175" spans="1:82"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7"/>
      <c r="BD175" s="17"/>
      <c r="BE175" s="17"/>
      <c r="BF175" s="17"/>
      <c r="BG175" s="17"/>
      <c r="BH175" s="17"/>
      <c r="BI175" s="17"/>
      <c r="BJ175" s="17"/>
      <c r="BK175" s="17"/>
      <c r="BL175" s="17"/>
      <c r="BM175" s="17"/>
      <c r="BN175" s="17"/>
      <c r="BO175" s="17"/>
      <c r="BP175" s="17"/>
      <c r="BQ175" s="17"/>
      <c r="BR175" s="17"/>
      <c r="BS175" s="17"/>
      <c r="BT175" s="17"/>
      <c r="BU175" s="17"/>
      <c r="BV175" s="17"/>
      <c r="BW175" s="17"/>
      <c r="BX175" s="17"/>
      <c r="BY175" s="17"/>
      <c r="BZ175" s="17"/>
      <c r="CA175" s="17"/>
      <c r="CB175" s="17"/>
      <c r="CC175" s="17"/>
      <c r="CD175" s="17"/>
    </row>
    <row r="176" spans="1:82"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7"/>
      <c r="BD176" s="17"/>
      <c r="BE176" s="17"/>
      <c r="BF176" s="17"/>
      <c r="BG176" s="17"/>
      <c r="BH176" s="17"/>
      <c r="BI176" s="17"/>
      <c r="BJ176" s="17"/>
      <c r="BK176" s="17"/>
      <c r="BL176" s="17"/>
      <c r="BM176" s="17"/>
      <c r="BN176" s="17"/>
      <c r="BO176" s="17"/>
      <c r="BP176" s="17"/>
      <c r="BQ176" s="17"/>
      <c r="BR176" s="17"/>
      <c r="BS176" s="17"/>
      <c r="BT176" s="17"/>
      <c r="BU176" s="17"/>
      <c r="BV176" s="17"/>
      <c r="BW176" s="17"/>
      <c r="BX176" s="17"/>
      <c r="BY176" s="17"/>
      <c r="BZ176" s="17"/>
      <c r="CA176" s="17"/>
      <c r="CB176" s="17"/>
      <c r="CC176" s="17"/>
      <c r="CD176" s="17"/>
    </row>
    <row r="177" spans="1:82"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7"/>
      <c r="BD177" s="17"/>
      <c r="BE177" s="17"/>
      <c r="BF177" s="17"/>
      <c r="BG177" s="17"/>
      <c r="BH177" s="17"/>
      <c r="BI177" s="17"/>
      <c r="BJ177" s="17"/>
      <c r="BK177" s="17"/>
      <c r="BL177" s="17"/>
      <c r="BM177" s="17"/>
      <c r="BN177" s="17"/>
      <c r="BO177" s="17"/>
      <c r="BP177" s="17"/>
      <c r="BQ177" s="17"/>
      <c r="BR177" s="17"/>
      <c r="BS177" s="17"/>
      <c r="BT177" s="17"/>
      <c r="BU177" s="17"/>
      <c r="BV177" s="17"/>
      <c r="BW177" s="17"/>
      <c r="BX177" s="17"/>
      <c r="BY177" s="17"/>
      <c r="BZ177" s="17"/>
      <c r="CA177" s="17"/>
      <c r="CB177" s="17"/>
      <c r="CC177" s="17"/>
      <c r="CD177" s="17"/>
    </row>
    <row r="178" spans="1:82"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7"/>
      <c r="BD178" s="17"/>
      <c r="BE178" s="17"/>
      <c r="BF178" s="17"/>
      <c r="BG178" s="17"/>
      <c r="BH178" s="17"/>
      <c r="BI178" s="17"/>
      <c r="BJ178" s="17"/>
      <c r="BK178" s="17"/>
      <c r="BL178" s="17"/>
      <c r="BM178" s="17"/>
      <c r="BN178" s="17"/>
      <c r="BO178" s="17"/>
      <c r="BP178" s="17"/>
      <c r="BQ178" s="17"/>
      <c r="BR178" s="17"/>
      <c r="BS178" s="17"/>
      <c r="BT178" s="17"/>
      <c r="BU178" s="17"/>
      <c r="BV178" s="17"/>
      <c r="BW178" s="17"/>
      <c r="BX178" s="17"/>
      <c r="BY178" s="17"/>
      <c r="BZ178" s="17"/>
      <c r="CA178" s="17"/>
      <c r="CB178" s="17"/>
      <c r="CC178" s="17"/>
      <c r="CD178" s="17"/>
    </row>
    <row r="179" spans="1:82"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7"/>
      <c r="BD179" s="17"/>
      <c r="BE179" s="17"/>
      <c r="BF179" s="17"/>
      <c r="BG179" s="17"/>
      <c r="BH179" s="17"/>
      <c r="BI179" s="17"/>
      <c r="BJ179" s="17"/>
      <c r="BK179" s="17"/>
      <c r="BL179" s="17"/>
      <c r="BM179" s="17"/>
      <c r="BN179" s="17"/>
      <c r="BO179" s="17"/>
      <c r="BP179" s="17"/>
      <c r="BQ179" s="17"/>
      <c r="BR179" s="17"/>
      <c r="BS179" s="17"/>
      <c r="BT179" s="17"/>
      <c r="BU179" s="17"/>
      <c r="BV179" s="17"/>
      <c r="BW179" s="17"/>
      <c r="BX179" s="17"/>
      <c r="BY179" s="17"/>
      <c r="BZ179" s="17"/>
      <c r="CA179" s="17"/>
      <c r="CB179" s="17"/>
      <c r="CC179" s="17"/>
      <c r="CD179" s="17"/>
    </row>
    <row r="180" spans="1:82"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7"/>
      <c r="BD180" s="17"/>
      <c r="BE180" s="17"/>
      <c r="BF180" s="17"/>
      <c r="BG180" s="17"/>
      <c r="BH180" s="17"/>
      <c r="BI180" s="17"/>
      <c r="BJ180" s="17"/>
      <c r="BK180" s="17"/>
      <c r="BL180" s="17"/>
      <c r="BM180" s="17"/>
      <c r="BN180" s="17"/>
      <c r="BO180" s="17"/>
      <c r="BP180" s="17"/>
      <c r="BQ180" s="17"/>
      <c r="BR180" s="17"/>
      <c r="BS180" s="17"/>
      <c r="BT180" s="17"/>
      <c r="BU180" s="17"/>
      <c r="BV180" s="17"/>
      <c r="BW180" s="17"/>
      <c r="BX180" s="17"/>
      <c r="BY180" s="17"/>
      <c r="BZ180" s="17"/>
      <c r="CA180" s="17"/>
      <c r="CB180" s="17"/>
      <c r="CC180" s="17"/>
      <c r="CD180" s="17"/>
    </row>
    <row r="181" spans="1:82"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7"/>
      <c r="BD181" s="17"/>
      <c r="BE181" s="17"/>
      <c r="BF181" s="17"/>
      <c r="BG181" s="17"/>
      <c r="BH181" s="17"/>
      <c r="BI181" s="17"/>
      <c r="BJ181" s="17"/>
      <c r="BK181" s="17"/>
      <c r="BL181" s="17"/>
      <c r="BM181" s="17"/>
      <c r="BN181" s="17"/>
      <c r="BO181" s="17"/>
      <c r="BP181" s="17"/>
      <c r="BQ181" s="17"/>
      <c r="BR181" s="17"/>
      <c r="BS181" s="17"/>
      <c r="BT181" s="17"/>
      <c r="BU181" s="17"/>
      <c r="BV181" s="17"/>
      <c r="BW181" s="17"/>
      <c r="BX181" s="17"/>
      <c r="BY181" s="17"/>
      <c r="BZ181" s="17"/>
      <c r="CA181" s="17"/>
      <c r="CB181" s="17"/>
      <c r="CC181" s="17"/>
      <c r="CD181" s="17"/>
    </row>
    <row r="182" spans="1:82"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row>
    <row r="183" spans="1:82"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7"/>
      <c r="BD183" s="17"/>
      <c r="BE183" s="17"/>
      <c r="BF183" s="17"/>
      <c r="BG183" s="17"/>
      <c r="BH183" s="17"/>
      <c r="BI183" s="17"/>
      <c r="BJ183" s="17"/>
      <c r="BK183" s="17"/>
      <c r="BL183" s="17"/>
      <c r="BM183" s="17"/>
      <c r="BN183" s="17"/>
      <c r="BO183" s="17"/>
      <c r="BP183" s="17"/>
      <c r="BQ183" s="17"/>
      <c r="BR183" s="17"/>
      <c r="BS183" s="17"/>
      <c r="BT183" s="17"/>
      <c r="BU183" s="17"/>
      <c r="BV183" s="17"/>
      <c r="BW183" s="17"/>
      <c r="BX183" s="17"/>
      <c r="BY183" s="17"/>
      <c r="BZ183" s="17"/>
      <c r="CA183" s="17"/>
      <c r="CB183" s="17"/>
      <c r="CC183" s="17"/>
      <c r="CD183" s="17"/>
    </row>
    <row r="184" spans="1:82"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row>
    <row r="185" spans="1:82"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7"/>
      <c r="BD185" s="17"/>
      <c r="BE185" s="17"/>
      <c r="BF185" s="17"/>
      <c r="BG185" s="17"/>
      <c r="BH185" s="17"/>
      <c r="BI185" s="17"/>
      <c r="BJ185" s="17"/>
      <c r="BK185" s="17"/>
      <c r="BL185" s="17"/>
      <c r="BM185" s="17"/>
      <c r="BN185" s="17"/>
      <c r="BO185" s="17"/>
      <c r="BP185" s="17"/>
      <c r="BQ185" s="17"/>
      <c r="BR185" s="17"/>
      <c r="BS185" s="17"/>
      <c r="BT185" s="17"/>
      <c r="BU185" s="17"/>
      <c r="BV185" s="17"/>
      <c r="BW185" s="17"/>
      <c r="BX185" s="17"/>
      <c r="BY185" s="17"/>
      <c r="BZ185" s="17"/>
      <c r="CA185" s="17"/>
      <c r="CB185" s="17"/>
      <c r="CC185" s="17"/>
      <c r="CD185" s="17"/>
    </row>
    <row r="186" spans="1:82"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7"/>
      <c r="BD186" s="17"/>
      <c r="BE186" s="17"/>
      <c r="BF186" s="17"/>
      <c r="BG186" s="17"/>
      <c r="BH186" s="17"/>
      <c r="BI186" s="17"/>
      <c r="BJ186" s="17"/>
      <c r="BK186" s="17"/>
      <c r="BL186" s="17"/>
      <c r="BM186" s="17"/>
      <c r="BN186" s="17"/>
      <c r="BO186" s="17"/>
      <c r="BP186" s="17"/>
      <c r="BQ186" s="17"/>
      <c r="BR186" s="17"/>
      <c r="BS186" s="17"/>
      <c r="BT186" s="17"/>
      <c r="BU186" s="17"/>
      <c r="BV186" s="17"/>
      <c r="BW186" s="17"/>
      <c r="BX186" s="17"/>
      <c r="BY186" s="17"/>
      <c r="BZ186" s="17"/>
      <c r="CA186" s="17"/>
      <c r="CB186" s="17"/>
      <c r="CC186" s="17"/>
      <c r="CD186" s="17"/>
    </row>
    <row r="187" spans="1:82"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7"/>
      <c r="BD187" s="17"/>
      <c r="BE187" s="17"/>
      <c r="BF187" s="17"/>
      <c r="BG187" s="17"/>
      <c r="BH187" s="17"/>
      <c r="BI187" s="17"/>
      <c r="BJ187" s="17"/>
      <c r="BK187" s="17"/>
      <c r="BL187" s="17"/>
      <c r="BM187" s="17"/>
      <c r="BN187" s="17"/>
      <c r="BO187" s="17"/>
      <c r="BP187" s="17"/>
      <c r="BQ187" s="17"/>
      <c r="BR187" s="17"/>
      <c r="BS187" s="17"/>
      <c r="BT187" s="17"/>
      <c r="BU187" s="17"/>
      <c r="BV187" s="17"/>
      <c r="BW187" s="17"/>
      <c r="BX187" s="17"/>
      <c r="BY187" s="17"/>
      <c r="BZ187" s="17"/>
      <c r="CA187" s="17"/>
      <c r="CB187" s="17"/>
      <c r="CC187" s="17"/>
      <c r="CD187" s="17"/>
    </row>
    <row r="188" spans="1:82"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c r="AO188" s="17"/>
    </row>
    <row r="189" spans="1:82"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c r="AA189" s="17"/>
      <c r="AB189" s="17"/>
      <c r="AC189" s="17"/>
      <c r="AD189" s="17"/>
      <c r="AE189" s="17"/>
      <c r="AF189" s="17"/>
      <c r="AG189" s="17"/>
      <c r="AH189" s="17"/>
      <c r="AI189" s="17"/>
      <c r="AJ189" s="17"/>
      <c r="AK189" s="17"/>
      <c r="AL189" s="17"/>
      <c r="AM189" s="17"/>
      <c r="AN189" s="17"/>
      <c r="AO189" s="17"/>
    </row>
    <row r="190" spans="1:82"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c r="AA190" s="17"/>
      <c r="AB190" s="17"/>
      <c r="AC190" s="17"/>
      <c r="AD190" s="17"/>
      <c r="AE190" s="17"/>
      <c r="AF190" s="17"/>
      <c r="AG190" s="17"/>
      <c r="AH190" s="17"/>
      <c r="AI190" s="17"/>
      <c r="AJ190" s="17"/>
      <c r="AK190" s="17"/>
      <c r="AL190" s="17"/>
      <c r="AM190" s="17"/>
      <c r="AN190" s="17"/>
      <c r="AO190" s="17"/>
    </row>
    <row r="191" spans="1:82"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17"/>
    </row>
    <row r="192" spans="1:82"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c r="AO192" s="17"/>
    </row>
    <row r="193" spans="1:4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c r="AA193" s="17"/>
      <c r="AB193" s="17"/>
      <c r="AC193" s="17"/>
      <c r="AD193" s="17"/>
      <c r="AE193" s="17"/>
      <c r="AF193" s="17"/>
      <c r="AG193" s="17"/>
      <c r="AH193" s="17"/>
      <c r="AI193" s="17"/>
      <c r="AJ193" s="17"/>
      <c r="AK193" s="17"/>
      <c r="AL193" s="17"/>
      <c r="AM193" s="17"/>
      <c r="AN193" s="17"/>
      <c r="AO193" s="17"/>
    </row>
    <row r="194" spans="1:4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c r="AM194" s="17"/>
      <c r="AN194" s="17"/>
      <c r="AO194" s="17"/>
    </row>
    <row r="195" spans="1:4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c r="AO195" s="17"/>
    </row>
    <row r="196" spans="1:41" x14ac:dyDescent="0.25">
      <c r="A196" s="19"/>
      <c r="B196" s="19"/>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c r="AO196" s="17"/>
    </row>
    <row r="197" spans="1:41" x14ac:dyDescent="0.25">
      <c r="A197" s="19"/>
      <c r="B197" s="19"/>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row>
    <row r="198" spans="1:41" x14ac:dyDescent="0.25">
      <c r="A198" s="19"/>
      <c r="B198" s="19"/>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c r="AA198" s="17"/>
      <c r="AB198" s="17"/>
      <c r="AC198" s="17"/>
      <c r="AD198" s="17"/>
      <c r="AE198" s="17"/>
      <c r="AF198" s="17"/>
      <c r="AG198" s="17"/>
      <c r="AH198" s="17"/>
      <c r="AI198" s="17"/>
      <c r="AJ198" s="17"/>
      <c r="AK198" s="17"/>
      <c r="AL198" s="17"/>
      <c r="AM198" s="17"/>
      <c r="AN198" s="17"/>
      <c r="AO198" s="17"/>
    </row>
    <row r="199" spans="1:4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row>
  </sheetData>
  <sheetProtection formatCells="0"/>
  <mergeCells count="429">
    <mergeCell ref="J15:J17"/>
    <mergeCell ref="J18:J20"/>
    <mergeCell ref="J21:J23"/>
    <mergeCell ref="I15:I17"/>
    <mergeCell ref="I18:I20"/>
    <mergeCell ref="I21:I23"/>
    <mergeCell ref="J24:J26"/>
    <mergeCell ref="J27:J29"/>
    <mergeCell ref="J30:J32"/>
    <mergeCell ref="I24:I26"/>
    <mergeCell ref="I27:I29"/>
    <mergeCell ref="I30:I32"/>
    <mergeCell ref="G108:G110"/>
    <mergeCell ref="H108:H110"/>
    <mergeCell ref="K108:K110"/>
    <mergeCell ref="L108:L110"/>
    <mergeCell ref="M108:M110"/>
    <mergeCell ref="N108:N110"/>
    <mergeCell ref="G111:G113"/>
    <mergeCell ref="H111:H113"/>
    <mergeCell ref="K111:K113"/>
    <mergeCell ref="L111:L113"/>
    <mergeCell ref="M111:M113"/>
    <mergeCell ref="N111:N113"/>
    <mergeCell ref="I108:I110"/>
    <mergeCell ref="J108:J110"/>
    <mergeCell ref="I111:I113"/>
    <mergeCell ref="J111:J113"/>
    <mergeCell ref="G102:G104"/>
    <mergeCell ref="H102:H104"/>
    <mergeCell ref="K102:K104"/>
    <mergeCell ref="L102:L104"/>
    <mergeCell ref="M102:M104"/>
    <mergeCell ref="N102:N104"/>
    <mergeCell ref="G105:G107"/>
    <mergeCell ref="H105:H107"/>
    <mergeCell ref="K105:K107"/>
    <mergeCell ref="L105:L107"/>
    <mergeCell ref="M105:M107"/>
    <mergeCell ref="N105:N107"/>
    <mergeCell ref="I102:I104"/>
    <mergeCell ref="J102:J104"/>
    <mergeCell ref="I105:I107"/>
    <mergeCell ref="J105:J107"/>
    <mergeCell ref="G96:G98"/>
    <mergeCell ref="H96:H98"/>
    <mergeCell ref="K96:K98"/>
    <mergeCell ref="L96:L98"/>
    <mergeCell ref="M96:M98"/>
    <mergeCell ref="N96:N98"/>
    <mergeCell ref="G99:G101"/>
    <mergeCell ref="H99:H101"/>
    <mergeCell ref="K99:K101"/>
    <mergeCell ref="L99:L101"/>
    <mergeCell ref="M99:M101"/>
    <mergeCell ref="N99:N101"/>
    <mergeCell ref="I96:I98"/>
    <mergeCell ref="J96:J98"/>
    <mergeCell ref="I99:I101"/>
    <mergeCell ref="J99:J101"/>
    <mergeCell ref="G90:G92"/>
    <mergeCell ref="H90:H92"/>
    <mergeCell ref="K90:K92"/>
    <mergeCell ref="L90:L92"/>
    <mergeCell ref="M90:M92"/>
    <mergeCell ref="N90:N92"/>
    <mergeCell ref="G93:G95"/>
    <mergeCell ref="H93:H95"/>
    <mergeCell ref="K93:K95"/>
    <mergeCell ref="L93:L95"/>
    <mergeCell ref="M93:M95"/>
    <mergeCell ref="N93:N95"/>
    <mergeCell ref="I90:I92"/>
    <mergeCell ref="J90:J92"/>
    <mergeCell ref="I93:I95"/>
    <mergeCell ref="J93:J95"/>
    <mergeCell ref="G84:G86"/>
    <mergeCell ref="H84:H86"/>
    <mergeCell ref="K84:K86"/>
    <mergeCell ref="L84:L86"/>
    <mergeCell ref="M84:M86"/>
    <mergeCell ref="N84:N86"/>
    <mergeCell ref="G87:G89"/>
    <mergeCell ref="H87:H89"/>
    <mergeCell ref="K87:K89"/>
    <mergeCell ref="L87:L89"/>
    <mergeCell ref="M87:M89"/>
    <mergeCell ref="N87:N89"/>
    <mergeCell ref="I84:I86"/>
    <mergeCell ref="J84:J86"/>
    <mergeCell ref="I87:I89"/>
    <mergeCell ref="J87:J89"/>
    <mergeCell ref="G72:G74"/>
    <mergeCell ref="H72:H74"/>
    <mergeCell ref="K72:K74"/>
    <mergeCell ref="L72:L74"/>
    <mergeCell ref="M72:M74"/>
    <mergeCell ref="N72:N74"/>
    <mergeCell ref="G75:G77"/>
    <mergeCell ref="H75:H77"/>
    <mergeCell ref="K75:K77"/>
    <mergeCell ref="L75:L77"/>
    <mergeCell ref="M75:M77"/>
    <mergeCell ref="N75:N77"/>
    <mergeCell ref="I72:I74"/>
    <mergeCell ref="J72:J74"/>
    <mergeCell ref="I75:I77"/>
    <mergeCell ref="J75:J77"/>
    <mergeCell ref="M63:M65"/>
    <mergeCell ref="N63:N65"/>
    <mergeCell ref="G66:G68"/>
    <mergeCell ref="H66:H68"/>
    <mergeCell ref="K66:K68"/>
    <mergeCell ref="L66:L68"/>
    <mergeCell ref="M66:M68"/>
    <mergeCell ref="N66:N68"/>
    <mergeCell ref="G69:G71"/>
    <mergeCell ref="H69:H71"/>
    <mergeCell ref="K69:K71"/>
    <mergeCell ref="L69:L71"/>
    <mergeCell ref="M69:M71"/>
    <mergeCell ref="N69:N71"/>
    <mergeCell ref="I63:I65"/>
    <mergeCell ref="J63:J65"/>
    <mergeCell ref="I66:I68"/>
    <mergeCell ref="J66:J68"/>
    <mergeCell ref="I69:I71"/>
    <mergeCell ref="J69:J71"/>
    <mergeCell ref="G46:N46"/>
    <mergeCell ref="G82:N82"/>
    <mergeCell ref="A84:A113"/>
    <mergeCell ref="B111:B113"/>
    <mergeCell ref="C111:C113"/>
    <mergeCell ref="E111:E113"/>
    <mergeCell ref="F111:F113"/>
    <mergeCell ref="G48:G50"/>
    <mergeCell ref="H48:H50"/>
    <mergeCell ref="K48:K50"/>
    <mergeCell ref="L48:L50"/>
    <mergeCell ref="M48:M50"/>
    <mergeCell ref="N48:N50"/>
    <mergeCell ref="G51:G53"/>
    <mergeCell ref="H51:H53"/>
    <mergeCell ref="K51:K53"/>
    <mergeCell ref="L51:L53"/>
    <mergeCell ref="M51:M53"/>
    <mergeCell ref="E87:E89"/>
    <mergeCell ref="F87:F89"/>
    <mergeCell ref="C90:C92"/>
    <mergeCell ref="E90:E92"/>
    <mergeCell ref="F90:F92"/>
    <mergeCell ref="C93:C95"/>
    <mergeCell ref="M36:M38"/>
    <mergeCell ref="N36:N38"/>
    <mergeCell ref="B39:B41"/>
    <mergeCell ref="C39:C41"/>
    <mergeCell ref="E39:E41"/>
    <mergeCell ref="F39:F41"/>
    <mergeCell ref="G39:G41"/>
    <mergeCell ref="H39:H41"/>
    <mergeCell ref="K39:K41"/>
    <mergeCell ref="L39:L41"/>
    <mergeCell ref="M39:M41"/>
    <mergeCell ref="N39:N41"/>
    <mergeCell ref="B36:B38"/>
    <mergeCell ref="C36:C38"/>
    <mergeCell ref="E36:E38"/>
    <mergeCell ref="F36:F38"/>
    <mergeCell ref="G36:G38"/>
    <mergeCell ref="H36:H38"/>
    <mergeCell ref="K36:K38"/>
    <mergeCell ref="L36:L38"/>
    <mergeCell ref="J36:J38"/>
    <mergeCell ref="J39:J41"/>
    <mergeCell ref="I36:I38"/>
    <mergeCell ref="I39:I41"/>
    <mergeCell ref="N30:N32"/>
    <mergeCell ref="B33:B35"/>
    <mergeCell ref="C33:C35"/>
    <mergeCell ref="E33:E35"/>
    <mergeCell ref="F33:F35"/>
    <mergeCell ref="G33:G35"/>
    <mergeCell ref="H33:H35"/>
    <mergeCell ref="K33:K35"/>
    <mergeCell ref="L33:L35"/>
    <mergeCell ref="M33:M35"/>
    <mergeCell ref="N33:N35"/>
    <mergeCell ref="B30:B32"/>
    <mergeCell ref="C30:C32"/>
    <mergeCell ref="E30:E32"/>
    <mergeCell ref="F30:F32"/>
    <mergeCell ref="G30:G32"/>
    <mergeCell ref="H30:H32"/>
    <mergeCell ref="K30:K32"/>
    <mergeCell ref="L30:L32"/>
    <mergeCell ref="M30:M32"/>
    <mergeCell ref="J33:J35"/>
    <mergeCell ref="I33:I35"/>
    <mergeCell ref="A7:Y7"/>
    <mergeCell ref="A2:C2"/>
    <mergeCell ref="F12:F14"/>
    <mergeCell ref="E12:E14"/>
    <mergeCell ref="C12:C14"/>
    <mergeCell ref="F10:F11"/>
    <mergeCell ref="H12:H14"/>
    <mergeCell ref="A10:A11"/>
    <mergeCell ref="B10:E10"/>
    <mergeCell ref="B12:B14"/>
    <mergeCell ref="L12:L14"/>
    <mergeCell ref="M12:M14"/>
    <mergeCell ref="N12:N14"/>
    <mergeCell ref="Q10:Y10"/>
    <mergeCell ref="G10:N10"/>
    <mergeCell ref="R11:T11"/>
    <mergeCell ref="I12:I14"/>
    <mergeCell ref="J12:J14"/>
    <mergeCell ref="P2:X2"/>
    <mergeCell ref="P4:X4"/>
    <mergeCell ref="E3:O4"/>
    <mergeCell ref="P5:X6"/>
    <mergeCell ref="A3:C6"/>
    <mergeCell ref="E2:O2"/>
    <mergeCell ref="C105:C107"/>
    <mergeCell ref="C117:F117"/>
    <mergeCell ref="C118:F118"/>
    <mergeCell ref="Q117:Y117"/>
    <mergeCell ref="Q118:Y118"/>
    <mergeCell ref="F48:F50"/>
    <mergeCell ref="F51:F53"/>
    <mergeCell ref="F54:F56"/>
    <mergeCell ref="F57:F59"/>
    <mergeCell ref="C69:C71"/>
    <mergeCell ref="E69:E71"/>
    <mergeCell ref="F69:F71"/>
    <mergeCell ref="C60:C62"/>
    <mergeCell ref="E60:E62"/>
    <mergeCell ref="F60:F62"/>
    <mergeCell ref="C63:C65"/>
    <mergeCell ref="E63:E65"/>
    <mergeCell ref="F63:F65"/>
    <mergeCell ref="C66:C68"/>
    <mergeCell ref="E66:E68"/>
    <mergeCell ref="E108:E110"/>
    <mergeCell ref="C84:C86"/>
    <mergeCell ref="E84:E86"/>
    <mergeCell ref="F84:F86"/>
    <mergeCell ref="C99:C101"/>
    <mergeCell ref="E99:E101"/>
    <mergeCell ref="F99:F101"/>
    <mergeCell ref="C102:C104"/>
    <mergeCell ref="E102:E104"/>
    <mergeCell ref="F102:F104"/>
    <mergeCell ref="B72:B74"/>
    <mergeCell ref="C72:C74"/>
    <mergeCell ref="E72:E74"/>
    <mergeCell ref="F72:F74"/>
    <mergeCell ref="C87:C89"/>
    <mergeCell ref="D72:D74"/>
    <mergeCell ref="D75:D77"/>
    <mergeCell ref="C96:C98"/>
    <mergeCell ref="E96:E98"/>
    <mergeCell ref="F96:F98"/>
    <mergeCell ref="B84:B86"/>
    <mergeCell ref="B87:B89"/>
    <mergeCell ref="B90:B92"/>
    <mergeCell ref="Q46:Y46"/>
    <mergeCell ref="A48:A77"/>
    <mergeCell ref="N27:N29"/>
    <mergeCell ref="M15:M17"/>
    <mergeCell ref="N15:N17"/>
    <mergeCell ref="B18:B20"/>
    <mergeCell ref="C18:C20"/>
    <mergeCell ref="E18:E20"/>
    <mergeCell ref="F18:F20"/>
    <mergeCell ref="G18:G20"/>
    <mergeCell ref="B46:E46"/>
    <mergeCell ref="B48:B50"/>
    <mergeCell ref="B51:B53"/>
    <mergeCell ref="B54:B56"/>
    <mergeCell ref="H18:H20"/>
    <mergeCell ref="K18:K20"/>
    <mergeCell ref="L18:L20"/>
    <mergeCell ref="M18:M20"/>
    <mergeCell ref="N18:N20"/>
    <mergeCell ref="B15:B17"/>
    <mergeCell ref="C15:C17"/>
    <mergeCell ref="E15:E17"/>
    <mergeCell ref="F15:F17"/>
    <mergeCell ref="G15:G17"/>
    <mergeCell ref="C48:C50"/>
    <mergeCell ref="E48:E50"/>
    <mergeCell ref="C51:C53"/>
    <mergeCell ref="E51:E53"/>
    <mergeCell ref="C54:C56"/>
    <mergeCell ref="K12:K14"/>
    <mergeCell ref="G12:G14"/>
    <mergeCell ref="E54:E56"/>
    <mergeCell ref="A46:A47"/>
    <mergeCell ref="F46:F47"/>
    <mergeCell ref="H15:H17"/>
    <mergeCell ref="K15:K17"/>
    <mergeCell ref="B21:B23"/>
    <mergeCell ref="C21:C23"/>
    <mergeCell ref="E21:E23"/>
    <mergeCell ref="F21:F23"/>
    <mergeCell ref="G21:G23"/>
    <mergeCell ref="H21:H23"/>
    <mergeCell ref="K21:K23"/>
    <mergeCell ref="B27:B29"/>
    <mergeCell ref="C27:C29"/>
    <mergeCell ref="E27:E29"/>
    <mergeCell ref="F27:F29"/>
    <mergeCell ref="G27:G29"/>
    <mergeCell ref="E57:E59"/>
    <mergeCell ref="A82:A83"/>
    <mergeCell ref="F82:F83"/>
    <mergeCell ref="Q82:Y82"/>
    <mergeCell ref="B57:B59"/>
    <mergeCell ref="B60:B62"/>
    <mergeCell ref="B63:B65"/>
    <mergeCell ref="B66:B68"/>
    <mergeCell ref="B69:B71"/>
    <mergeCell ref="B75:B77"/>
    <mergeCell ref="B82:E82"/>
    <mergeCell ref="F75:F77"/>
    <mergeCell ref="C57:C59"/>
    <mergeCell ref="C75:C77"/>
    <mergeCell ref="E75:E77"/>
    <mergeCell ref="F66:F68"/>
    <mergeCell ref="K60:K62"/>
    <mergeCell ref="L60:L62"/>
    <mergeCell ref="M60:M62"/>
    <mergeCell ref="N60:N62"/>
    <mergeCell ref="G63:G65"/>
    <mergeCell ref="H63:H65"/>
    <mergeCell ref="K63:K65"/>
    <mergeCell ref="L63:L65"/>
    <mergeCell ref="M54:M56"/>
    <mergeCell ref="N54:N56"/>
    <mergeCell ref="G57:G59"/>
    <mergeCell ref="H57:H59"/>
    <mergeCell ref="K57:K59"/>
    <mergeCell ref="L57:L59"/>
    <mergeCell ref="M57:M59"/>
    <mergeCell ref="N57:N59"/>
    <mergeCell ref="H60:H62"/>
    <mergeCell ref="L27:L29"/>
    <mergeCell ref="M27:M29"/>
    <mergeCell ref="B24:B26"/>
    <mergeCell ref="C24:C26"/>
    <mergeCell ref="E24:E26"/>
    <mergeCell ref="F24:F26"/>
    <mergeCell ref="G24:G26"/>
    <mergeCell ref="H24:H26"/>
    <mergeCell ref="K24:K26"/>
    <mergeCell ref="L24:L26"/>
    <mergeCell ref="M24:M26"/>
    <mergeCell ref="C108:C110"/>
    <mergeCell ref="B99:B101"/>
    <mergeCell ref="B102:B104"/>
    <mergeCell ref="B105:B107"/>
    <mergeCell ref="B108:B110"/>
    <mergeCell ref="B93:B95"/>
    <mergeCell ref="B96:B98"/>
    <mergeCell ref="F108:F110"/>
    <mergeCell ref="A45:W45"/>
    <mergeCell ref="R47:T47"/>
    <mergeCell ref="D48:D50"/>
    <mergeCell ref="D51:D53"/>
    <mergeCell ref="D54:D56"/>
    <mergeCell ref="D57:D59"/>
    <mergeCell ref="D60:D62"/>
    <mergeCell ref="D63:D65"/>
    <mergeCell ref="D66:D68"/>
    <mergeCell ref="D69:D71"/>
    <mergeCell ref="G60:G62"/>
    <mergeCell ref="N51:N53"/>
    <mergeCell ref="G54:G56"/>
    <mergeCell ref="H54:H56"/>
    <mergeCell ref="K54:K56"/>
    <mergeCell ref="L54:L56"/>
    <mergeCell ref="I51:I53"/>
    <mergeCell ref="J51:J53"/>
    <mergeCell ref="I54:I56"/>
    <mergeCell ref="J54:J56"/>
    <mergeCell ref="I57:I59"/>
    <mergeCell ref="J57:J59"/>
    <mergeCell ref="I60:I62"/>
    <mergeCell ref="J60:J62"/>
    <mergeCell ref="D111:D113"/>
    <mergeCell ref="A81:W81"/>
    <mergeCell ref="D84:D86"/>
    <mergeCell ref="D87:D89"/>
    <mergeCell ref="D90:D92"/>
    <mergeCell ref="D93:D95"/>
    <mergeCell ref="D96:D98"/>
    <mergeCell ref="D99:D101"/>
    <mergeCell ref="D102:D104"/>
    <mergeCell ref="D105:D107"/>
    <mergeCell ref="D108:D110"/>
    <mergeCell ref="R83:T83"/>
    <mergeCell ref="E105:E107"/>
    <mergeCell ref="E93:E95"/>
    <mergeCell ref="F93:F95"/>
    <mergeCell ref="F105:F107"/>
    <mergeCell ref="E5:O5"/>
    <mergeCell ref="E6:O6"/>
    <mergeCell ref="P3:X3"/>
    <mergeCell ref="I48:I50"/>
    <mergeCell ref="J48:J50"/>
    <mergeCell ref="A9:W9"/>
    <mergeCell ref="D12:D14"/>
    <mergeCell ref="D15:D17"/>
    <mergeCell ref="D18:D20"/>
    <mergeCell ref="D21:D23"/>
    <mergeCell ref="D24:D26"/>
    <mergeCell ref="D27:D29"/>
    <mergeCell ref="D30:D32"/>
    <mergeCell ref="D33:D35"/>
    <mergeCell ref="D36:D38"/>
    <mergeCell ref="D39:D41"/>
    <mergeCell ref="A12:A41"/>
    <mergeCell ref="L15:L17"/>
    <mergeCell ref="L21:L23"/>
    <mergeCell ref="M21:M23"/>
    <mergeCell ref="N21:N23"/>
    <mergeCell ref="N24:N26"/>
    <mergeCell ref="H27:H29"/>
    <mergeCell ref="K27:K29"/>
  </mergeCells>
  <conditionalFormatting sqref="W48:X78 W84:X114 G12:N42 G48:N78 G84:N114 W12:X42">
    <cfRule type="containsText" dxfId="3" priority="2" operator="containsText" text="No">
      <formula>NOT(ISERROR(SEARCH("No",G12)))</formula>
    </cfRule>
  </conditionalFormatting>
  <pageMargins left="0.7" right="0.7" top="0.75" bottom="0.75" header="0.3" footer="0.3"/>
  <pageSetup orientation="portrait" verticalDpi="1200" r:id="rId1"/>
  <ignoredErrors>
    <ignoredError sqref="E43 E79 E115" evalError="1"/>
  </ignoredError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Hoja1!$O$13:$O$14</xm:f>
          </x14:formula1>
          <xm:sqref>F111:F114 Y43:Y44 F36 Y79:Y80 F12:F15 F39 F84:F108 F18 F21 F24 F27 F30 F33 Y115:Y116</xm:sqref>
        </x14:dataValidation>
        <x14:dataValidation type="list" allowBlank="1" showDropDown="1" showInputMessage="1">
          <x14:formula1>
            <xm:f>Hoja1!$O$13:$O$14</xm:f>
          </x14:formula1>
          <xm:sqref>G48:P80 G84:P116</xm:sqref>
        </x14:dataValidation>
        <x14:dataValidation type="list" allowBlank="1" showErrorMessage="1">
          <x14:formula1>
            <xm:f>Hoja1!$O$13:$O$14</xm:f>
          </x14:formula1>
          <xm:sqref>F51:F78</xm:sqref>
        </x14:dataValidation>
        <x14:dataValidation type="list" allowBlank="1" showErrorMessage="1">
          <x14:formula1>
            <xm:f>Hoja1!$O$13:$O$15</xm:f>
          </x14:formula1>
          <xm:sqref>F48:F50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S104"/>
  <sheetViews>
    <sheetView showGridLines="0" topLeftCell="A28" zoomScale="110" zoomScaleNormal="110" workbookViewId="0">
      <selection activeCell="G40" sqref="G40:G69"/>
    </sheetView>
  </sheetViews>
  <sheetFormatPr baseColWidth="10" defaultRowHeight="15" x14ac:dyDescent="0.25"/>
  <cols>
    <col min="1" max="1" width="4.5703125" style="1" customWidth="1"/>
    <col min="2" max="2" width="11.42578125" style="1"/>
    <col min="3" max="3" width="24.140625" style="1" customWidth="1"/>
    <col min="4" max="4" width="28.42578125" style="1" bestFit="1" customWidth="1"/>
    <col min="5" max="5" width="28.42578125" style="1" customWidth="1"/>
    <col min="6" max="6" width="30.140625" style="1" customWidth="1"/>
    <col min="7" max="7" width="31" style="1" customWidth="1"/>
    <col min="10" max="10" width="18.140625" bestFit="1" customWidth="1"/>
    <col min="11" max="11" width="46.140625" customWidth="1"/>
    <col min="12" max="12" width="7.7109375" customWidth="1"/>
  </cols>
  <sheetData>
    <row r="1" spans="2:19" ht="15.75" thickBot="1" x14ac:dyDescent="0.3"/>
    <row r="2" spans="2:19" ht="19.5" thickBot="1" x14ac:dyDescent="0.3">
      <c r="B2" s="444" t="s">
        <v>106</v>
      </c>
      <c r="C2" s="445"/>
      <c r="D2" s="445"/>
      <c r="E2" s="445"/>
      <c r="F2" s="445"/>
      <c r="G2" s="446"/>
    </row>
    <row r="3" spans="2:19" s="1" customFormat="1" ht="15" customHeight="1" x14ac:dyDescent="0.25">
      <c r="B3" s="442" t="s">
        <v>42</v>
      </c>
      <c r="C3" s="442" t="s">
        <v>109</v>
      </c>
      <c r="D3" s="442" t="s">
        <v>110</v>
      </c>
      <c r="E3" s="442" t="s">
        <v>104</v>
      </c>
      <c r="F3" s="442" t="s">
        <v>136</v>
      </c>
      <c r="G3" s="451" t="s">
        <v>137</v>
      </c>
      <c r="I3" s="467" t="s">
        <v>110</v>
      </c>
      <c r="J3" s="468"/>
      <c r="K3" s="469"/>
      <c r="M3" s="467" t="s">
        <v>115</v>
      </c>
      <c r="N3" s="468"/>
      <c r="O3" s="468"/>
      <c r="P3" s="468"/>
      <c r="Q3" s="468"/>
      <c r="R3" s="468"/>
      <c r="S3" s="469"/>
    </row>
    <row r="4" spans="2:19" s="1" customFormat="1" ht="52.5" customHeight="1" thickBot="1" x14ac:dyDescent="0.3">
      <c r="B4" s="443"/>
      <c r="C4" s="443"/>
      <c r="D4" s="443"/>
      <c r="E4" s="443"/>
      <c r="F4" s="443"/>
      <c r="G4" s="452"/>
      <c r="I4" s="470"/>
      <c r="J4" s="471"/>
      <c r="K4" s="472"/>
      <c r="M4" s="470"/>
      <c r="N4" s="471"/>
      <c r="O4" s="471"/>
      <c r="P4" s="471"/>
      <c r="Q4" s="471"/>
      <c r="R4" s="471"/>
      <c r="S4" s="472"/>
    </row>
    <row r="5" spans="2:19" ht="24.75" customHeight="1" x14ac:dyDescent="0.25">
      <c r="B5" s="448" t="str">
        <f>+'FT-Monitoreos '!B12</f>
        <v/>
      </c>
      <c r="C5" s="450" t="str">
        <f>+'FT-Monitoreos '!C12</f>
        <v/>
      </c>
      <c r="D5" s="453" t="str">
        <f>IFERROR(+'FT-Monitoreos '!E43," ")</f>
        <v xml:space="preserve"> </v>
      </c>
      <c r="E5" s="91" t="str">
        <f>+'FT-Monitoreos '!O12</f>
        <v>Listas de verificación guías protocolos y procedimientos</v>
      </c>
      <c r="F5" s="104" t="str">
        <f>IFERROR(+IF('FT-Monitoreos '!V12="No","N/A",'FT-Monitoreos '!Y12),"")</f>
        <v xml:space="preserve"> </v>
      </c>
      <c r="G5" s="449" t="str">
        <f>IFERROR(IF(F5:F7="N/A","N/A",AVERAGE(F5:F7)),"N/A")</f>
        <v>N/A</v>
      </c>
      <c r="H5" s="33"/>
      <c r="I5" s="473"/>
      <c r="J5" s="474"/>
      <c r="K5" s="475"/>
      <c r="M5" s="473"/>
      <c r="N5" s="474"/>
      <c r="O5" s="474"/>
      <c r="P5" s="474"/>
      <c r="Q5" s="474"/>
      <c r="R5" s="474"/>
      <c r="S5" s="475"/>
    </row>
    <row r="6" spans="2:19" ht="24.75" customHeight="1" x14ac:dyDescent="0.25">
      <c r="B6" s="447"/>
      <c r="C6" s="430"/>
      <c r="D6" s="454"/>
      <c r="E6" s="92" t="str">
        <f>+'FT-Monitoreos '!O13</f>
        <v>Parada de seguridad</v>
      </c>
      <c r="F6" s="79" t="str">
        <f>IFERROR(+IF('FT-Monitoreos '!V13="No","N/A",'FT-Monitoreos '!Y13),"")</f>
        <v xml:space="preserve"> </v>
      </c>
      <c r="G6" s="437"/>
      <c r="H6" s="33"/>
      <c r="I6" s="476"/>
      <c r="J6" s="477"/>
      <c r="K6" s="478"/>
      <c r="M6" s="476"/>
      <c r="N6" s="477"/>
      <c r="O6" s="477"/>
      <c r="P6" s="477"/>
      <c r="Q6" s="477"/>
      <c r="R6" s="477"/>
      <c r="S6" s="478"/>
    </row>
    <row r="7" spans="2:19" ht="15.75" x14ac:dyDescent="0.25">
      <c r="B7" s="447"/>
      <c r="C7" s="430"/>
      <c r="D7" s="454"/>
      <c r="E7" s="92" t="str">
        <f>+'FT-Monitoreos '!O14</f>
        <v/>
      </c>
      <c r="F7" s="79" t="str">
        <f>IFERROR(+IF('FT-Monitoreos '!V14="No","N/A",'FT-Monitoreos '!Y14),"")</f>
        <v>N/A</v>
      </c>
      <c r="G7" s="437"/>
      <c r="H7" s="33"/>
      <c r="I7" s="476"/>
      <c r="J7" s="477"/>
      <c r="K7" s="478"/>
      <c r="M7" s="476"/>
      <c r="N7" s="477"/>
      <c r="O7" s="477"/>
      <c r="P7" s="477"/>
      <c r="Q7" s="477"/>
      <c r="R7" s="477"/>
      <c r="S7" s="478"/>
    </row>
    <row r="8" spans="2:19" ht="24.75" customHeight="1" x14ac:dyDescent="0.25">
      <c r="B8" s="447" t="str">
        <f>+'FT-Monitoreos '!B15</f>
        <v/>
      </c>
      <c r="C8" s="430" t="str">
        <f>+'FT-Monitoreos '!C15</f>
        <v/>
      </c>
      <c r="D8" s="454"/>
      <c r="E8" s="92" t="str">
        <f>+'FT-Monitoreos '!O15</f>
        <v>Listas de verificación guías protocolos y procedimientos</v>
      </c>
      <c r="F8" s="79" t="str">
        <f>IFERROR(+IF('FT-Monitoreos '!V15="No","N/A",'FT-Monitoreos '!Y15),"")</f>
        <v xml:space="preserve"> </v>
      </c>
      <c r="G8" s="437" t="str">
        <f t="shared" ref="G8" si="0">IFERROR(IF(F8:F10="N/A","N/A",AVERAGE(F8:F10)),"N/A")</f>
        <v>N/A</v>
      </c>
      <c r="H8" s="33"/>
      <c r="I8" s="476"/>
      <c r="J8" s="477"/>
      <c r="K8" s="478"/>
      <c r="M8" s="476"/>
      <c r="N8" s="477"/>
      <c r="O8" s="477"/>
      <c r="P8" s="477"/>
      <c r="Q8" s="477"/>
      <c r="R8" s="477"/>
      <c r="S8" s="478"/>
    </row>
    <row r="9" spans="2:19" ht="24.75" customHeight="1" x14ac:dyDescent="0.25">
      <c r="B9" s="447"/>
      <c r="C9" s="430"/>
      <c r="D9" s="454"/>
      <c r="E9" s="92" t="str">
        <f>+'FT-Monitoreos '!O16</f>
        <v>Listas de verificación guías protocolos y procedimientos</v>
      </c>
      <c r="F9" s="79" t="str">
        <f>IFERROR(+IF('FT-Monitoreos '!V16="No","N/A",'FT-Monitoreos '!Y16),"")</f>
        <v xml:space="preserve"> </v>
      </c>
      <c r="G9" s="437"/>
      <c r="H9" s="33"/>
      <c r="I9" s="476"/>
      <c r="J9" s="477"/>
      <c r="K9" s="478"/>
      <c r="M9" s="476"/>
      <c r="N9" s="477"/>
      <c r="O9" s="477"/>
      <c r="P9" s="477"/>
      <c r="Q9" s="477"/>
      <c r="R9" s="477"/>
      <c r="S9" s="478"/>
    </row>
    <row r="10" spans="2:19" ht="24.75" customHeight="1" x14ac:dyDescent="0.25">
      <c r="B10" s="447"/>
      <c r="C10" s="430"/>
      <c r="D10" s="454"/>
      <c r="E10" s="92" t="str">
        <f>+'FT-Monitoreos '!O17</f>
        <v/>
      </c>
      <c r="F10" s="79" t="str">
        <f>IFERROR(+IF('FT-Monitoreos '!V17="No","N/A",'FT-Monitoreos '!Y17),"")</f>
        <v>N/A</v>
      </c>
      <c r="G10" s="437"/>
      <c r="I10" s="476"/>
      <c r="J10" s="477"/>
      <c r="K10" s="478"/>
      <c r="M10" s="476"/>
      <c r="N10" s="477"/>
      <c r="O10" s="477"/>
      <c r="P10" s="477"/>
      <c r="Q10" s="477"/>
      <c r="R10" s="477"/>
      <c r="S10" s="478"/>
    </row>
    <row r="11" spans="2:19" ht="52.5" customHeight="1" x14ac:dyDescent="0.25">
      <c r="B11" s="447" t="str">
        <f>+'FT-Monitoreos '!B18</f>
        <v/>
      </c>
      <c r="C11" s="430" t="str">
        <f>+'FT-Monitoreos '!C18</f>
        <v/>
      </c>
      <c r="D11" s="454"/>
      <c r="E11" s="92" t="str">
        <f>+'FT-Monitoreos '!O18</f>
        <v>Evaluación de adherencia</v>
      </c>
      <c r="F11" s="79" t="str">
        <f>IFERROR(+IF('FT-Monitoreos '!V18="No","N/A",'FT-Monitoreos '!Y18),"")</f>
        <v>N/A</v>
      </c>
      <c r="G11" s="437" t="str">
        <f t="shared" ref="G11" si="1">IFERROR(IF(F11:F13="N/A","N/A",AVERAGE(F11:F13)),"N/A")</f>
        <v>N/A</v>
      </c>
      <c r="I11" s="476"/>
      <c r="J11" s="477"/>
      <c r="K11" s="478"/>
      <c r="M11" s="476"/>
      <c r="N11" s="477"/>
      <c r="O11" s="477"/>
      <c r="P11" s="477"/>
      <c r="Q11" s="477"/>
      <c r="R11" s="477"/>
      <c r="S11" s="478"/>
    </row>
    <row r="12" spans="2:19" ht="24.75" customHeight="1" x14ac:dyDescent="0.25">
      <c r="B12" s="447"/>
      <c r="C12" s="430"/>
      <c r="D12" s="454"/>
      <c r="E12" s="92" t="str">
        <f>+'FT-Monitoreos '!O19</f>
        <v xml:space="preserve">Rotación de personal por todas las áreas asistenciales de urgencias </v>
      </c>
      <c r="F12" s="79" t="str">
        <f>IFERROR(+IF('FT-Monitoreos '!V19="No","N/A",'FT-Monitoreos '!Y19),"")</f>
        <v xml:space="preserve"> </v>
      </c>
      <c r="G12" s="437"/>
      <c r="I12" s="476"/>
      <c r="J12" s="477"/>
      <c r="K12" s="478"/>
      <c r="M12" s="476"/>
      <c r="N12" s="477"/>
      <c r="O12" s="477"/>
      <c r="P12" s="477"/>
      <c r="Q12" s="477"/>
      <c r="R12" s="477"/>
      <c r="S12" s="478"/>
    </row>
    <row r="13" spans="2:19" ht="24.75" customHeight="1" x14ac:dyDescent="0.25">
      <c r="B13" s="447"/>
      <c r="C13" s="430"/>
      <c r="D13" s="454"/>
      <c r="E13" s="92" t="str">
        <f>+'FT-Monitoreos '!O20</f>
        <v/>
      </c>
      <c r="F13" s="79" t="str">
        <f>IFERROR(+IF('FT-Monitoreos '!V20="No","N/A",'FT-Monitoreos '!Y20),"")</f>
        <v>N/A</v>
      </c>
      <c r="G13" s="437"/>
      <c r="I13" s="476"/>
      <c r="J13" s="477"/>
      <c r="K13" s="478"/>
      <c r="M13" s="476"/>
      <c r="N13" s="477"/>
      <c r="O13" s="477"/>
      <c r="P13" s="477"/>
      <c r="Q13" s="477"/>
      <c r="R13" s="477"/>
      <c r="S13" s="478"/>
    </row>
    <row r="14" spans="2:19" ht="24.75" customHeight="1" x14ac:dyDescent="0.25">
      <c r="B14" s="447" t="str">
        <f>+'FT-Monitoreos '!B21</f>
        <v xml:space="preserve"> </v>
      </c>
      <c r="C14" s="430" t="str">
        <f>+'FT-Monitoreos '!C21</f>
        <v/>
      </c>
      <c r="D14" s="454"/>
      <c r="E14" s="92" t="str">
        <f>+'FT-Monitoreos '!O21</f>
        <v xml:space="preserve">Asignación de elementos y/o  prendas de identificación </v>
      </c>
      <c r="F14" s="79" t="str">
        <f>IFERROR(+IF('FT-Monitoreos '!V21="No","N/A",'FT-Monitoreos '!Y21),"")</f>
        <v xml:space="preserve"> </v>
      </c>
      <c r="G14" s="437" t="str">
        <f t="shared" ref="G14" si="2">IFERROR(IF(F14:F16="N/A","N/A",AVERAGE(F14:F16)),"N/A")</f>
        <v>N/A</v>
      </c>
      <c r="I14" s="476"/>
      <c r="J14" s="477"/>
      <c r="K14" s="478"/>
      <c r="M14" s="476"/>
      <c r="N14" s="477"/>
      <c r="O14" s="477"/>
      <c r="P14" s="477"/>
      <c r="Q14" s="477"/>
      <c r="R14" s="477"/>
      <c r="S14" s="478"/>
    </row>
    <row r="15" spans="2:19" ht="24.75" customHeight="1" x14ac:dyDescent="0.25">
      <c r="B15" s="447"/>
      <c r="C15" s="430"/>
      <c r="D15" s="454"/>
      <c r="E15" s="92" t="str">
        <f>+'FT-Monitoreos '!O22</f>
        <v xml:space="preserve">Control de puertas por los guardias de seguridad y revisión por parte del personal de información </v>
      </c>
      <c r="F15" s="79" t="str">
        <f>IFERROR(+IF('FT-Monitoreos '!V22="No","N/A",'FT-Monitoreos '!Y22),"")</f>
        <v xml:space="preserve"> </v>
      </c>
      <c r="G15" s="437"/>
      <c r="I15" s="476"/>
      <c r="J15" s="477"/>
      <c r="K15" s="478"/>
      <c r="M15" s="476"/>
      <c r="N15" s="477"/>
      <c r="O15" s="477"/>
      <c r="P15" s="477"/>
      <c r="Q15" s="477"/>
      <c r="R15" s="477"/>
      <c r="S15" s="478"/>
    </row>
    <row r="16" spans="2:19" ht="24.75" customHeight="1" x14ac:dyDescent="0.25">
      <c r="B16" s="447"/>
      <c r="C16" s="430"/>
      <c r="D16" s="454"/>
      <c r="E16" s="92" t="str">
        <f>+'FT-Monitoreos '!O23</f>
        <v/>
      </c>
      <c r="F16" s="79" t="str">
        <f>IFERROR(+IF('FT-Monitoreos '!V23="No","N/A",'FT-Monitoreos '!Y23),"")</f>
        <v>N/A</v>
      </c>
      <c r="G16" s="437"/>
      <c r="I16" s="476"/>
      <c r="J16" s="477"/>
      <c r="K16" s="478"/>
      <c r="M16" s="476"/>
      <c r="N16" s="477"/>
      <c r="O16" s="477"/>
      <c r="P16" s="477"/>
      <c r="Q16" s="477"/>
      <c r="R16" s="477"/>
      <c r="S16" s="478"/>
    </row>
    <row r="17" spans="2:19" ht="24.75" customHeight="1" x14ac:dyDescent="0.25">
      <c r="B17" s="447" t="str">
        <f>+'FT-Monitoreos '!B24</f>
        <v/>
      </c>
      <c r="C17" s="430" t="str">
        <f>+'FT-Monitoreos '!C24</f>
        <v/>
      </c>
      <c r="D17" s="454"/>
      <c r="E17" s="92" t="str">
        <f>+'FT-Monitoreos '!O24</f>
        <v>Evaluación de adherencia de protocolos y procedimientos</v>
      </c>
      <c r="F17" s="79" t="str">
        <f>IFERROR(+IF('FT-Monitoreos '!V24="No","N/A",'FT-Monitoreos '!Y24),"")</f>
        <v>N/A</v>
      </c>
      <c r="G17" s="437" t="str">
        <f t="shared" ref="G17" si="3">IFERROR(IF(F17:F19="N/A","N/A",AVERAGE(F17:F19)),"N/A")</f>
        <v>N/A</v>
      </c>
      <c r="I17" s="476"/>
      <c r="J17" s="477"/>
      <c r="K17" s="478"/>
      <c r="M17" s="476"/>
      <c r="N17" s="477"/>
      <c r="O17" s="477"/>
      <c r="P17" s="477"/>
      <c r="Q17" s="477"/>
      <c r="R17" s="477"/>
      <c r="S17" s="478"/>
    </row>
    <row r="18" spans="2:19" ht="24.75" customHeight="1" thickBot="1" x14ac:dyDescent="0.3">
      <c r="B18" s="447"/>
      <c r="C18" s="430"/>
      <c r="D18" s="454"/>
      <c r="E18" s="92" t="str">
        <f>+'FT-Monitoreos '!O25</f>
        <v>Evaluación de adherencia de protocolos y procedimientos</v>
      </c>
      <c r="F18" s="79" t="str">
        <f>IFERROR(+IF('FT-Monitoreos '!V25="No","N/A",'FT-Monitoreos '!Y25),"")</f>
        <v>N/A</v>
      </c>
      <c r="G18" s="437"/>
      <c r="I18" s="479"/>
      <c r="J18" s="480"/>
      <c r="K18" s="481"/>
      <c r="M18" s="479"/>
      <c r="N18" s="480"/>
      <c r="O18" s="480"/>
      <c r="P18" s="480"/>
      <c r="Q18" s="480"/>
      <c r="R18" s="480"/>
      <c r="S18" s="481"/>
    </row>
    <row r="19" spans="2:19" ht="24.75" customHeight="1" thickBot="1" x14ac:dyDescent="0.3">
      <c r="B19" s="447"/>
      <c r="C19" s="430"/>
      <c r="D19" s="454"/>
      <c r="E19" s="92" t="str">
        <f>+'FT-Monitoreos '!O26</f>
        <v/>
      </c>
      <c r="F19" s="79" t="str">
        <f>IFERROR(+IF('FT-Monitoreos '!V26="No","N/A",'FT-Monitoreos '!Y26),"")</f>
        <v>N/A</v>
      </c>
      <c r="G19" s="437"/>
      <c r="I19" s="482" t="s">
        <v>106</v>
      </c>
      <c r="J19" s="483"/>
      <c r="K19" s="484"/>
      <c r="L19" s="51"/>
      <c r="M19" s="482" t="s">
        <v>106</v>
      </c>
      <c r="N19" s="483"/>
      <c r="O19" s="483"/>
      <c r="P19" s="483"/>
      <c r="Q19" s="483"/>
      <c r="R19" s="483"/>
      <c r="S19" s="484"/>
    </row>
    <row r="20" spans="2:19" ht="24.75" customHeight="1" x14ac:dyDescent="0.25">
      <c r="B20" s="447" t="str">
        <f>+'FT-Monitoreos '!B27</f>
        <v/>
      </c>
      <c r="C20" s="430" t="str">
        <f>+'FT-Monitoreos '!C27</f>
        <v/>
      </c>
      <c r="D20" s="454"/>
      <c r="E20" s="92" t="str">
        <f>+'FT-Monitoreos '!O27</f>
        <v>Verificación de las características del  estado de los dispositivos médicos para el correcto uso de los mismos</v>
      </c>
      <c r="F20" s="79" t="str">
        <f>IFERROR(+IF('FT-Monitoreos '!V27="No","N/A",'FT-Monitoreos '!Y27),"")</f>
        <v xml:space="preserve"> </v>
      </c>
      <c r="G20" s="437" t="str">
        <f t="shared" ref="G20" si="4">IFERROR(IF(F20:F22="N/A","N/A",AVERAGE(F20:F22)),"N/A")</f>
        <v>N/A</v>
      </c>
    </row>
    <row r="21" spans="2:19" ht="24.75" customHeight="1" x14ac:dyDescent="0.25">
      <c r="B21" s="447"/>
      <c r="C21" s="430"/>
      <c r="D21" s="454"/>
      <c r="E21" s="92" t="str">
        <f>+'FT-Monitoreos '!O28</f>
        <v>Evaluación de adherencia de protocolos y procedimientos</v>
      </c>
      <c r="F21" s="79" t="str">
        <f>IFERROR(+IF('FT-Monitoreos '!V28="No","N/A",'FT-Monitoreos '!Y28),"")</f>
        <v>N/A</v>
      </c>
      <c r="G21" s="437"/>
    </row>
    <row r="22" spans="2:19" ht="24.75" customHeight="1" x14ac:dyDescent="0.25">
      <c r="B22" s="447"/>
      <c r="C22" s="430"/>
      <c r="D22" s="454"/>
      <c r="E22" s="92" t="str">
        <f>+'FT-Monitoreos '!O29</f>
        <v>Inspección de las condiciones de cerramiento en caso de obras y mantenimientos</v>
      </c>
      <c r="F22" s="79" t="str">
        <f>IFERROR(+IF('FT-Monitoreos '!V29="No","N/A",'FT-Monitoreos '!Y29),"")</f>
        <v xml:space="preserve"> </v>
      </c>
      <c r="G22" s="437"/>
    </row>
    <row r="23" spans="2:19" ht="24.75" customHeight="1" x14ac:dyDescent="0.25">
      <c r="B23" s="447" t="str">
        <f>+'FT-Monitoreos '!B30</f>
        <v/>
      </c>
      <c r="C23" s="430" t="str">
        <f>+'FT-Monitoreos '!C30</f>
        <v/>
      </c>
      <c r="D23" s="454"/>
      <c r="E23" s="92" t="str">
        <f>+'FT-Monitoreos '!O30</f>
        <v>Evaluación de adherencia de protocolos y procedimientos</v>
      </c>
      <c r="F23" s="79" t="str">
        <f>IFERROR(+IF('FT-Monitoreos '!V30="No","N/A",'FT-Monitoreos '!Y30),"")</f>
        <v xml:space="preserve"> </v>
      </c>
      <c r="G23" s="437" t="str">
        <f t="shared" ref="G23" si="5">IFERROR(IF(F23:F25="N/A","N/A",AVERAGE(F23:F25)),"N/A")</f>
        <v>N/A</v>
      </c>
    </row>
    <row r="24" spans="2:19" ht="24.75" customHeight="1" x14ac:dyDescent="0.25">
      <c r="B24" s="447"/>
      <c r="C24" s="430"/>
      <c r="D24" s="454"/>
      <c r="E24" s="92" t="str">
        <f>+'FT-Monitoreos '!O31</f>
        <v>Evaluación de adherencia de protocolos y procedimientos</v>
      </c>
      <c r="F24" s="79" t="str">
        <f>IFERROR(+IF('FT-Monitoreos '!V31="No","N/A",'FT-Monitoreos '!Y31),"")</f>
        <v xml:space="preserve"> </v>
      </c>
      <c r="G24" s="437"/>
    </row>
    <row r="25" spans="2:19" ht="24.75" customHeight="1" x14ac:dyDescent="0.25">
      <c r="B25" s="447"/>
      <c r="C25" s="430"/>
      <c r="D25" s="454"/>
      <c r="E25" s="92" t="str">
        <f>+'FT-Monitoreos '!O32</f>
        <v/>
      </c>
      <c r="F25" s="79" t="str">
        <f>IFERROR(+IF('FT-Monitoreos '!V32="No","N/A",'FT-Monitoreos '!Y32),"")</f>
        <v>N/A</v>
      </c>
      <c r="G25" s="437"/>
    </row>
    <row r="26" spans="2:19" ht="24.75" customHeight="1" x14ac:dyDescent="0.25">
      <c r="B26" s="447" t="str">
        <f>+'FT-Monitoreos '!B33</f>
        <v/>
      </c>
      <c r="C26" s="430" t="str">
        <f>+'FT-Monitoreos '!C33</f>
        <v/>
      </c>
      <c r="D26" s="454"/>
      <c r="E26" s="92" t="str">
        <f>+'FT-Monitoreos '!O33</f>
        <v>Monitoreo de asignación de citas</v>
      </c>
      <c r="F26" s="79" t="str">
        <f>IFERROR(+IF('FT-Monitoreos '!V33="No","N/A",'FT-Monitoreos '!Y33),"")</f>
        <v xml:space="preserve"> </v>
      </c>
      <c r="G26" s="437" t="str">
        <f t="shared" ref="G26" si="6">IFERROR(IF(F26:F28="N/A","N/A",AVERAGE(F26:F28)),"N/A")</f>
        <v>N/A</v>
      </c>
    </row>
    <row r="27" spans="2:19" ht="24.75" customHeight="1" x14ac:dyDescent="0.25">
      <c r="B27" s="447"/>
      <c r="C27" s="430"/>
      <c r="D27" s="454"/>
      <c r="E27" s="92" t="str">
        <f>+'FT-Monitoreos '!O34</f>
        <v/>
      </c>
      <c r="F27" s="79" t="str">
        <f>IFERROR(+IF('FT-Monitoreos '!V34="No","N/A",'FT-Monitoreos '!Y34),"")</f>
        <v>N/A</v>
      </c>
      <c r="G27" s="437"/>
    </row>
    <row r="28" spans="2:19" ht="24.75" customHeight="1" x14ac:dyDescent="0.25">
      <c r="B28" s="447"/>
      <c r="C28" s="430"/>
      <c r="D28" s="454"/>
      <c r="E28" s="92" t="str">
        <f>+'FT-Monitoreos '!O35</f>
        <v/>
      </c>
      <c r="F28" s="79" t="str">
        <f>IFERROR(+IF('FT-Monitoreos '!V35="No","N/A",'FT-Monitoreos '!Y35),"")</f>
        <v>N/A</v>
      </c>
      <c r="G28" s="437"/>
    </row>
    <row r="29" spans="2:19" ht="24.75" customHeight="1" x14ac:dyDescent="0.25">
      <c r="B29" s="447" t="str">
        <f>+'FT-Monitoreos '!B36</f>
        <v/>
      </c>
      <c r="C29" s="430" t="str">
        <f>+'FT-Monitoreos '!C36</f>
        <v/>
      </c>
      <c r="D29" s="454"/>
      <c r="E29" s="92" t="str">
        <f>+'FT-Monitoreos '!O36</f>
        <v>Verificación de experiencia en docencia</v>
      </c>
      <c r="F29" s="79" t="str">
        <f>IFERROR(+IF('FT-Monitoreos '!V36="No","N/A",'FT-Monitoreos '!Y36),"")</f>
        <v>N/A</v>
      </c>
      <c r="G29" s="437" t="str">
        <f t="shared" ref="G29" si="7">IFERROR(IF(F29:F31="N/A","N/A",AVERAGE(F29:F31)),"N/A")</f>
        <v>N/A</v>
      </c>
    </row>
    <row r="30" spans="2:19" ht="24.75" customHeight="1" x14ac:dyDescent="0.25">
      <c r="B30" s="447"/>
      <c r="C30" s="430"/>
      <c r="D30" s="454"/>
      <c r="E30" s="92" t="str">
        <f>+'FT-Monitoreos '!O37</f>
        <v/>
      </c>
      <c r="F30" s="79" t="str">
        <f>IFERROR(+IF('FT-Monitoreos '!V37="No","N/A",'FT-Monitoreos '!Y37),"")</f>
        <v>N/A</v>
      </c>
      <c r="G30" s="437"/>
    </row>
    <row r="31" spans="2:19" ht="24.75" customHeight="1" x14ac:dyDescent="0.25">
      <c r="B31" s="447"/>
      <c r="C31" s="430"/>
      <c r="D31" s="454"/>
      <c r="E31" s="92" t="str">
        <f>+'FT-Monitoreos '!O38</f>
        <v/>
      </c>
      <c r="F31" s="79" t="str">
        <f>IFERROR(+IF('FT-Monitoreos '!V38="No","N/A",'FT-Monitoreos '!Y38),"")</f>
        <v>N/A</v>
      </c>
      <c r="G31" s="437"/>
    </row>
    <row r="32" spans="2:19" ht="24.75" customHeight="1" x14ac:dyDescent="0.25">
      <c r="B32" s="447" t="str">
        <f>+'FT-Monitoreos '!B39</f>
        <v/>
      </c>
      <c r="C32" s="430" t="str">
        <f>+'FT-Monitoreos '!C39</f>
        <v/>
      </c>
      <c r="D32" s="454"/>
      <c r="E32" s="92" t="e">
        <f>+'FT-Monitoreos '!O39</f>
        <v>#REF!</v>
      </c>
      <c r="F32" s="79" t="str">
        <f>IFERROR(+IF('FT-Monitoreos '!V39="No","N/A",'FT-Monitoreos '!Y39),"")</f>
        <v/>
      </c>
      <c r="G32" s="437" t="str">
        <f t="shared" ref="G32" si="8">IFERROR(IF(F32:F34="N/A","N/A",AVERAGE(F32:F34)),"N/A")</f>
        <v>N/A</v>
      </c>
    </row>
    <row r="33" spans="2:19" ht="24.75" customHeight="1" x14ac:dyDescent="0.25">
      <c r="B33" s="447"/>
      <c r="C33" s="430"/>
      <c r="D33" s="454"/>
      <c r="E33" s="92" t="e">
        <f>+'FT-Monitoreos '!O40</f>
        <v>#REF!</v>
      </c>
      <c r="F33" s="79" t="str">
        <f>IFERROR(+IF('FT-Monitoreos '!V40="No","N/A",'FT-Monitoreos '!Y40),"")</f>
        <v/>
      </c>
      <c r="G33" s="437"/>
    </row>
    <row r="34" spans="2:19" ht="24.75" customHeight="1" thickBot="1" x14ac:dyDescent="0.3">
      <c r="B34" s="456"/>
      <c r="C34" s="441"/>
      <c r="D34" s="455"/>
      <c r="E34" s="93" t="e">
        <f>+'FT-Monitoreos '!O41</f>
        <v>#REF!</v>
      </c>
      <c r="F34" s="105" t="str">
        <f>IFERROR(+IF('FT-Monitoreos '!V41="No","N/A",'FT-Monitoreos '!Y41),"")</f>
        <v/>
      </c>
      <c r="G34" s="461"/>
    </row>
    <row r="36" spans="2:19" ht="15.75" thickBot="1" x14ac:dyDescent="0.3"/>
    <row r="37" spans="2:19" ht="19.5" thickBot="1" x14ac:dyDescent="0.3">
      <c r="B37" s="353" t="s">
        <v>111</v>
      </c>
      <c r="C37" s="354"/>
      <c r="D37" s="354"/>
      <c r="E37" s="354"/>
      <c r="F37" s="354"/>
      <c r="G37" s="355"/>
    </row>
    <row r="38" spans="2:19" ht="18.75" customHeight="1" x14ac:dyDescent="0.25">
      <c r="B38" s="459" t="s">
        <v>42</v>
      </c>
      <c r="C38" s="459" t="s">
        <v>109</v>
      </c>
      <c r="D38" s="459" t="s">
        <v>110</v>
      </c>
      <c r="E38" s="370" t="s">
        <v>104</v>
      </c>
      <c r="F38" s="459" t="s">
        <v>116</v>
      </c>
      <c r="G38" s="370" t="s">
        <v>115</v>
      </c>
      <c r="I38" s="467" t="s">
        <v>110</v>
      </c>
      <c r="J38" s="468"/>
      <c r="K38" s="469"/>
      <c r="L38" s="1"/>
      <c r="M38" s="467" t="s">
        <v>115</v>
      </c>
      <c r="N38" s="468"/>
      <c r="O38" s="468"/>
      <c r="P38" s="468"/>
      <c r="Q38" s="468"/>
      <c r="R38" s="468"/>
      <c r="S38" s="469"/>
    </row>
    <row r="39" spans="2:19" ht="52.5" customHeight="1" thickBot="1" x14ac:dyDescent="0.3">
      <c r="B39" s="460"/>
      <c r="C39" s="460"/>
      <c r="D39" s="460"/>
      <c r="E39" s="436"/>
      <c r="F39" s="460"/>
      <c r="G39" s="436"/>
      <c r="I39" s="470"/>
      <c r="J39" s="471"/>
      <c r="K39" s="472"/>
      <c r="L39" s="1"/>
      <c r="M39" s="470"/>
      <c r="N39" s="471"/>
      <c r="O39" s="471"/>
      <c r="P39" s="471"/>
      <c r="Q39" s="471"/>
      <c r="R39" s="471"/>
      <c r="S39" s="472"/>
    </row>
    <row r="40" spans="2:19" ht="24.75" customHeight="1" x14ac:dyDescent="0.25">
      <c r="B40" s="458" t="str">
        <f>+'FT-Monitoreos '!B48</f>
        <v/>
      </c>
      <c r="C40" s="432" t="str">
        <f>+'FT-Monitoreos '!C48</f>
        <v/>
      </c>
      <c r="D40" s="438" t="str">
        <f>IFERROR(+'FT-Monitoreos '!E79,"")</f>
        <v/>
      </c>
      <c r="E40" s="88" t="str">
        <f>+'FT-Monitoreos '!O48</f>
        <v>Listas de verificación guías protocolos y procedimientos</v>
      </c>
      <c r="F40" s="88" t="str">
        <f>IFERROR(+IF('FT-Monitoreos '!V48="No","N/A",'FT-Monitoreos '!Y48),"")</f>
        <v xml:space="preserve"> </v>
      </c>
      <c r="G40" s="434" t="str">
        <f>IFERROR(IF(F40:F42="N/A","N/A",AVERAGE(F40:F42)),"N/A")</f>
        <v>N/A</v>
      </c>
      <c r="I40" s="473"/>
      <c r="J40" s="474"/>
      <c r="K40" s="475"/>
      <c r="L40" s="1"/>
      <c r="M40" s="473"/>
      <c r="N40" s="474"/>
      <c r="O40" s="474"/>
      <c r="P40" s="474"/>
      <c r="Q40" s="474"/>
      <c r="R40" s="474"/>
      <c r="S40" s="475"/>
    </row>
    <row r="41" spans="2:19" ht="24.75" customHeight="1" x14ac:dyDescent="0.25">
      <c r="B41" s="457"/>
      <c r="C41" s="433"/>
      <c r="D41" s="439"/>
      <c r="E41" s="89" t="str">
        <f>+'FT-Monitoreos '!O49</f>
        <v>Parada de seguridad</v>
      </c>
      <c r="F41" s="89" t="str">
        <f>IFERROR(+IF('FT-Monitoreos '!V49="No","N/A",'FT-Monitoreos '!Y49),"")</f>
        <v xml:space="preserve"> </v>
      </c>
      <c r="G41" s="435"/>
      <c r="I41" s="476"/>
      <c r="J41" s="477"/>
      <c r="K41" s="478"/>
      <c r="L41" s="1"/>
      <c r="M41" s="476"/>
      <c r="N41" s="477"/>
      <c r="O41" s="477"/>
      <c r="P41" s="477"/>
      <c r="Q41" s="477"/>
      <c r="R41" s="477"/>
      <c r="S41" s="478"/>
    </row>
    <row r="42" spans="2:19" ht="24.75" customHeight="1" x14ac:dyDescent="0.25">
      <c r="B42" s="457"/>
      <c r="C42" s="433"/>
      <c r="D42" s="439"/>
      <c r="E42" s="89" t="str">
        <f>+'FT-Monitoreos '!O50</f>
        <v/>
      </c>
      <c r="F42" s="89" t="str">
        <f>IFERROR(+IF('FT-Monitoreos '!V50="No","N/A",'FT-Monitoreos '!Y50),"")</f>
        <v>N/A</v>
      </c>
      <c r="G42" s="435"/>
      <c r="I42" s="476"/>
      <c r="J42" s="477"/>
      <c r="K42" s="478"/>
      <c r="L42" s="1"/>
      <c r="M42" s="476"/>
      <c r="N42" s="477"/>
      <c r="O42" s="477"/>
      <c r="P42" s="477"/>
      <c r="Q42" s="477"/>
      <c r="R42" s="477"/>
      <c r="S42" s="478"/>
    </row>
    <row r="43" spans="2:19" ht="24.75" customHeight="1" x14ac:dyDescent="0.25">
      <c r="B43" s="457" t="str">
        <f>+'FT-Monitoreos '!B51</f>
        <v/>
      </c>
      <c r="C43" s="433" t="str">
        <f>+'FT-Monitoreos '!C51</f>
        <v/>
      </c>
      <c r="D43" s="439"/>
      <c r="E43" s="89" t="str">
        <f>+'FT-Monitoreos '!O51</f>
        <v>Listas de verificación guías protocolos y procedimientos</v>
      </c>
      <c r="F43" s="89" t="str">
        <f>IFERROR(+IF('FT-Monitoreos '!V51="No","N/A",'FT-Monitoreos '!Y51),"")</f>
        <v xml:space="preserve"> </v>
      </c>
      <c r="G43" s="435" t="str">
        <f t="shared" ref="G43" si="9">IFERROR(IF(F43:F45="N/A","N/A",AVERAGE(F43:F45)),"N/A")</f>
        <v>N/A</v>
      </c>
      <c r="I43" s="476"/>
      <c r="J43" s="477"/>
      <c r="K43" s="478"/>
      <c r="L43" s="1"/>
      <c r="M43" s="476"/>
      <c r="N43" s="477"/>
      <c r="O43" s="477"/>
      <c r="P43" s="477"/>
      <c r="Q43" s="477"/>
      <c r="R43" s="477"/>
      <c r="S43" s="478"/>
    </row>
    <row r="44" spans="2:19" ht="24.75" customHeight="1" x14ac:dyDescent="0.25">
      <c r="B44" s="457"/>
      <c r="C44" s="433"/>
      <c r="D44" s="439"/>
      <c r="E44" s="89" t="str">
        <f>+'FT-Monitoreos '!O52</f>
        <v>Listas de verificación guías protocolos y procedimientos</v>
      </c>
      <c r="F44" s="89" t="str">
        <f>IFERROR(+IF('FT-Monitoreos '!V52="No","N/A",'FT-Monitoreos '!Y52),"")</f>
        <v xml:space="preserve"> </v>
      </c>
      <c r="G44" s="435"/>
      <c r="I44" s="476"/>
      <c r="J44" s="477"/>
      <c r="K44" s="478"/>
      <c r="L44" s="1"/>
      <c r="M44" s="476"/>
      <c r="N44" s="477"/>
      <c r="O44" s="477"/>
      <c r="P44" s="477"/>
      <c r="Q44" s="477"/>
      <c r="R44" s="477"/>
      <c r="S44" s="478"/>
    </row>
    <row r="45" spans="2:19" ht="24.75" customHeight="1" x14ac:dyDescent="0.25">
      <c r="B45" s="457"/>
      <c r="C45" s="433"/>
      <c r="D45" s="439"/>
      <c r="E45" s="89" t="str">
        <f>+'FT-Monitoreos '!O53</f>
        <v/>
      </c>
      <c r="F45" s="89" t="str">
        <f>IFERROR(+IF('FT-Monitoreos '!V53="No","N/A",'FT-Monitoreos '!Y53),"")</f>
        <v>N/A</v>
      </c>
      <c r="G45" s="435"/>
      <c r="I45" s="476"/>
      <c r="J45" s="477"/>
      <c r="K45" s="478"/>
      <c r="L45" s="1"/>
      <c r="M45" s="476"/>
      <c r="N45" s="477"/>
      <c r="O45" s="477"/>
      <c r="P45" s="477"/>
      <c r="Q45" s="477"/>
      <c r="R45" s="477"/>
      <c r="S45" s="478"/>
    </row>
    <row r="46" spans="2:19" ht="24.75" customHeight="1" x14ac:dyDescent="0.25">
      <c r="B46" s="457" t="str">
        <f>+'FT-Monitoreos '!B54</f>
        <v/>
      </c>
      <c r="C46" s="433" t="str">
        <f>+'FT-Monitoreos '!C54</f>
        <v/>
      </c>
      <c r="D46" s="439"/>
      <c r="E46" s="89" t="str">
        <f>+'FT-Monitoreos '!O54</f>
        <v>Evaluación de adherencia</v>
      </c>
      <c r="F46" s="89" t="str">
        <f>IFERROR(+IF('FT-Monitoreos '!V54="No","N/A",'FT-Monitoreos '!Y54),"")</f>
        <v xml:space="preserve"> </v>
      </c>
      <c r="G46" s="435" t="str">
        <f t="shared" ref="G46" si="10">IFERROR(IF(F46:F48="N/A","N/A",AVERAGE(F46:F48)),"N/A")</f>
        <v>N/A</v>
      </c>
      <c r="I46" s="476"/>
      <c r="J46" s="477"/>
      <c r="K46" s="478"/>
      <c r="L46" s="1"/>
      <c r="M46" s="476"/>
      <c r="N46" s="477"/>
      <c r="O46" s="477"/>
      <c r="P46" s="477"/>
      <c r="Q46" s="477"/>
      <c r="R46" s="477"/>
      <c r="S46" s="478"/>
    </row>
    <row r="47" spans="2:19" ht="24.75" customHeight="1" x14ac:dyDescent="0.25">
      <c r="B47" s="457"/>
      <c r="C47" s="433"/>
      <c r="D47" s="439"/>
      <c r="E47" s="89" t="str">
        <f>+'FT-Monitoreos '!O55</f>
        <v xml:space="preserve">Rotación de personal por todas las áreas asistenciales de urgencias </v>
      </c>
      <c r="F47" s="89" t="str">
        <f>IFERROR(+IF('FT-Monitoreos '!V55="No","N/A",'FT-Monitoreos '!Y55),"")</f>
        <v xml:space="preserve"> </v>
      </c>
      <c r="G47" s="435"/>
      <c r="I47" s="476"/>
      <c r="J47" s="477"/>
      <c r="K47" s="478"/>
      <c r="L47" s="1"/>
      <c r="M47" s="476"/>
      <c r="N47" s="477"/>
      <c r="O47" s="477"/>
      <c r="P47" s="477"/>
      <c r="Q47" s="477"/>
      <c r="R47" s="477"/>
      <c r="S47" s="478"/>
    </row>
    <row r="48" spans="2:19" ht="24.75" customHeight="1" x14ac:dyDescent="0.25">
      <c r="B48" s="457"/>
      <c r="C48" s="433"/>
      <c r="D48" s="439"/>
      <c r="E48" s="89" t="str">
        <f>+'FT-Monitoreos '!O56</f>
        <v/>
      </c>
      <c r="F48" s="89" t="str">
        <f>IFERROR(+IF('FT-Monitoreos '!V56="No","N/A",'FT-Monitoreos '!Y56),"")</f>
        <v>N/A</v>
      </c>
      <c r="G48" s="435"/>
      <c r="I48" s="476"/>
      <c r="J48" s="477"/>
      <c r="K48" s="478"/>
      <c r="L48" s="1"/>
      <c r="M48" s="476"/>
      <c r="N48" s="477"/>
      <c r="O48" s="477"/>
      <c r="P48" s="477"/>
      <c r="Q48" s="477"/>
      <c r="R48" s="477"/>
      <c r="S48" s="478"/>
    </row>
    <row r="49" spans="2:19" ht="24.75" customHeight="1" x14ac:dyDescent="0.25">
      <c r="B49" s="457" t="str">
        <f>+'FT-Monitoreos '!B57</f>
        <v/>
      </c>
      <c r="C49" s="431" t="str">
        <f>+'FT-Monitoreos '!C57</f>
        <v/>
      </c>
      <c r="D49" s="439"/>
      <c r="E49" s="89" t="str">
        <f>+'FT-Monitoreos '!O57</f>
        <v xml:space="preserve">Asignación de elementos y/o  prendas de identificación </v>
      </c>
      <c r="F49" s="89" t="str">
        <f>IFERROR(+IF('FT-Monitoreos '!V57="No","N/A",'FT-Monitoreos '!Y57),"")</f>
        <v xml:space="preserve"> </v>
      </c>
      <c r="G49" s="435" t="str">
        <f t="shared" ref="G49" si="11">IFERROR(IF(F49:F51="N/A","N/A",AVERAGE(F49:F51)),"N/A")</f>
        <v>N/A</v>
      </c>
      <c r="I49" s="476"/>
      <c r="J49" s="477"/>
      <c r="K49" s="478"/>
      <c r="L49" s="1"/>
      <c r="M49" s="476"/>
      <c r="N49" s="477"/>
      <c r="O49" s="477"/>
      <c r="P49" s="477"/>
      <c r="Q49" s="477"/>
      <c r="R49" s="477"/>
      <c r="S49" s="478"/>
    </row>
    <row r="50" spans="2:19" ht="24.75" customHeight="1" x14ac:dyDescent="0.25">
      <c r="B50" s="457"/>
      <c r="C50" s="431"/>
      <c r="D50" s="439"/>
      <c r="E50" s="89" t="str">
        <f>+'FT-Monitoreos '!O58</f>
        <v xml:space="preserve">Control de puertas por los guardias de seguridad y revisión por parte del personal de información </v>
      </c>
      <c r="F50" s="89" t="str">
        <f>IFERROR(+IF('FT-Monitoreos '!V58="No","N/A",'FT-Monitoreos '!Y58),"")</f>
        <v xml:space="preserve"> </v>
      </c>
      <c r="G50" s="435"/>
      <c r="I50" s="476"/>
      <c r="J50" s="477"/>
      <c r="K50" s="478"/>
      <c r="L50" s="1"/>
      <c r="M50" s="476"/>
      <c r="N50" s="477"/>
      <c r="O50" s="477"/>
      <c r="P50" s="477"/>
      <c r="Q50" s="477"/>
      <c r="R50" s="477"/>
      <c r="S50" s="478"/>
    </row>
    <row r="51" spans="2:19" ht="24.75" customHeight="1" x14ac:dyDescent="0.25">
      <c r="B51" s="457"/>
      <c r="C51" s="431"/>
      <c r="D51" s="439"/>
      <c r="E51" s="89" t="str">
        <f>+'FT-Monitoreos '!O59</f>
        <v/>
      </c>
      <c r="F51" s="89" t="str">
        <f>IFERROR(+IF('FT-Monitoreos '!V59="No","N/A",'FT-Monitoreos '!Y59),"")</f>
        <v>N/A</v>
      </c>
      <c r="G51" s="435"/>
      <c r="I51" s="476"/>
      <c r="J51" s="477"/>
      <c r="K51" s="478"/>
      <c r="L51" s="1"/>
      <c r="M51" s="476"/>
      <c r="N51" s="477"/>
      <c r="O51" s="477"/>
      <c r="P51" s="477"/>
      <c r="Q51" s="477"/>
      <c r="R51" s="477"/>
      <c r="S51" s="478"/>
    </row>
    <row r="52" spans="2:19" ht="24.75" customHeight="1" x14ac:dyDescent="0.25">
      <c r="B52" s="457" t="str">
        <f>+'FT-Monitoreos '!B60</f>
        <v/>
      </c>
      <c r="C52" s="431" t="str">
        <f>+'FT-Monitoreos '!C60</f>
        <v/>
      </c>
      <c r="D52" s="439"/>
      <c r="E52" s="89" t="str">
        <f>+'FT-Monitoreos '!O60</f>
        <v>Evaluación de adherencia de protocolos y procedimientos</v>
      </c>
      <c r="F52" s="89" t="str">
        <f>IFERROR(+IF('FT-Monitoreos '!V60="No","N/A",'FT-Monitoreos '!Y60),"")</f>
        <v xml:space="preserve"> </v>
      </c>
      <c r="G52" s="435" t="str">
        <f t="shared" ref="G52" si="12">IFERROR(IF(F52:F54="N/A","N/A",AVERAGE(F52:F54)),"N/A")</f>
        <v>N/A</v>
      </c>
      <c r="I52" s="476"/>
      <c r="J52" s="477"/>
      <c r="K52" s="478"/>
      <c r="L52" s="1"/>
      <c r="M52" s="476"/>
      <c r="N52" s="477"/>
      <c r="O52" s="477"/>
      <c r="P52" s="477"/>
      <c r="Q52" s="477"/>
      <c r="R52" s="477"/>
      <c r="S52" s="478"/>
    </row>
    <row r="53" spans="2:19" ht="24.75" customHeight="1" thickBot="1" x14ac:dyDescent="0.3">
      <c r="B53" s="457"/>
      <c r="C53" s="431"/>
      <c r="D53" s="439"/>
      <c r="E53" s="89" t="str">
        <f>+'FT-Monitoreos '!O61</f>
        <v>Evaluación de adherencia de protocolos y procedimientos</v>
      </c>
      <c r="F53" s="89" t="str">
        <f>IFERROR(+IF('FT-Monitoreos '!V61="No","N/A",'FT-Monitoreos '!Y61),"")</f>
        <v xml:space="preserve"> </v>
      </c>
      <c r="G53" s="435"/>
      <c r="I53" s="479"/>
      <c r="J53" s="480"/>
      <c r="K53" s="481"/>
      <c r="L53" s="1"/>
      <c r="M53" s="479"/>
      <c r="N53" s="480"/>
      <c r="O53" s="480"/>
      <c r="P53" s="480"/>
      <c r="Q53" s="480"/>
      <c r="R53" s="480"/>
      <c r="S53" s="481"/>
    </row>
    <row r="54" spans="2:19" ht="24.75" customHeight="1" thickBot="1" x14ac:dyDescent="0.3">
      <c r="B54" s="457"/>
      <c r="C54" s="431"/>
      <c r="D54" s="439"/>
      <c r="E54" s="89" t="str">
        <f>+'FT-Monitoreos '!O62</f>
        <v/>
      </c>
      <c r="F54" s="89" t="str">
        <f>IFERROR(+IF('FT-Monitoreos '!V62="No","N/A",'FT-Monitoreos '!Y62),"")</f>
        <v>N/A</v>
      </c>
      <c r="G54" s="435"/>
      <c r="I54" s="482" t="s">
        <v>120</v>
      </c>
      <c r="J54" s="483"/>
      <c r="K54" s="484"/>
      <c r="L54" s="51"/>
      <c r="M54" s="482" t="s">
        <v>121</v>
      </c>
      <c r="N54" s="483"/>
      <c r="O54" s="483"/>
      <c r="P54" s="483"/>
      <c r="Q54" s="483"/>
      <c r="R54" s="483"/>
      <c r="S54" s="484"/>
    </row>
    <row r="55" spans="2:19" ht="24.75" customHeight="1" x14ac:dyDescent="0.25">
      <c r="B55" s="457" t="str">
        <f>+'FT-Monitoreos '!B63</f>
        <v/>
      </c>
      <c r="C55" s="431" t="str">
        <f>+'FT-Monitoreos '!C63</f>
        <v/>
      </c>
      <c r="D55" s="439"/>
      <c r="E55" s="89" t="str">
        <f>+'FT-Monitoreos '!O63</f>
        <v>Verificación de las características del  estado de los dispositivos médicos para el correcto uso de los mismos</v>
      </c>
      <c r="F55" s="89" t="str">
        <f>IFERROR(+IF('FT-Monitoreos '!V63="No","N/A",'FT-Monitoreos '!Y63),"")</f>
        <v xml:space="preserve"> </v>
      </c>
      <c r="G55" s="435" t="str">
        <f t="shared" ref="G55" si="13">IFERROR(IF(F55:F57="N/A","N/A",AVERAGE(F55:F57)),"N/A")</f>
        <v>N/A</v>
      </c>
    </row>
    <row r="56" spans="2:19" ht="24.75" customHeight="1" x14ac:dyDescent="0.25">
      <c r="B56" s="457"/>
      <c r="C56" s="431"/>
      <c r="D56" s="439"/>
      <c r="E56" s="89" t="str">
        <f>+'FT-Monitoreos '!O64</f>
        <v>Evaluación de adherencia de protocolos y procedimientos</v>
      </c>
      <c r="F56" s="89" t="str">
        <f>IFERROR(+IF('FT-Monitoreos '!V64="No","N/A",'FT-Monitoreos '!Y64),"")</f>
        <v xml:space="preserve"> </v>
      </c>
      <c r="G56" s="435"/>
    </row>
    <row r="57" spans="2:19" ht="24.75" customHeight="1" x14ac:dyDescent="0.25">
      <c r="B57" s="457"/>
      <c r="C57" s="431"/>
      <c r="D57" s="439"/>
      <c r="E57" s="89" t="str">
        <f>+'FT-Monitoreos '!O65</f>
        <v>Inspección de las condiciones de cerramiento en caso de obras y mantenimientos</v>
      </c>
      <c r="F57" s="89" t="str">
        <f>IFERROR(+IF('FT-Monitoreos '!V65="No","N/A",'FT-Monitoreos '!Y65),"")</f>
        <v xml:space="preserve"> </v>
      </c>
      <c r="G57" s="435"/>
    </row>
    <row r="58" spans="2:19" ht="24.75" customHeight="1" x14ac:dyDescent="0.25">
      <c r="B58" s="457" t="str">
        <f>+'FT-Monitoreos '!B66</f>
        <v/>
      </c>
      <c r="C58" s="431" t="str">
        <f>+'FT-Monitoreos '!C66</f>
        <v/>
      </c>
      <c r="D58" s="439"/>
      <c r="E58" s="89" t="str">
        <f>+'FT-Monitoreos '!O66</f>
        <v>Evaluación de adherencia de protocolos y procedimientos</v>
      </c>
      <c r="F58" s="89" t="str">
        <f>IFERROR(+IF('FT-Monitoreos '!V66="No","N/A",'FT-Monitoreos '!Y66),"")</f>
        <v xml:space="preserve"> </v>
      </c>
      <c r="G58" s="435" t="str">
        <f t="shared" ref="G58" si="14">IFERROR(IF(F58:F60="N/A","N/A",AVERAGE(F58:F60)),"N/A")</f>
        <v>N/A</v>
      </c>
    </row>
    <row r="59" spans="2:19" ht="24.75" customHeight="1" x14ac:dyDescent="0.25">
      <c r="B59" s="457"/>
      <c r="C59" s="431"/>
      <c r="D59" s="439"/>
      <c r="E59" s="89" t="str">
        <f>+'FT-Monitoreos '!O67</f>
        <v>Evaluación de adherencia de protocolos y procedimientos</v>
      </c>
      <c r="F59" s="89" t="str">
        <f>IFERROR(+IF('FT-Monitoreos '!V67="No","N/A",'FT-Monitoreos '!Y67),"")</f>
        <v xml:space="preserve"> </v>
      </c>
      <c r="G59" s="435"/>
    </row>
    <row r="60" spans="2:19" ht="24.75" customHeight="1" x14ac:dyDescent="0.25">
      <c r="B60" s="457"/>
      <c r="C60" s="431"/>
      <c r="D60" s="439"/>
      <c r="E60" s="89" t="str">
        <f>+'FT-Monitoreos '!O68</f>
        <v/>
      </c>
      <c r="F60" s="89" t="str">
        <f>IFERROR(+IF('FT-Monitoreos '!V68="No","N/A",'FT-Monitoreos '!Y68),"")</f>
        <v>N/A</v>
      </c>
      <c r="G60" s="435"/>
    </row>
    <row r="61" spans="2:19" ht="24.75" customHeight="1" x14ac:dyDescent="0.25">
      <c r="B61" s="457" t="str">
        <f>+'FT-Monitoreos '!B69</f>
        <v/>
      </c>
      <c r="C61" s="431" t="str">
        <f>+'FT-Monitoreos '!C69</f>
        <v/>
      </c>
      <c r="D61" s="439"/>
      <c r="E61" s="89" t="str">
        <f>+'FT-Monitoreos '!O69</f>
        <v>Monitoreo de asignación de citas</v>
      </c>
      <c r="F61" s="89" t="str">
        <f>IFERROR(+IF('FT-Monitoreos '!V69="No","N/A",'FT-Monitoreos '!Y69),"")</f>
        <v xml:space="preserve"> </v>
      </c>
      <c r="G61" s="435" t="str">
        <f t="shared" ref="G61" si="15">IFERROR(IF(F61:F63="N/A","N/A",AVERAGE(F61:F63)),"N/A")</f>
        <v>N/A</v>
      </c>
    </row>
    <row r="62" spans="2:19" ht="24.75" customHeight="1" x14ac:dyDescent="0.25">
      <c r="B62" s="457"/>
      <c r="C62" s="431"/>
      <c r="D62" s="439"/>
      <c r="E62" s="89" t="str">
        <f>+'FT-Monitoreos '!O70</f>
        <v/>
      </c>
      <c r="F62" s="89" t="str">
        <f>IFERROR(+IF('FT-Monitoreos '!V70="No","N/A",'FT-Monitoreos '!Y70),"")</f>
        <v>N/A</v>
      </c>
      <c r="G62" s="435"/>
    </row>
    <row r="63" spans="2:19" ht="24.75" customHeight="1" x14ac:dyDescent="0.25">
      <c r="B63" s="457"/>
      <c r="C63" s="431"/>
      <c r="D63" s="439"/>
      <c r="E63" s="89" t="str">
        <f>+'FT-Monitoreos '!O71</f>
        <v/>
      </c>
      <c r="F63" s="89" t="str">
        <f>IFERROR(+IF('FT-Monitoreos '!V71="No","N/A",'FT-Monitoreos '!Y71),"")</f>
        <v>N/A</v>
      </c>
      <c r="G63" s="435"/>
    </row>
    <row r="64" spans="2:19" ht="24.75" customHeight="1" x14ac:dyDescent="0.25">
      <c r="B64" s="457" t="str">
        <f>+'FT-Monitoreos '!B72</f>
        <v/>
      </c>
      <c r="C64" s="431" t="str">
        <f>+'FT-Monitoreos '!C72</f>
        <v/>
      </c>
      <c r="D64" s="439"/>
      <c r="E64" s="89" t="str">
        <f>+'FT-Monitoreos '!O72</f>
        <v>Verificación de experiencia en docencia</v>
      </c>
      <c r="F64" s="89" t="str">
        <f>IFERROR(+IF('FT-Monitoreos '!V72="No","N/A",'FT-Monitoreos '!Y72),"")</f>
        <v>N/A</v>
      </c>
      <c r="G64" s="435" t="str">
        <f t="shared" ref="G64" si="16">IFERROR(IF(F64:F66="N/A","N/A",AVERAGE(F64:F66)),"N/A")</f>
        <v>N/A</v>
      </c>
    </row>
    <row r="65" spans="2:19" ht="24.75" customHeight="1" x14ac:dyDescent="0.25">
      <c r="B65" s="457"/>
      <c r="C65" s="431"/>
      <c r="D65" s="439"/>
      <c r="E65" s="89" t="str">
        <f>+'FT-Monitoreos '!O73</f>
        <v/>
      </c>
      <c r="F65" s="89" t="str">
        <f>IFERROR(+IF('FT-Monitoreos '!V73="No","N/A",'FT-Monitoreos '!Y73),"")</f>
        <v>N/A</v>
      </c>
      <c r="G65" s="435"/>
    </row>
    <row r="66" spans="2:19" ht="24.75" customHeight="1" x14ac:dyDescent="0.25">
      <c r="B66" s="457"/>
      <c r="C66" s="431"/>
      <c r="D66" s="439"/>
      <c r="E66" s="89" t="str">
        <f>+'FT-Monitoreos '!O74</f>
        <v/>
      </c>
      <c r="F66" s="89" t="str">
        <f>IFERROR(+IF('FT-Monitoreos '!V74="No","N/A",'FT-Monitoreos '!Y74),"")</f>
        <v>N/A</v>
      </c>
      <c r="G66" s="435"/>
    </row>
    <row r="67" spans="2:19" ht="24.75" customHeight="1" x14ac:dyDescent="0.25">
      <c r="B67" s="457" t="str">
        <f>+'FT-Monitoreos '!B75</f>
        <v/>
      </c>
      <c r="C67" s="431" t="str">
        <f>+'FT-Monitoreos '!C75</f>
        <v/>
      </c>
      <c r="D67" s="439"/>
      <c r="E67" s="89" t="e">
        <f>+'FT-Monitoreos '!O75</f>
        <v>#REF!</v>
      </c>
      <c r="F67" s="89" t="str">
        <f>IFERROR(+IF('FT-Monitoreos '!V75="No","N/A",'FT-Monitoreos '!Y75),"")</f>
        <v/>
      </c>
      <c r="G67" s="435" t="str">
        <f t="shared" ref="G67" si="17">IFERROR(IF(F67:F69="N/A","N/A",AVERAGE(F67:F69)),"N/A")</f>
        <v>N/A</v>
      </c>
    </row>
    <row r="68" spans="2:19" ht="24.75" customHeight="1" x14ac:dyDescent="0.25">
      <c r="B68" s="457"/>
      <c r="C68" s="431"/>
      <c r="D68" s="439"/>
      <c r="E68" s="89" t="e">
        <f>+'FT-Monitoreos '!O76</f>
        <v>#REF!</v>
      </c>
      <c r="F68" s="89" t="str">
        <f>IFERROR(+IF('FT-Monitoreos '!V76="No","N/A",'FT-Monitoreos '!Y76),"")</f>
        <v/>
      </c>
      <c r="G68" s="435"/>
    </row>
    <row r="69" spans="2:19" ht="24.75" customHeight="1" thickBot="1" x14ac:dyDescent="0.3">
      <c r="B69" s="462"/>
      <c r="C69" s="464"/>
      <c r="D69" s="440"/>
      <c r="E69" s="90" t="e">
        <f>+'FT-Monitoreos '!O77</f>
        <v>#REF!</v>
      </c>
      <c r="F69" s="90" t="str">
        <f>IFERROR(+IF('FT-Monitoreos '!V77="No","N/A",'FT-Monitoreos '!Y77),"")</f>
        <v/>
      </c>
      <c r="G69" s="463"/>
    </row>
    <row r="71" spans="2:19" ht="15.75" thickBot="1" x14ac:dyDescent="0.3"/>
    <row r="72" spans="2:19" ht="19.5" thickBot="1" x14ac:dyDescent="0.3">
      <c r="B72" s="341" t="s">
        <v>112</v>
      </c>
      <c r="C72" s="342"/>
      <c r="D72" s="342"/>
      <c r="E72" s="342"/>
      <c r="F72" s="342"/>
      <c r="G72" s="343"/>
    </row>
    <row r="73" spans="2:19" ht="18.75" customHeight="1" x14ac:dyDescent="0.25">
      <c r="B73" s="465" t="s">
        <v>42</v>
      </c>
      <c r="C73" s="465" t="s">
        <v>109</v>
      </c>
      <c r="D73" s="465" t="s">
        <v>110</v>
      </c>
      <c r="E73" s="361" t="s">
        <v>104</v>
      </c>
      <c r="F73" s="465" t="s">
        <v>116</v>
      </c>
      <c r="G73" s="361" t="s">
        <v>115</v>
      </c>
      <c r="I73" s="467" t="s">
        <v>110</v>
      </c>
      <c r="J73" s="468"/>
      <c r="K73" s="469"/>
      <c r="L73" s="1"/>
      <c r="M73" s="467" t="s">
        <v>115</v>
      </c>
      <c r="N73" s="468"/>
      <c r="O73" s="468"/>
      <c r="P73" s="468"/>
      <c r="Q73" s="468"/>
      <c r="R73" s="468"/>
      <c r="S73" s="469"/>
    </row>
    <row r="74" spans="2:19" ht="52.5" customHeight="1" thickBot="1" x14ac:dyDescent="0.3">
      <c r="B74" s="466"/>
      <c r="C74" s="466"/>
      <c r="D74" s="466"/>
      <c r="E74" s="362"/>
      <c r="F74" s="466"/>
      <c r="G74" s="362"/>
      <c r="I74" s="470"/>
      <c r="J74" s="471"/>
      <c r="K74" s="472"/>
      <c r="L74" s="1"/>
      <c r="M74" s="470"/>
      <c r="N74" s="471"/>
      <c r="O74" s="471"/>
      <c r="P74" s="471"/>
      <c r="Q74" s="471"/>
      <c r="R74" s="471"/>
      <c r="S74" s="472"/>
    </row>
    <row r="75" spans="2:19" ht="24.75" customHeight="1" x14ac:dyDescent="0.25">
      <c r="B75" s="458" t="str">
        <f>+'FT-Monitoreos '!B84</f>
        <v/>
      </c>
      <c r="C75" s="432" t="str">
        <f>+'FT-Monitoreos '!C84</f>
        <v/>
      </c>
      <c r="D75" s="438" t="str">
        <f>IFERROR('FT-Monitoreos '!E115,"")</f>
        <v/>
      </c>
      <c r="E75" s="88" t="str">
        <f>+'FT-Monitoreos '!O84</f>
        <v>Listas de verificación guías protocolos y procedimientos</v>
      </c>
      <c r="F75" s="88" t="str">
        <f>IFERROR(+IF('FT-Monitoreos '!V84="No","N/A",'FT-Monitoreos '!Y84),"")</f>
        <v xml:space="preserve"> </v>
      </c>
      <c r="G75" s="434" t="str">
        <f>IFERROR(IF(F75:F77="N/A","N/A",AVERAGE(F75:F77)),"N/A")</f>
        <v>N/A</v>
      </c>
      <c r="I75" s="473"/>
      <c r="J75" s="474"/>
      <c r="K75" s="475"/>
      <c r="L75" s="1"/>
      <c r="M75" s="473"/>
      <c r="N75" s="474"/>
      <c r="O75" s="474"/>
      <c r="P75" s="474"/>
      <c r="Q75" s="474"/>
      <c r="R75" s="474"/>
      <c r="S75" s="475"/>
    </row>
    <row r="76" spans="2:19" ht="24.75" customHeight="1" x14ac:dyDescent="0.25">
      <c r="B76" s="457"/>
      <c r="C76" s="433"/>
      <c r="D76" s="439"/>
      <c r="E76" s="89" t="str">
        <f>+'FT-Monitoreos '!O85</f>
        <v>Parada de seguridad</v>
      </c>
      <c r="F76" s="89" t="str">
        <f>IFERROR(+IF('FT-Monitoreos '!V85="No","N/A",'FT-Monitoreos '!Y85),"")</f>
        <v xml:space="preserve"> </v>
      </c>
      <c r="G76" s="435"/>
      <c r="I76" s="476"/>
      <c r="J76" s="477"/>
      <c r="K76" s="478"/>
      <c r="L76" s="1"/>
      <c r="M76" s="476"/>
      <c r="N76" s="477"/>
      <c r="O76" s="477"/>
      <c r="P76" s="477"/>
      <c r="Q76" s="477"/>
      <c r="R76" s="477"/>
      <c r="S76" s="478"/>
    </row>
    <row r="77" spans="2:19" ht="24.75" customHeight="1" x14ac:dyDescent="0.25">
      <c r="B77" s="457"/>
      <c r="C77" s="433"/>
      <c r="D77" s="439"/>
      <c r="E77" s="89" t="str">
        <f>+'FT-Monitoreos '!O86</f>
        <v/>
      </c>
      <c r="F77" s="89" t="str">
        <f>IFERROR(+IF('FT-Monitoreos '!V86="No","N/A",'FT-Monitoreos '!Y86),"")</f>
        <v>N/A</v>
      </c>
      <c r="G77" s="435"/>
      <c r="I77" s="476"/>
      <c r="J77" s="477"/>
      <c r="K77" s="478"/>
      <c r="L77" s="1"/>
      <c r="M77" s="476"/>
      <c r="N77" s="477"/>
      <c r="O77" s="477"/>
      <c r="P77" s="477"/>
      <c r="Q77" s="477"/>
      <c r="R77" s="477"/>
      <c r="S77" s="478"/>
    </row>
    <row r="78" spans="2:19" ht="24.75" customHeight="1" x14ac:dyDescent="0.25">
      <c r="B78" s="457" t="str">
        <f>+'FT-Monitoreos '!B87</f>
        <v/>
      </c>
      <c r="C78" s="433" t="str">
        <f>+'FT-Monitoreos '!C87</f>
        <v/>
      </c>
      <c r="D78" s="439"/>
      <c r="E78" s="89" t="str">
        <f>+'FT-Monitoreos '!O87</f>
        <v>Listas de verificación guías protocolos y procedimientos</v>
      </c>
      <c r="F78" s="89" t="str">
        <f>IFERROR(+IF('FT-Monitoreos '!V87="No","N/A",'FT-Monitoreos '!Y87),"")</f>
        <v xml:space="preserve"> </v>
      </c>
      <c r="G78" s="435" t="str">
        <f t="shared" ref="G78" si="18">IFERROR(IF(F78:F80="N/A","N/A",AVERAGE(F78:F80)),"N/A")</f>
        <v>N/A</v>
      </c>
      <c r="I78" s="476"/>
      <c r="J78" s="477"/>
      <c r="K78" s="478"/>
      <c r="L78" s="1"/>
      <c r="M78" s="476"/>
      <c r="N78" s="477"/>
      <c r="O78" s="477"/>
      <c r="P78" s="477"/>
      <c r="Q78" s="477"/>
      <c r="R78" s="477"/>
      <c r="S78" s="478"/>
    </row>
    <row r="79" spans="2:19" ht="24.75" customHeight="1" x14ac:dyDescent="0.25">
      <c r="B79" s="457"/>
      <c r="C79" s="433"/>
      <c r="D79" s="439"/>
      <c r="E79" s="89" t="str">
        <f>+'FT-Monitoreos '!O88</f>
        <v>Listas de verificación guías protocolos y procedimientos</v>
      </c>
      <c r="F79" s="89" t="str">
        <f>IFERROR(+IF('FT-Monitoreos '!V88="No","N/A",'FT-Monitoreos '!Y88),"")</f>
        <v xml:space="preserve"> </v>
      </c>
      <c r="G79" s="435"/>
      <c r="I79" s="476"/>
      <c r="J79" s="477"/>
      <c r="K79" s="478"/>
      <c r="L79" s="1"/>
      <c r="M79" s="476"/>
      <c r="N79" s="477"/>
      <c r="O79" s="477"/>
      <c r="P79" s="477"/>
      <c r="Q79" s="477"/>
      <c r="R79" s="477"/>
      <c r="S79" s="478"/>
    </row>
    <row r="80" spans="2:19" ht="24.75" customHeight="1" x14ac:dyDescent="0.25">
      <c r="B80" s="457"/>
      <c r="C80" s="433"/>
      <c r="D80" s="439"/>
      <c r="E80" s="89" t="str">
        <f>+'FT-Monitoreos '!O89</f>
        <v/>
      </c>
      <c r="F80" s="89" t="str">
        <f>IFERROR(+IF('FT-Monitoreos '!V89="No","N/A",'FT-Monitoreos '!Y89),"")</f>
        <v>N/A</v>
      </c>
      <c r="G80" s="435"/>
      <c r="I80" s="476"/>
      <c r="J80" s="477"/>
      <c r="K80" s="478"/>
      <c r="L80" s="1"/>
      <c r="M80" s="476"/>
      <c r="N80" s="477"/>
      <c r="O80" s="477"/>
      <c r="P80" s="477"/>
      <c r="Q80" s="477"/>
      <c r="R80" s="477"/>
      <c r="S80" s="478"/>
    </row>
    <row r="81" spans="2:19" ht="24.75" customHeight="1" x14ac:dyDescent="0.25">
      <c r="B81" s="457" t="str">
        <f>+'FT-Monitoreos '!B90</f>
        <v/>
      </c>
      <c r="C81" s="433" t="str">
        <f>+'FT-Monitoreos '!C90</f>
        <v/>
      </c>
      <c r="D81" s="439"/>
      <c r="E81" s="89" t="str">
        <f>+'FT-Monitoreos '!O90</f>
        <v>Evaluación de adherencia</v>
      </c>
      <c r="F81" s="89" t="str">
        <f>IFERROR(+IF('FT-Monitoreos '!V90="No","N/A",'FT-Monitoreos '!Y90),"")</f>
        <v xml:space="preserve"> </v>
      </c>
      <c r="G81" s="435" t="str">
        <f t="shared" ref="G81" si="19">IFERROR(IF(F81:F83="N/A","N/A",AVERAGE(F81:F83)),"N/A")</f>
        <v>N/A</v>
      </c>
      <c r="I81" s="476"/>
      <c r="J81" s="477"/>
      <c r="K81" s="478"/>
      <c r="L81" s="1"/>
      <c r="M81" s="476"/>
      <c r="N81" s="477"/>
      <c r="O81" s="477"/>
      <c r="P81" s="477"/>
      <c r="Q81" s="477"/>
      <c r="R81" s="477"/>
      <c r="S81" s="478"/>
    </row>
    <row r="82" spans="2:19" ht="24.75" customHeight="1" x14ac:dyDescent="0.25">
      <c r="B82" s="457"/>
      <c r="C82" s="433"/>
      <c r="D82" s="439"/>
      <c r="E82" s="89" t="str">
        <f>+'FT-Monitoreos '!O91</f>
        <v xml:space="preserve">Rotación de personal por todas las áreas asistenciales de urgencias </v>
      </c>
      <c r="F82" s="89" t="str">
        <f>IFERROR(+IF('FT-Monitoreos '!V91="No","N/A",'FT-Monitoreos '!Y91),"")</f>
        <v xml:space="preserve"> </v>
      </c>
      <c r="G82" s="435"/>
      <c r="I82" s="476"/>
      <c r="J82" s="477"/>
      <c r="K82" s="478"/>
      <c r="L82" s="1"/>
      <c r="M82" s="476"/>
      <c r="N82" s="477"/>
      <c r="O82" s="477"/>
      <c r="P82" s="477"/>
      <c r="Q82" s="477"/>
      <c r="R82" s="477"/>
      <c r="S82" s="478"/>
    </row>
    <row r="83" spans="2:19" ht="24.75" customHeight="1" x14ac:dyDescent="0.25">
      <c r="B83" s="457"/>
      <c r="C83" s="433"/>
      <c r="D83" s="439"/>
      <c r="E83" s="89" t="str">
        <f>+'FT-Monitoreos '!O92</f>
        <v/>
      </c>
      <c r="F83" s="89" t="str">
        <f>IFERROR(+IF('FT-Monitoreos '!V92="No","N/A",'FT-Monitoreos '!Y92),"")</f>
        <v>N/A</v>
      </c>
      <c r="G83" s="435"/>
      <c r="I83" s="476"/>
      <c r="J83" s="477"/>
      <c r="K83" s="478"/>
      <c r="L83" s="1"/>
      <c r="M83" s="476"/>
      <c r="N83" s="477"/>
      <c r="O83" s="477"/>
      <c r="P83" s="477"/>
      <c r="Q83" s="477"/>
      <c r="R83" s="477"/>
      <c r="S83" s="478"/>
    </row>
    <row r="84" spans="2:19" ht="24.75" customHeight="1" x14ac:dyDescent="0.25">
      <c r="B84" s="457" t="str">
        <f>+'FT-Monitoreos '!B93</f>
        <v/>
      </c>
      <c r="C84" s="431" t="str">
        <f>+'FT-Monitoreos '!C93</f>
        <v/>
      </c>
      <c r="D84" s="439"/>
      <c r="E84" s="89" t="str">
        <f>+'FT-Monitoreos '!O93</f>
        <v xml:space="preserve">Asignación de elementos y/o  prendas de identificación </v>
      </c>
      <c r="F84" s="89" t="str">
        <f>IFERROR(+IF('FT-Monitoreos '!V93="No","N/A",'FT-Monitoreos '!Y93),"")</f>
        <v xml:space="preserve"> </v>
      </c>
      <c r="G84" s="435" t="str">
        <f t="shared" ref="G84" si="20">IFERROR(IF(F84:F86="N/A","N/A",AVERAGE(F84:F86)),"N/A")</f>
        <v>N/A</v>
      </c>
      <c r="I84" s="476"/>
      <c r="J84" s="477"/>
      <c r="K84" s="478"/>
      <c r="L84" s="1"/>
      <c r="M84" s="476"/>
      <c r="N84" s="477"/>
      <c r="O84" s="477"/>
      <c r="P84" s="477"/>
      <c r="Q84" s="477"/>
      <c r="R84" s="477"/>
      <c r="S84" s="478"/>
    </row>
    <row r="85" spans="2:19" ht="24.75" customHeight="1" x14ac:dyDescent="0.25">
      <c r="B85" s="457"/>
      <c r="C85" s="431"/>
      <c r="D85" s="439"/>
      <c r="E85" s="89" t="str">
        <f>+'FT-Monitoreos '!O94</f>
        <v xml:space="preserve">Control de puertas por los guardias de seguridad y revisión por parte del personal de información </v>
      </c>
      <c r="F85" s="89" t="str">
        <f>IFERROR(+IF('FT-Monitoreos '!V94="No","N/A",'FT-Monitoreos '!Y94),"")</f>
        <v xml:space="preserve"> </v>
      </c>
      <c r="G85" s="435"/>
      <c r="I85" s="476"/>
      <c r="J85" s="477"/>
      <c r="K85" s="478"/>
      <c r="L85" s="1"/>
      <c r="M85" s="476"/>
      <c r="N85" s="477"/>
      <c r="O85" s="477"/>
      <c r="P85" s="477"/>
      <c r="Q85" s="477"/>
      <c r="R85" s="477"/>
      <c r="S85" s="478"/>
    </row>
    <row r="86" spans="2:19" ht="24.75" customHeight="1" x14ac:dyDescent="0.25">
      <c r="B86" s="457"/>
      <c r="C86" s="431"/>
      <c r="D86" s="439"/>
      <c r="E86" s="89" t="str">
        <f>+'FT-Monitoreos '!O95</f>
        <v/>
      </c>
      <c r="F86" s="89" t="str">
        <f>IFERROR(+IF('FT-Monitoreos '!V95="No","N/A",'FT-Monitoreos '!Y95),"")</f>
        <v>N/A</v>
      </c>
      <c r="G86" s="435"/>
      <c r="I86" s="476"/>
      <c r="J86" s="477"/>
      <c r="K86" s="478"/>
      <c r="L86" s="1"/>
      <c r="M86" s="476"/>
      <c r="N86" s="477"/>
      <c r="O86" s="477"/>
      <c r="P86" s="477"/>
      <c r="Q86" s="477"/>
      <c r="R86" s="477"/>
      <c r="S86" s="478"/>
    </row>
    <row r="87" spans="2:19" ht="24.75" customHeight="1" x14ac:dyDescent="0.25">
      <c r="B87" s="457" t="str">
        <f>+'FT-Monitoreos '!B96</f>
        <v/>
      </c>
      <c r="C87" s="431" t="str">
        <f>+'FT-Monitoreos '!C96</f>
        <v/>
      </c>
      <c r="D87" s="439"/>
      <c r="E87" s="89" t="str">
        <f>+'FT-Monitoreos '!O96</f>
        <v>Evaluación de adherencia de protocolos y procedimientos</v>
      </c>
      <c r="F87" s="89" t="str">
        <f>IFERROR(+IF('FT-Monitoreos '!V96="No","N/A",'FT-Monitoreos '!Y96),"")</f>
        <v xml:space="preserve"> </v>
      </c>
      <c r="G87" s="435" t="str">
        <f t="shared" ref="G87" si="21">IFERROR(IF(F87:F89="N/A","N/A",AVERAGE(F87:F89)),"N/A")</f>
        <v>N/A</v>
      </c>
      <c r="I87" s="476"/>
      <c r="J87" s="477"/>
      <c r="K87" s="478"/>
      <c r="L87" s="1"/>
      <c r="M87" s="476"/>
      <c r="N87" s="477"/>
      <c r="O87" s="477"/>
      <c r="P87" s="477"/>
      <c r="Q87" s="477"/>
      <c r="R87" s="477"/>
      <c r="S87" s="478"/>
    </row>
    <row r="88" spans="2:19" ht="24.75" customHeight="1" thickBot="1" x14ac:dyDescent="0.3">
      <c r="B88" s="457"/>
      <c r="C88" s="431"/>
      <c r="D88" s="439"/>
      <c r="E88" s="89" t="str">
        <f>+'FT-Monitoreos '!O97</f>
        <v>Evaluación de adherencia de protocolos y procedimientos</v>
      </c>
      <c r="F88" s="89" t="str">
        <f>IFERROR(+IF('FT-Monitoreos '!V97="No","N/A",'FT-Monitoreos '!Y97),"")</f>
        <v xml:space="preserve"> </v>
      </c>
      <c r="G88" s="435"/>
      <c r="I88" s="479"/>
      <c r="J88" s="480"/>
      <c r="K88" s="481"/>
      <c r="L88" s="1"/>
      <c r="M88" s="479"/>
      <c r="N88" s="480"/>
      <c r="O88" s="480"/>
      <c r="P88" s="480"/>
      <c r="Q88" s="480"/>
      <c r="R88" s="480"/>
      <c r="S88" s="481"/>
    </row>
    <row r="89" spans="2:19" ht="24.75" customHeight="1" thickBot="1" x14ac:dyDescent="0.3">
      <c r="B89" s="457"/>
      <c r="C89" s="431"/>
      <c r="D89" s="439"/>
      <c r="E89" s="89" t="str">
        <f>+'FT-Monitoreos '!O98</f>
        <v/>
      </c>
      <c r="F89" s="89" t="str">
        <f>IFERROR(+IF('FT-Monitoreos '!V98="No","N/A",'FT-Monitoreos '!Y98),"")</f>
        <v>N/A</v>
      </c>
      <c r="G89" s="435"/>
      <c r="I89" s="482" t="s">
        <v>112</v>
      </c>
      <c r="J89" s="483"/>
      <c r="K89" s="484"/>
      <c r="L89" s="51"/>
      <c r="M89" s="482" t="s">
        <v>112</v>
      </c>
      <c r="N89" s="483"/>
      <c r="O89" s="483"/>
      <c r="P89" s="483"/>
      <c r="Q89" s="483"/>
      <c r="R89" s="483"/>
      <c r="S89" s="484"/>
    </row>
    <row r="90" spans="2:19" ht="24.75" customHeight="1" x14ac:dyDescent="0.25">
      <c r="B90" s="457" t="str">
        <f>+'FT-Monitoreos '!B99</f>
        <v/>
      </c>
      <c r="C90" s="431" t="str">
        <f>+'FT-Monitoreos '!C99</f>
        <v/>
      </c>
      <c r="D90" s="439"/>
      <c r="E90" s="89" t="str">
        <f>+'FT-Monitoreos '!O99</f>
        <v>Verificación de las características del  estado de los dispositivos médicos para el correcto uso de los mismos</v>
      </c>
      <c r="F90" s="89" t="str">
        <f>IFERROR(+IF('FT-Monitoreos '!V99="No","N/A",'FT-Monitoreos '!Y99),"")</f>
        <v xml:space="preserve"> </v>
      </c>
      <c r="G90" s="435" t="str">
        <f t="shared" ref="G90" si="22">IFERROR(IF(F90:F92="N/A","N/A",AVERAGE(F90:F92)),"N/A")</f>
        <v>N/A</v>
      </c>
    </row>
    <row r="91" spans="2:19" ht="24.75" customHeight="1" x14ac:dyDescent="0.25">
      <c r="B91" s="457"/>
      <c r="C91" s="431"/>
      <c r="D91" s="439"/>
      <c r="E91" s="89" t="str">
        <f>+'FT-Monitoreos '!O100</f>
        <v>Evaluación de adherencia de protocolos y procedimientos</v>
      </c>
      <c r="F91" s="89" t="str">
        <f>IFERROR(+IF('FT-Monitoreos '!V100="No","N/A",'FT-Monitoreos '!Y100),"")</f>
        <v xml:space="preserve"> </v>
      </c>
      <c r="G91" s="435"/>
    </row>
    <row r="92" spans="2:19" ht="24.75" customHeight="1" x14ac:dyDescent="0.25">
      <c r="B92" s="457"/>
      <c r="C92" s="431"/>
      <c r="D92" s="439"/>
      <c r="E92" s="89" t="str">
        <f>+'FT-Monitoreos '!O101</f>
        <v>Inspección de las condiciones de cerramiento en caso de obras y mantenimientos</v>
      </c>
      <c r="F92" s="89" t="str">
        <f>IFERROR(+IF('FT-Monitoreos '!V101="No","N/A",'FT-Monitoreos '!Y101),"")</f>
        <v xml:space="preserve"> </v>
      </c>
      <c r="G92" s="435"/>
    </row>
    <row r="93" spans="2:19" ht="24.75" customHeight="1" x14ac:dyDescent="0.25">
      <c r="B93" s="457" t="str">
        <f>+'FT-Monitoreos '!B102</f>
        <v/>
      </c>
      <c r="C93" s="431" t="str">
        <f>+'FT-Monitoreos '!C102</f>
        <v/>
      </c>
      <c r="D93" s="439"/>
      <c r="E93" s="89" t="str">
        <f>+'FT-Monitoreos '!O102</f>
        <v>Evaluación de adherencia de protocolos y procedimientos</v>
      </c>
      <c r="F93" s="89" t="str">
        <f>IFERROR(+IF('FT-Monitoreos '!V102="No","N/A",'FT-Monitoreos '!Y102),"")</f>
        <v xml:space="preserve"> </v>
      </c>
      <c r="G93" s="435" t="str">
        <f t="shared" ref="G93" si="23">IFERROR(IF(F93:F95="N/A","N/A",AVERAGE(F93:F95)),"N/A")</f>
        <v>N/A</v>
      </c>
    </row>
    <row r="94" spans="2:19" ht="24.75" customHeight="1" x14ac:dyDescent="0.25">
      <c r="B94" s="457"/>
      <c r="C94" s="431"/>
      <c r="D94" s="439"/>
      <c r="E94" s="89" t="str">
        <f>+'FT-Monitoreos '!O103</f>
        <v>Evaluación de adherencia de protocolos y procedimientos</v>
      </c>
      <c r="F94" s="89" t="str">
        <f>IFERROR(+IF('FT-Monitoreos '!V103="No","N/A",'FT-Monitoreos '!Y103),"")</f>
        <v xml:space="preserve"> </v>
      </c>
      <c r="G94" s="435"/>
    </row>
    <row r="95" spans="2:19" ht="24.75" customHeight="1" x14ac:dyDescent="0.25">
      <c r="B95" s="457"/>
      <c r="C95" s="431"/>
      <c r="D95" s="439"/>
      <c r="E95" s="89" t="str">
        <f>+'FT-Monitoreos '!O104</f>
        <v/>
      </c>
      <c r="F95" s="89" t="str">
        <f>IFERROR(+IF('FT-Monitoreos '!V104="No","N/A",'FT-Monitoreos '!Y104),"")</f>
        <v>N/A</v>
      </c>
      <c r="G95" s="435"/>
    </row>
    <row r="96" spans="2:19" ht="24.75" customHeight="1" x14ac:dyDescent="0.25">
      <c r="B96" s="457" t="str">
        <f>+'FT-Monitoreos '!B105</f>
        <v/>
      </c>
      <c r="C96" s="431" t="str">
        <f>+'FT-Monitoreos '!C105</f>
        <v/>
      </c>
      <c r="D96" s="439"/>
      <c r="E96" s="89" t="str">
        <f>+'FT-Monitoreos '!O105</f>
        <v>Monitoreo de asignación de citas</v>
      </c>
      <c r="F96" s="89" t="str">
        <f>IFERROR(+IF('FT-Monitoreos '!V105="No","N/A",'FT-Monitoreos '!Y105),"")</f>
        <v xml:space="preserve"> </v>
      </c>
      <c r="G96" s="435" t="str">
        <f t="shared" ref="G96" si="24">IFERROR(IF(F96:F98="N/A","N/A",AVERAGE(F96:F98)),"N/A")</f>
        <v>N/A</v>
      </c>
    </row>
    <row r="97" spans="2:7" ht="24.75" customHeight="1" x14ac:dyDescent="0.25">
      <c r="B97" s="457"/>
      <c r="C97" s="431"/>
      <c r="D97" s="439"/>
      <c r="E97" s="89" t="str">
        <f>+'FT-Monitoreos '!O106</f>
        <v/>
      </c>
      <c r="F97" s="89" t="str">
        <f>IFERROR(+IF('FT-Monitoreos '!V106="No","N/A",'FT-Monitoreos '!Y106),"")</f>
        <v>N/A</v>
      </c>
      <c r="G97" s="435"/>
    </row>
    <row r="98" spans="2:7" ht="24.75" customHeight="1" x14ac:dyDescent="0.25">
      <c r="B98" s="457"/>
      <c r="C98" s="431"/>
      <c r="D98" s="439"/>
      <c r="E98" s="89" t="str">
        <f>+'FT-Monitoreos '!O107</f>
        <v/>
      </c>
      <c r="F98" s="89" t="str">
        <f>IFERROR(+IF('FT-Monitoreos '!V107="No","N/A",'FT-Monitoreos '!Y107),"")</f>
        <v>N/A</v>
      </c>
      <c r="G98" s="435"/>
    </row>
    <row r="99" spans="2:7" ht="24.75" customHeight="1" x14ac:dyDescent="0.25">
      <c r="B99" s="457" t="str">
        <f>+'FT-Monitoreos '!B108</f>
        <v/>
      </c>
      <c r="C99" s="431" t="str">
        <f>+'FT-Monitoreos '!C108</f>
        <v/>
      </c>
      <c r="D99" s="439"/>
      <c r="E99" s="89" t="str">
        <f>+'FT-Monitoreos '!O108</f>
        <v>Verificación de experiencia en docencia</v>
      </c>
      <c r="F99" s="89" t="str">
        <f>IFERROR(+IF('FT-Monitoreos '!V108="No","N/A",'FT-Monitoreos '!Y108),"")</f>
        <v xml:space="preserve"> </v>
      </c>
      <c r="G99" s="435" t="str">
        <f t="shared" ref="G99" si="25">IFERROR(IF(F99:F101="N/A","N/A",AVERAGE(F99:F101)),"N/A")</f>
        <v>N/A</v>
      </c>
    </row>
    <row r="100" spans="2:7" ht="24.75" customHeight="1" x14ac:dyDescent="0.25">
      <c r="B100" s="457"/>
      <c r="C100" s="431"/>
      <c r="D100" s="439"/>
      <c r="E100" s="89" t="str">
        <f>+'FT-Monitoreos '!O109</f>
        <v/>
      </c>
      <c r="F100" s="89" t="str">
        <f>IFERROR(+IF('FT-Monitoreos '!V109="No","N/A",'FT-Monitoreos '!Y109),"")</f>
        <v>N/A</v>
      </c>
      <c r="G100" s="435"/>
    </row>
    <row r="101" spans="2:7" ht="24.75" customHeight="1" x14ac:dyDescent="0.25">
      <c r="B101" s="457"/>
      <c r="C101" s="431"/>
      <c r="D101" s="439"/>
      <c r="E101" s="89" t="str">
        <f>+'FT-Monitoreos '!O110</f>
        <v/>
      </c>
      <c r="F101" s="89" t="str">
        <f>IFERROR(+IF('FT-Monitoreos '!V110="No","N/A",'FT-Monitoreos '!Y110),"")</f>
        <v>N/A</v>
      </c>
      <c r="G101" s="435"/>
    </row>
    <row r="102" spans="2:7" ht="24.75" customHeight="1" x14ac:dyDescent="0.25">
      <c r="B102" s="457" t="str">
        <f>+'FT-Monitoreos '!B111</f>
        <v/>
      </c>
      <c r="C102" s="431" t="str">
        <f>+'FT-Monitoreos '!C111</f>
        <v/>
      </c>
      <c r="D102" s="439"/>
      <c r="E102" s="89" t="e">
        <f>+'FT-Monitoreos '!O111</f>
        <v>#REF!</v>
      </c>
      <c r="F102" s="89" t="str">
        <f>IFERROR(+IF('FT-Monitoreos '!V111="No","N/A",'FT-Monitoreos '!Y111),"")</f>
        <v/>
      </c>
      <c r="G102" s="435" t="str">
        <f t="shared" ref="G102" si="26">IFERROR(IF(F102:F104="N/A","N/A",AVERAGE(F102:F104)),"N/A")</f>
        <v>N/A</v>
      </c>
    </row>
    <row r="103" spans="2:7" ht="24.75" customHeight="1" x14ac:dyDescent="0.25">
      <c r="B103" s="457"/>
      <c r="C103" s="431"/>
      <c r="D103" s="439"/>
      <c r="E103" s="89" t="e">
        <f>+'FT-Monitoreos '!O112</f>
        <v>#REF!</v>
      </c>
      <c r="F103" s="89" t="str">
        <f>IFERROR(+IF('FT-Monitoreos '!V112="No","N/A",'FT-Monitoreos '!Y112),"")</f>
        <v/>
      </c>
      <c r="G103" s="435"/>
    </row>
    <row r="104" spans="2:7" ht="24.75" customHeight="1" thickBot="1" x14ac:dyDescent="0.3">
      <c r="B104" s="462"/>
      <c r="C104" s="464"/>
      <c r="D104" s="440"/>
      <c r="E104" s="90" t="e">
        <f>+'FT-Monitoreos '!O113</f>
        <v>#REF!</v>
      </c>
      <c r="F104" s="90" t="str">
        <f>IFERROR(+IF('FT-Monitoreos '!V113="No","N/A",'FT-Monitoreos '!Y113),"")</f>
        <v/>
      </c>
      <c r="G104" s="463"/>
    </row>
  </sheetData>
  <sheetProtection algorithmName="SHA-512" hashValue="5HJxUyj6kksJf9X81aIoQX6JtC3JTFRvlJBwlJ6frx8CaT42AdkycTU/e9qUAVnn7chsRH8116Jmne7r3fr1OQ==" saltValue="7GhC34AZ5KTFVgwWB2x2Nw==" spinCount="100000" sheet="1" objects="1" scenarios="1"/>
  <mergeCells count="132">
    <mergeCell ref="I73:K74"/>
    <mergeCell ref="M73:S74"/>
    <mergeCell ref="I75:K88"/>
    <mergeCell ref="M75:S88"/>
    <mergeCell ref="I89:K89"/>
    <mergeCell ref="M89:S89"/>
    <mergeCell ref="I3:K4"/>
    <mergeCell ref="I5:K18"/>
    <mergeCell ref="M3:S4"/>
    <mergeCell ref="M5:S18"/>
    <mergeCell ref="I38:K39"/>
    <mergeCell ref="M38:S39"/>
    <mergeCell ref="I40:K53"/>
    <mergeCell ref="M40:S53"/>
    <mergeCell ref="I19:K19"/>
    <mergeCell ref="M19:S19"/>
    <mergeCell ref="I54:K54"/>
    <mergeCell ref="M54:S54"/>
    <mergeCell ref="C84:C86"/>
    <mergeCell ref="G84:G86"/>
    <mergeCell ref="B99:B101"/>
    <mergeCell ref="C99:C101"/>
    <mergeCell ref="G99:G101"/>
    <mergeCell ref="B102:B104"/>
    <mergeCell ref="C102:C104"/>
    <mergeCell ref="G102:G104"/>
    <mergeCell ref="B93:B95"/>
    <mergeCell ref="C93:C95"/>
    <mergeCell ref="G93:G95"/>
    <mergeCell ref="B96:B98"/>
    <mergeCell ref="C96:C98"/>
    <mergeCell ref="G96:G98"/>
    <mergeCell ref="B75:B77"/>
    <mergeCell ref="C75:C77"/>
    <mergeCell ref="G75:G77"/>
    <mergeCell ref="B78:B80"/>
    <mergeCell ref="C78:C80"/>
    <mergeCell ref="G78:G80"/>
    <mergeCell ref="B72:G72"/>
    <mergeCell ref="B73:B74"/>
    <mergeCell ref="C73:C74"/>
    <mergeCell ref="D73:D74"/>
    <mergeCell ref="F73:F74"/>
    <mergeCell ref="G73:G74"/>
    <mergeCell ref="E73:E74"/>
    <mergeCell ref="D75:D104"/>
    <mergeCell ref="B87:B89"/>
    <mergeCell ref="C87:C89"/>
    <mergeCell ref="G87:G89"/>
    <mergeCell ref="B90:B92"/>
    <mergeCell ref="C90:C92"/>
    <mergeCell ref="G90:G92"/>
    <mergeCell ref="B81:B83"/>
    <mergeCell ref="C81:C83"/>
    <mergeCell ref="G81:G83"/>
    <mergeCell ref="B84:B86"/>
    <mergeCell ref="B64:B66"/>
    <mergeCell ref="G64:G66"/>
    <mergeCell ref="B67:B69"/>
    <mergeCell ref="G67:G69"/>
    <mergeCell ref="B58:B60"/>
    <mergeCell ref="G58:G60"/>
    <mergeCell ref="B61:B63"/>
    <mergeCell ref="G61:G63"/>
    <mergeCell ref="C61:C63"/>
    <mergeCell ref="C64:C66"/>
    <mergeCell ref="C67:C69"/>
    <mergeCell ref="B29:B31"/>
    <mergeCell ref="B32:B34"/>
    <mergeCell ref="B52:B54"/>
    <mergeCell ref="G52:G54"/>
    <mergeCell ref="B55:B57"/>
    <mergeCell ref="G55:G57"/>
    <mergeCell ref="B46:B48"/>
    <mergeCell ref="G46:G48"/>
    <mergeCell ref="B49:B51"/>
    <mergeCell ref="G49:G51"/>
    <mergeCell ref="B40:B42"/>
    <mergeCell ref="B43:B45"/>
    <mergeCell ref="G43:G45"/>
    <mergeCell ref="B38:B39"/>
    <mergeCell ref="C38:C39"/>
    <mergeCell ref="D38:D39"/>
    <mergeCell ref="F38:F39"/>
    <mergeCell ref="E38:E39"/>
    <mergeCell ref="G32:G34"/>
    <mergeCell ref="F3:F4"/>
    <mergeCell ref="B2:G2"/>
    <mergeCell ref="B37:G37"/>
    <mergeCell ref="B14:B16"/>
    <mergeCell ref="B17:B19"/>
    <mergeCell ref="B20:B22"/>
    <mergeCell ref="B23:B25"/>
    <mergeCell ref="B26:B28"/>
    <mergeCell ref="B3:B4"/>
    <mergeCell ref="C3:C4"/>
    <mergeCell ref="B5:B7"/>
    <mergeCell ref="B8:B10"/>
    <mergeCell ref="B11:B13"/>
    <mergeCell ref="C17:C19"/>
    <mergeCell ref="C20:C22"/>
    <mergeCell ref="G5:G7"/>
    <mergeCell ref="C5:C7"/>
    <mergeCell ref="G3:G4"/>
    <mergeCell ref="E3:E4"/>
    <mergeCell ref="D3:D4"/>
    <mergeCell ref="C23:C25"/>
    <mergeCell ref="D5:D34"/>
    <mergeCell ref="C8:C10"/>
    <mergeCell ref="C11:C13"/>
    <mergeCell ref="C14:C16"/>
    <mergeCell ref="C58:C60"/>
    <mergeCell ref="C40:C42"/>
    <mergeCell ref="G40:G42"/>
    <mergeCell ref="C43:C45"/>
    <mergeCell ref="G38:G39"/>
    <mergeCell ref="G8:G10"/>
    <mergeCell ref="G11:G13"/>
    <mergeCell ref="C46:C48"/>
    <mergeCell ref="C49:C51"/>
    <mergeCell ref="C52:C54"/>
    <mergeCell ref="C55:C57"/>
    <mergeCell ref="D40:D69"/>
    <mergeCell ref="C29:C31"/>
    <mergeCell ref="C32:C34"/>
    <mergeCell ref="G14:G16"/>
    <mergeCell ref="G17:G19"/>
    <mergeCell ref="G20:G22"/>
    <mergeCell ref="G23:G25"/>
    <mergeCell ref="G26:G28"/>
    <mergeCell ref="G29:G31"/>
    <mergeCell ref="C26:C28"/>
  </mergeCells>
  <conditionalFormatting sqref="F5:G34 F40:G69 F75:G104">
    <cfRule type="cellIs" dxfId="2" priority="1" operator="between">
      <formula>0</formula>
      <formula>0.49</formula>
    </cfRule>
    <cfRule type="cellIs" dxfId="1" priority="2" operator="between">
      <formula>0.5</formula>
      <formula>0.74</formula>
    </cfRule>
    <cfRule type="cellIs" dxfId="0" priority="3" operator="between">
      <formula>0.75</formula>
      <formula>1</formula>
    </cfRule>
  </conditionalFormatting>
  <pageMargins left="0.7" right="0.7" top="0.75" bottom="0.75" header="0.3" footer="0.3"/>
  <pageSetup orientation="portrait"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B1:M30"/>
  <sheetViews>
    <sheetView showGridLines="0" workbookViewId="0">
      <selection activeCell="D4" sqref="D4"/>
    </sheetView>
  </sheetViews>
  <sheetFormatPr baseColWidth="10" defaultRowHeight="15" x14ac:dyDescent="0.25"/>
  <cols>
    <col min="2" max="2" width="23.5703125" customWidth="1"/>
    <col min="3" max="6" width="23.5703125" style="1" customWidth="1"/>
    <col min="7" max="7" width="4.42578125" style="1" customWidth="1"/>
    <col min="8" max="11" width="23.5703125" customWidth="1"/>
  </cols>
  <sheetData>
    <row r="1" spans="2:13" ht="15.75" thickBot="1" x14ac:dyDescent="0.3"/>
    <row r="2" spans="2:13" ht="27.75" customHeight="1" thickBot="1" x14ac:dyDescent="0.3">
      <c r="B2" s="485" t="s">
        <v>109</v>
      </c>
      <c r="C2" s="487" t="s">
        <v>115</v>
      </c>
      <c r="D2" s="488"/>
      <c r="E2" s="488"/>
      <c r="F2" s="489"/>
      <c r="G2" s="56"/>
      <c r="H2" s="487" t="s">
        <v>110</v>
      </c>
      <c r="I2" s="488"/>
      <c r="J2" s="488"/>
      <c r="K2" s="489"/>
    </row>
    <row r="3" spans="2:13" ht="29.25" customHeight="1" thickBot="1" x14ac:dyDescent="0.3">
      <c r="B3" s="486"/>
      <c r="C3" s="60" t="s">
        <v>117</v>
      </c>
      <c r="D3" s="61" t="s">
        <v>118</v>
      </c>
      <c r="E3" s="60" t="s">
        <v>119</v>
      </c>
      <c r="F3" s="60" t="s">
        <v>113</v>
      </c>
      <c r="G3" s="56"/>
      <c r="H3" s="62" t="s">
        <v>117</v>
      </c>
      <c r="I3" s="61" t="s">
        <v>118</v>
      </c>
      <c r="J3" s="62" t="s">
        <v>119</v>
      </c>
      <c r="K3" s="63" t="s">
        <v>113</v>
      </c>
    </row>
    <row r="4" spans="2:13" ht="27" customHeight="1" thickBot="1" x14ac:dyDescent="0.3">
      <c r="B4" s="48" t="s">
        <v>114</v>
      </c>
      <c r="C4" s="49" t="str">
        <f>IFERROR(AVERAGE('Indicadores '!G5:G34),"")</f>
        <v/>
      </c>
      <c r="D4" s="49" t="str">
        <f>IFERROR(AVERAGE('Indicadores '!G40:G69),"")</f>
        <v/>
      </c>
      <c r="E4" s="49" t="str">
        <f>IFERROR(AVERAGE('Indicadores '!G75:G104),"")</f>
        <v/>
      </c>
      <c r="F4" s="50" t="str">
        <f>IFERROR(AVERAGE(C4:E4),"")</f>
        <v/>
      </c>
      <c r="G4" s="58"/>
      <c r="H4" s="59" t="str">
        <f>+'Indicadores '!D5</f>
        <v xml:space="preserve"> </v>
      </c>
      <c r="I4" s="49" t="str">
        <f>+'Indicadores '!D40</f>
        <v/>
      </c>
      <c r="J4" s="49" t="str">
        <f>+'Indicadores '!D75</f>
        <v/>
      </c>
      <c r="K4" s="50" t="str">
        <f>+IFERROR(AVERAGE(H4:J4),"")</f>
        <v/>
      </c>
    </row>
    <row r="5" spans="2:13" x14ac:dyDescent="0.25">
      <c r="B5" s="45"/>
      <c r="C5" s="46"/>
      <c r="D5" s="46"/>
      <c r="E5" s="47"/>
      <c r="F5" s="47"/>
      <c r="G5" s="47"/>
      <c r="H5" s="47"/>
      <c r="I5" s="47"/>
      <c r="J5" s="47"/>
      <c r="K5" s="47"/>
    </row>
    <row r="6" spans="2:13" x14ac:dyDescent="0.25">
      <c r="B6" s="45"/>
      <c r="C6" s="46"/>
      <c r="D6" s="46"/>
      <c r="E6" s="47"/>
      <c r="F6" s="47"/>
      <c r="G6" s="47"/>
      <c r="H6" s="47"/>
      <c r="I6" s="47"/>
      <c r="J6" s="47"/>
      <c r="K6" s="47"/>
    </row>
    <row r="7" spans="2:13" ht="15.75" thickBot="1" x14ac:dyDescent="0.3">
      <c r="B7" s="57"/>
      <c r="C7" s="57"/>
      <c r="D7" s="57"/>
      <c r="E7" s="57"/>
      <c r="F7" s="57"/>
      <c r="G7" s="47"/>
      <c r="H7" s="47"/>
      <c r="I7" s="47"/>
      <c r="J7" s="47"/>
      <c r="K7" s="47"/>
    </row>
    <row r="8" spans="2:13" ht="15" customHeight="1" x14ac:dyDescent="0.25">
      <c r="B8" s="57"/>
      <c r="C8" s="467" t="s">
        <v>115</v>
      </c>
      <c r="D8" s="468"/>
      <c r="E8" s="468"/>
      <c r="F8" s="469"/>
      <c r="H8" s="467" t="s">
        <v>110</v>
      </c>
      <c r="I8" s="468"/>
      <c r="J8" s="468"/>
      <c r="K8" s="469"/>
      <c r="L8" s="53"/>
      <c r="M8" s="53"/>
    </row>
    <row r="9" spans="2:13" ht="15.75" customHeight="1" thickBot="1" x14ac:dyDescent="0.3">
      <c r="B9" s="57"/>
      <c r="C9" s="470"/>
      <c r="D9" s="471"/>
      <c r="E9" s="471"/>
      <c r="F9" s="472"/>
      <c r="H9" s="470"/>
      <c r="I9" s="471"/>
      <c r="J9" s="471"/>
      <c r="K9" s="472"/>
      <c r="L9" s="53"/>
      <c r="M9" s="53"/>
    </row>
    <row r="10" spans="2:13" x14ac:dyDescent="0.25">
      <c r="B10" s="57"/>
      <c r="C10" s="473"/>
      <c r="D10" s="474"/>
      <c r="E10" s="474"/>
      <c r="F10" s="475"/>
      <c r="G10" s="52"/>
      <c r="H10" s="473"/>
      <c r="I10" s="474"/>
      <c r="J10" s="474"/>
      <c r="K10" s="475"/>
      <c r="L10" s="54"/>
      <c r="M10" s="54"/>
    </row>
    <row r="11" spans="2:13" x14ac:dyDescent="0.25">
      <c r="B11" s="57"/>
      <c r="C11" s="476"/>
      <c r="D11" s="477"/>
      <c r="E11" s="477"/>
      <c r="F11" s="478"/>
      <c r="G11" s="52"/>
      <c r="H11" s="476"/>
      <c r="I11" s="477"/>
      <c r="J11" s="477"/>
      <c r="K11" s="478"/>
      <c r="L11" s="54"/>
      <c r="M11" s="54"/>
    </row>
    <row r="12" spans="2:13" x14ac:dyDescent="0.25">
      <c r="B12" s="57"/>
      <c r="C12" s="476"/>
      <c r="D12" s="477"/>
      <c r="E12" s="477"/>
      <c r="F12" s="478"/>
      <c r="G12" s="52"/>
      <c r="H12" s="476"/>
      <c r="I12" s="477"/>
      <c r="J12" s="477"/>
      <c r="K12" s="478"/>
      <c r="L12" s="54"/>
      <c r="M12" s="54"/>
    </row>
    <row r="13" spans="2:13" x14ac:dyDescent="0.25">
      <c r="B13" s="57"/>
      <c r="C13" s="476"/>
      <c r="D13" s="477"/>
      <c r="E13" s="477"/>
      <c r="F13" s="478"/>
      <c r="G13" s="52"/>
      <c r="H13" s="476"/>
      <c r="I13" s="477"/>
      <c r="J13" s="477"/>
      <c r="K13" s="478"/>
      <c r="L13" s="54"/>
      <c r="M13" s="54"/>
    </row>
    <row r="14" spans="2:13" x14ac:dyDescent="0.25">
      <c r="B14" s="57"/>
      <c r="C14" s="476"/>
      <c r="D14" s="477"/>
      <c r="E14" s="477"/>
      <c r="F14" s="478"/>
      <c r="G14" s="52"/>
      <c r="H14" s="476"/>
      <c r="I14" s="477"/>
      <c r="J14" s="477"/>
      <c r="K14" s="478"/>
      <c r="L14" s="54"/>
      <c r="M14" s="54"/>
    </row>
    <row r="15" spans="2:13" x14ac:dyDescent="0.25">
      <c r="B15" s="57"/>
      <c r="C15" s="476"/>
      <c r="D15" s="477"/>
      <c r="E15" s="477"/>
      <c r="F15" s="478"/>
      <c r="G15" s="52"/>
      <c r="H15" s="476"/>
      <c r="I15" s="477"/>
      <c r="J15" s="477"/>
      <c r="K15" s="478"/>
      <c r="L15" s="54"/>
      <c r="M15" s="54"/>
    </row>
    <row r="16" spans="2:13" x14ac:dyDescent="0.25">
      <c r="B16" s="57"/>
      <c r="C16" s="476"/>
      <c r="D16" s="477"/>
      <c r="E16" s="477"/>
      <c r="F16" s="478"/>
      <c r="G16" s="52"/>
      <c r="H16" s="476"/>
      <c r="I16" s="477"/>
      <c r="J16" s="477"/>
      <c r="K16" s="478"/>
      <c r="L16" s="54"/>
      <c r="M16" s="54"/>
    </row>
    <row r="17" spans="2:13" x14ac:dyDescent="0.25">
      <c r="B17" s="57"/>
      <c r="C17" s="476"/>
      <c r="D17" s="477"/>
      <c r="E17" s="477"/>
      <c r="F17" s="478"/>
      <c r="G17" s="52"/>
      <c r="H17" s="476"/>
      <c r="I17" s="477"/>
      <c r="J17" s="477"/>
      <c r="K17" s="478"/>
      <c r="L17" s="54"/>
      <c r="M17" s="54"/>
    </row>
    <row r="18" spans="2:13" x14ac:dyDescent="0.25">
      <c r="B18" s="57"/>
      <c r="C18" s="476"/>
      <c r="D18" s="477"/>
      <c r="E18" s="477"/>
      <c r="F18" s="478"/>
      <c r="G18" s="52"/>
      <c r="H18" s="476"/>
      <c r="I18" s="477"/>
      <c r="J18" s="477"/>
      <c r="K18" s="478"/>
      <c r="L18" s="54"/>
      <c r="M18" s="54"/>
    </row>
    <row r="19" spans="2:13" x14ac:dyDescent="0.25">
      <c r="B19" s="57"/>
      <c r="C19" s="476"/>
      <c r="D19" s="477"/>
      <c r="E19" s="477"/>
      <c r="F19" s="478"/>
      <c r="G19" s="52"/>
      <c r="H19" s="476"/>
      <c r="I19" s="477"/>
      <c r="J19" s="477"/>
      <c r="K19" s="478"/>
      <c r="L19" s="54"/>
      <c r="M19" s="54"/>
    </row>
    <row r="20" spans="2:13" x14ac:dyDescent="0.25">
      <c r="B20" s="57"/>
      <c r="C20" s="476"/>
      <c r="D20" s="477"/>
      <c r="E20" s="477"/>
      <c r="F20" s="478"/>
      <c r="G20" s="52"/>
      <c r="H20" s="476"/>
      <c r="I20" s="477"/>
      <c r="J20" s="477"/>
      <c r="K20" s="478"/>
      <c r="L20" s="54"/>
      <c r="M20" s="54"/>
    </row>
    <row r="21" spans="2:13" x14ac:dyDescent="0.25">
      <c r="B21" s="57"/>
      <c r="C21" s="476"/>
      <c r="D21" s="477"/>
      <c r="E21" s="477"/>
      <c r="F21" s="478"/>
      <c r="G21" s="52"/>
      <c r="H21" s="476"/>
      <c r="I21" s="477"/>
      <c r="J21" s="477"/>
      <c r="K21" s="478"/>
      <c r="L21" s="54"/>
      <c r="M21" s="54"/>
    </row>
    <row r="22" spans="2:13" x14ac:dyDescent="0.25">
      <c r="B22" s="57"/>
      <c r="C22" s="476"/>
      <c r="D22" s="477"/>
      <c r="E22" s="477"/>
      <c r="F22" s="478"/>
      <c r="G22" s="52"/>
      <c r="H22" s="476"/>
      <c r="I22" s="477"/>
      <c r="J22" s="477"/>
      <c r="K22" s="478"/>
      <c r="L22" s="54"/>
      <c r="M22" s="54"/>
    </row>
    <row r="23" spans="2:13" s="1" customFormat="1" x14ac:dyDescent="0.25">
      <c r="B23" s="57"/>
      <c r="C23" s="476"/>
      <c r="D23" s="477"/>
      <c r="E23" s="477"/>
      <c r="F23" s="478"/>
      <c r="G23" s="52"/>
      <c r="H23" s="476"/>
      <c r="I23" s="477"/>
      <c r="J23" s="477"/>
      <c r="K23" s="478"/>
      <c r="L23" s="54"/>
      <c r="M23" s="54"/>
    </row>
    <row r="24" spans="2:13" s="1" customFormat="1" x14ac:dyDescent="0.25">
      <c r="B24" s="57"/>
      <c r="C24" s="476"/>
      <c r="D24" s="477"/>
      <c r="E24" s="477"/>
      <c r="F24" s="478"/>
      <c r="G24" s="52"/>
      <c r="H24" s="476"/>
      <c r="I24" s="477"/>
      <c r="J24" s="477"/>
      <c r="K24" s="478"/>
      <c r="L24" s="54"/>
      <c r="M24" s="54"/>
    </row>
    <row r="25" spans="2:13" x14ac:dyDescent="0.25">
      <c r="B25" s="57"/>
      <c r="C25" s="476"/>
      <c r="D25" s="477"/>
      <c r="E25" s="477"/>
      <c r="F25" s="478"/>
      <c r="G25" s="52"/>
      <c r="H25" s="476"/>
      <c r="I25" s="477"/>
      <c r="J25" s="477"/>
      <c r="K25" s="478"/>
      <c r="L25" s="54"/>
      <c r="M25" s="54"/>
    </row>
    <row r="26" spans="2:13" ht="18.75" x14ac:dyDescent="0.25">
      <c r="B26" s="57"/>
      <c r="C26" s="476"/>
      <c r="D26" s="477"/>
      <c r="E26" s="477"/>
      <c r="F26" s="478"/>
      <c r="H26" s="476"/>
      <c r="I26" s="477"/>
      <c r="J26" s="477"/>
      <c r="K26" s="478"/>
      <c r="L26" s="55"/>
      <c r="M26" s="55"/>
    </row>
    <row r="27" spans="2:13" x14ac:dyDescent="0.25">
      <c r="B27" s="57"/>
      <c r="C27" s="476"/>
      <c r="D27" s="477"/>
      <c r="E27" s="477"/>
      <c r="F27" s="478"/>
      <c r="H27" s="476"/>
      <c r="I27" s="477"/>
      <c r="J27" s="477"/>
      <c r="K27" s="478"/>
      <c r="L27" s="26"/>
      <c r="M27" s="26"/>
    </row>
    <row r="28" spans="2:13" x14ac:dyDescent="0.25">
      <c r="B28" s="57"/>
      <c r="C28" s="476"/>
      <c r="D28" s="477"/>
      <c r="E28" s="477"/>
      <c r="F28" s="478"/>
      <c r="H28" s="476"/>
      <c r="I28" s="477"/>
      <c r="J28" s="477"/>
      <c r="K28" s="478"/>
      <c r="L28" s="26"/>
      <c r="M28" s="26"/>
    </row>
    <row r="29" spans="2:13" ht="15.75" thickBot="1" x14ac:dyDescent="0.3">
      <c r="B29" s="57"/>
      <c r="C29" s="479"/>
      <c r="D29" s="480"/>
      <c r="E29" s="480"/>
      <c r="F29" s="481"/>
      <c r="H29" s="479"/>
      <c r="I29" s="480"/>
      <c r="J29" s="480"/>
      <c r="K29" s="481"/>
      <c r="L29" s="26"/>
      <c r="M29" s="26"/>
    </row>
    <row r="30" spans="2:13" ht="19.5" thickBot="1" x14ac:dyDescent="0.3">
      <c r="C30" s="482" t="s">
        <v>122</v>
      </c>
      <c r="D30" s="483"/>
      <c r="E30" s="483"/>
      <c r="F30" s="484"/>
      <c r="H30" s="482" t="s">
        <v>122</v>
      </c>
      <c r="I30" s="483"/>
      <c r="J30" s="483"/>
      <c r="K30" s="484"/>
    </row>
  </sheetData>
  <sheetProtection algorithmName="SHA-512" hashValue="G6ANsoYXR8iYVzL+pLqEaIl24mZxM3jhgFsymvwKw/Vhwsy71h4X3oFxFsTTaIWcuAC+0tN/F9ykCt/gLC+vKQ==" saltValue="rb5qRWkGTpL4toHMSy+hsQ==" spinCount="100000" sheet="1" objects="1" scenarios="1"/>
  <mergeCells count="9">
    <mergeCell ref="B2:B3"/>
    <mergeCell ref="C2:F2"/>
    <mergeCell ref="H2:K2"/>
    <mergeCell ref="H8:K9"/>
    <mergeCell ref="H30:K30"/>
    <mergeCell ref="H10:K29"/>
    <mergeCell ref="C8:F9"/>
    <mergeCell ref="C10:F29"/>
    <mergeCell ref="C30:F3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X32"/>
  <sheetViews>
    <sheetView topLeftCell="C4" workbookViewId="0">
      <selection activeCell="R30" sqref="R30"/>
    </sheetView>
  </sheetViews>
  <sheetFormatPr baseColWidth="10" defaultColWidth="11.42578125" defaultRowHeight="15" x14ac:dyDescent="0.25"/>
  <cols>
    <col min="1" max="9" width="11.42578125" style="1"/>
    <col min="10" max="10" width="13.42578125" style="1" customWidth="1"/>
    <col min="11" max="11" width="13.7109375" style="1" customWidth="1"/>
    <col min="12" max="18" width="11.42578125" style="1"/>
    <col min="19" max="19" width="13.28515625" style="1" customWidth="1"/>
    <col min="20" max="20" width="11.42578125" style="1"/>
    <col min="21" max="21" width="13.7109375" style="1" bestFit="1" customWidth="1"/>
    <col min="22" max="16384" width="11.42578125" style="1"/>
  </cols>
  <sheetData>
    <row r="1" spans="1:24" x14ac:dyDescent="0.25">
      <c r="A1" s="2" t="s">
        <v>13</v>
      </c>
      <c r="B1" s="2" t="s">
        <v>17</v>
      </c>
      <c r="C1" s="3" t="str">
        <f>CONCATENATE(A1,B1)</f>
        <v>Rara vezInsignificante</v>
      </c>
      <c r="D1" s="2">
        <v>1</v>
      </c>
      <c r="E1" s="2" t="s">
        <v>26</v>
      </c>
      <c r="F1" s="3" t="s">
        <v>24</v>
      </c>
      <c r="G1" s="1" t="str">
        <f>TRIM(F1)</f>
        <v>Bajo</v>
      </c>
    </row>
    <row r="2" spans="1:24" x14ac:dyDescent="0.25">
      <c r="A2" s="2" t="s">
        <v>13</v>
      </c>
      <c r="B2" s="2" t="s">
        <v>18</v>
      </c>
      <c r="C2" s="3" t="str">
        <f t="shared" ref="C2:C25" si="0">CONCATENATE(A2,B2)</f>
        <v>Rara vezMenor</v>
      </c>
      <c r="D2" s="2">
        <v>1</v>
      </c>
      <c r="E2" s="2" t="s">
        <v>26</v>
      </c>
      <c r="F2" s="3" t="s">
        <v>24</v>
      </c>
      <c r="G2" s="1" t="str">
        <f t="shared" ref="G2:G25" si="1">TRIM(F2)</f>
        <v>Bajo</v>
      </c>
    </row>
    <row r="3" spans="1:24" x14ac:dyDescent="0.25">
      <c r="A3" s="2" t="s">
        <v>13</v>
      </c>
      <c r="B3" s="2" t="s">
        <v>19</v>
      </c>
      <c r="C3" s="3" t="str">
        <f t="shared" si="0"/>
        <v>Rara vezModerado</v>
      </c>
      <c r="D3" s="2">
        <v>2</v>
      </c>
      <c r="E3" s="2" t="s">
        <v>27</v>
      </c>
      <c r="F3" s="3" t="s">
        <v>19</v>
      </c>
      <c r="G3" s="1" t="str">
        <f t="shared" si="1"/>
        <v>Moderado</v>
      </c>
      <c r="J3" s="1" t="s">
        <v>50</v>
      </c>
      <c r="K3" s="2" t="s">
        <v>21</v>
      </c>
    </row>
    <row r="4" spans="1:24" x14ac:dyDescent="0.25">
      <c r="A4" s="2" t="s">
        <v>13</v>
      </c>
      <c r="B4" s="2" t="s">
        <v>20</v>
      </c>
      <c r="C4" s="3" t="str">
        <f t="shared" si="0"/>
        <v xml:space="preserve">Rara vezMayor </v>
      </c>
      <c r="D4" s="2">
        <v>3</v>
      </c>
      <c r="E4" s="2" t="s">
        <v>29</v>
      </c>
      <c r="F4" s="3" t="s">
        <v>28</v>
      </c>
      <c r="G4" s="1" t="str">
        <f t="shared" si="1"/>
        <v>Alto</v>
      </c>
      <c r="J4" s="1" t="s">
        <v>15</v>
      </c>
      <c r="K4" s="2" t="s">
        <v>20</v>
      </c>
      <c r="M4" s="1">
        <v>2</v>
      </c>
    </row>
    <row r="5" spans="1:24" x14ac:dyDescent="0.25">
      <c r="A5" s="2" t="s">
        <v>13</v>
      </c>
      <c r="B5" s="2" t="s">
        <v>21</v>
      </c>
      <c r="C5" s="3" t="str">
        <f t="shared" si="0"/>
        <v>Rara vezCatastrofico</v>
      </c>
      <c r="D5" s="2">
        <v>3</v>
      </c>
      <c r="E5" s="2" t="s">
        <v>29</v>
      </c>
      <c r="F5" s="3" t="s">
        <v>28</v>
      </c>
      <c r="G5" s="1" t="str">
        <f t="shared" si="1"/>
        <v>Alto</v>
      </c>
      <c r="J5" s="1" t="s">
        <v>14</v>
      </c>
      <c r="K5" s="2" t="s">
        <v>19</v>
      </c>
      <c r="M5" s="1">
        <v>3</v>
      </c>
    </row>
    <row r="6" spans="1:24" x14ac:dyDescent="0.25">
      <c r="A6" s="2" t="s">
        <v>14</v>
      </c>
      <c r="B6" s="2" t="s">
        <v>17</v>
      </c>
      <c r="C6" s="3" t="str">
        <f t="shared" si="0"/>
        <v>ImprobableInsignificante</v>
      </c>
      <c r="D6" s="2">
        <v>1</v>
      </c>
      <c r="E6" s="2" t="s">
        <v>26</v>
      </c>
      <c r="F6" s="3" t="s">
        <v>24</v>
      </c>
      <c r="G6" s="1" t="str">
        <f t="shared" si="1"/>
        <v>Bajo</v>
      </c>
      <c r="J6" s="1" t="s">
        <v>51</v>
      </c>
      <c r="K6" s="2" t="s">
        <v>18</v>
      </c>
    </row>
    <row r="7" spans="1:24" x14ac:dyDescent="0.25">
      <c r="A7" s="2" t="s">
        <v>14</v>
      </c>
      <c r="B7" s="2" t="s">
        <v>18</v>
      </c>
      <c r="C7" s="3" t="str">
        <f t="shared" si="0"/>
        <v>ImprobableMenor</v>
      </c>
      <c r="D7" s="2">
        <v>1</v>
      </c>
      <c r="E7" s="2" t="s">
        <v>26</v>
      </c>
      <c r="F7" s="3" t="s">
        <v>24</v>
      </c>
      <c r="G7" s="1" t="str">
        <f t="shared" si="1"/>
        <v>Bajo</v>
      </c>
      <c r="K7" s="2" t="s">
        <v>17</v>
      </c>
    </row>
    <row r="8" spans="1:24" x14ac:dyDescent="0.25">
      <c r="A8" s="2" t="s">
        <v>14</v>
      </c>
      <c r="B8" s="2" t="s">
        <v>19</v>
      </c>
      <c r="C8" s="3" t="str">
        <f t="shared" si="0"/>
        <v>ImprobableModerado</v>
      </c>
      <c r="D8" s="2">
        <v>2</v>
      </c>
      <c r="E8" s="2" t="s">
        <v>27</v>
      </c>
      <c r="F8" s="3" t="s">
        <v>19</v>
      </c>
      <c r="G8" s="1" t="str">
        <f t="shared" si="1"/>
        <v>Moderado</v>
      </c>
    </row>
    <row r="9" spans="1:24" x14ac:dyDescent="0.25">
      <c r="A9" s="2" t="s">
        <v>14</v>
      </c>
      <c r="B9" s="2" t="s">
        <v>20</v>
      </c>
      <c r="C9" s="3" t="str">
        <f t="shared" si="0"/>
        <v xml:space="preserve">ImprobableMayor </v>
      </c>
      <c r="D9" s="2">
        <v>3</v>
      </c>
      <c r="E9" s="2" t="s">
        <v>29</v>
      </c>
      <c r="F9" s="3" t="s">
        <v>28</v>
      </c>
      <c r="G9" s="1" t="str">
        <f t="shared" si="1"/>
        <v>Alto</v>
      </c>
    </row>
    <row r="10" spans="1:24" x14ac:dyDescent="0.25">
      <c r="A10" s="2" t="s">
        <v>14</v>
      </c>
      <c r="B10" s="2" t="s">
        <v>21</v>
      </c>
      <c r="C10" s="3" t="str">
        <f t="shared" si="0"/>
        <v>ImprobableCatastrofico</v>
      </c>
      <c r="D10" s="2">
        <v>4</v>
      </c>
      <c r="E10" s="2" t="s">
        <v>30</v>
      </c>
      <c r="F10" s="3" t="s">
        <v>25</v>
      </c>
      <c r="G10" s="1" t="str">
        <f t="shared" si="1"/>
        <v>Extremo</v>
      </c>
      <c r="O10" s="4"/>
      <c r="P10" s="4"/>
    </row>
    <row r="11" spans="1:24" x14ac:dyDescent="0.25">
      <c r="A11" s="2" t="s">
        <v>15</v>
      </c>
      <c r="B11" s="2" t="s">
        <v>17</v>
      </c>
      <c r="C11" s="3" t="str">
        <f t="shared" si="0"/>
        <v>PosibleInsignificante</v>
      </c>
      <c r="D11" s="2">
        <v>1</v>
      </c>
      <c r="E11" s="2" t="s">
        <v>26</v>
      </c>
      <c r="F11" s="3" t="s">
        <v>24</v>
      </c>
      <c r="G11" s="1" t="str">
        <f t="shared" si="1"/>
        <v>Bajo</v>
      </c>
      <c r="O11" s="4"/>
      <c r="P11" s="4"/>
      <c r="U11" s="1" t="s">
        <v>138</v>
      </c>
      <c r="W11" s="1">
        <v>1</v>
      </c>
      <c r="X11" s="1" t="s">
        <v>123</v>
      </c>
    </row>
    <row r="12" spans="1:24" x14ac:dyDescent="0.25">
      <c r="A12" s="2" t="s">
        <v>15</v>
      </c>
      <c r="B12" s="2" t="s">
        <v>18</v>
      </c>
      <c r="C12" s="3" t="str">
        <f t="shared" si="0"/>
        <v>PosibleMenor</v>
      </c>
      <c r="D12" s="2">
        <v>2</v>
      </c>
      <c r="E12" s="2" t="s">
        <v>27</v>
      </c>
      <c r="F12" s="3" t="s">
        <v>19</v>
      </c>
      <c r="G12" s="1" t="str">
        <f t="shared" si="1"/>
        <v>Moderado</v>
      </c>
      <c r="J12" s="8" t="s">
        <v>22</v>
      </c>
      <c r="K12" s="8" t="s">
        <v>23</v>
      </c>
      <c r="L12" s="6" t="s">
        <v>24</v>
      </c>
      <c r="M12" s="7" t="s">
        <v>26</v>
      </c>
      <c r="N12" s="6" t="s">
        <v>36</v>
      </c>
      <c r="O12" s="4"/>
      <c r="P12" s="4"/>
      <c r="R12" s="25" t="s">
        <v>84</v>
      </c>
      <c r="S12" s="1" t="s">
        <v>72</v>
      </c>
      <c r="U12" s="1" t="s">
        <v>41</v>
      </c>
      <c r="W12" s="1">
        <v>2</v>
      </c>
      <c r="X12" s="1" t="s">
        <v>124</v>
      </c>
    </row>
    <row r="13" spans="1:24" x14ac:dyDescent="0.25">
      <c r="A13" s="2" t="s">
        <v>15</v>
      </c>
      <c r="B13" s="2" t="s">
        <v>19</v>
      </c>
      <c r="C13" s="3" t="str">
        <f t="shared" si="0"/>
        <v>PosibleModerado</v>
      </c>
      <c r="D13" s="2">
        <v>3</v>
      </c>
      <c r="E13" s="2" t="s">
        <v>29</v>
      </c>
      <c r="F13" s="3" t="s">
        <v>28</v>
      </c>
      <c r="G13" s="1" t="str">
        <f t="shared" si="1"/>
        <v>Alto</v>
      </c>
      <c r="J13" s="5" t="s">
        <v>13</v>
      </c>
      <c r="K13" s="5" t="s">
        <v>17</v>
      </c>
      <c r="L13" s="6" t="s">
        <v>19</v>
      </c>
      <c r="M13" s="7" t="s">
        <v>27</v>
      </c>
      <c r="N13" s="6" t="s">
        <v>32</v>
      </c>
      <c r="O13" s="4" t="s">
        <v>41</v>
      </c>
      <c r="P13" s="4" t="s">
        <v>22</v>
      </c>
      <c r="R13" s="6" t="s">
        <v>85</v>
      </c>
      <c r="S13" s="24" t="s">
        <v>90</v>
      </c>
      <c r="U13" s="24"/>
      <c r="W13" s="1">
        <v>3</v>
      </c>
      <c r="X13" s="1" t="s">
        <v>125</v>
      </c>
    </row>
    <row r="14" spans="1:24" x14ac:dyDescent="0.25">
      <c r="A14" s="2" t="s">
        <v>15</v>
      </c>
      <c r="B14" s="2" t="s">
        <v>20</v>
      </c>
      <c r="C14" s="3" t="str">
        <f t="shared" si="0"/>
        <v xml:space="preserve">PosibleMayor </v>
      </c>
      <c r="D14" s="2">
        <v>4</v>
      </c>
      <c r="E14" s="2" t="s">
        <v>30</v>
      </c>
      <c r="F14" s="3" t="s">
        <v>25</v>
      </c>
      <c r="G14" s="1" t="str">
        <f t="shared" si="1"/>
        <v>Extremo</v>
      </c>
      <c r="J14" s="5" t="s">
        <v>14</v>
      </c>
      <c r="K14" s="5" t="s">
        <v>18</v>
      </c>
      <c r="L14" s="6" t="s">
        <v>28</v>
      </c>
      <c r="M14" s="7" t="s">
        <v>29</v>
      </c>
      <c r="N14" s="6" t="s">
        <v>37</v>
      </c>
      <c r="O14" s="4" t="s">
        <v>42</v>
      </c>
      <c r="P14" s="4" t="s">
        <v>23</v>
      </c>
      <c r="R14" s="6" t="s">
        <v>86</v>
      </c>
      <c r="S14" s="24" t="s">
        <v>73</v>
      </c>
      <c r="W14" s="1">
        <v>4</v>
      </c>
      <c r="X14" s="1" t="s">
        <v>126</v>
      </c>
    </row>
    <row r="15" spans="1:24" x14ac:dyDescent="0.25">
      <c r="A15" s="2" t="s">
        <v>15</v>
      </c>
      <c r="B15" s="2" t="s">
        <v>21</v>
      </c>
      <c r="C15" s="3" t="str">
        <f t="shared" si="0"/>
        <v>PosibleCatastrofico</v>
      </c>
      <c r="D15" s="2">
        <v>4</v>
      </c>
      <c r="E15" s="2" t="s">
        <v>30</v>
      </c>
      <c r="F15" s="3" t="s">
        <v>25</v>
      </c>
      <c r="G15" s="1" t="str">
        <f t="shared" si="1"/>
        <v>Extremo</v>
      </c>
      <c r="J15" s="5" t="s">
        <v>15</v>
      </c>
      <c r="K15" s="5" t="s">
        <v>19</v>
      </c>
      <c r="L15" s="6" t="s">
        <v>25</v>
      </c>
      <c r="M15" s="7" t="s">
        <v>30</v>
      </c>
      <c r="N15" s="6" t="s">
        <v>33</v>
      </c>
      <c r="O15" s="4"/>
      <c r="P15" s="4"/>
      <c r="R15" s="25" t="s">
        <v>87</v>
      </c>
      <c r="S15" s="26" t="s">
        <v>139</v>
      </c>
      <c r="W15" s="1">
        <v>5</v>
      </c>
      <c r="X15" s="1" t="s">
        <v>127</v>
      </c>
    </row>
    <row r="16" spans="1:24" x14ac:dyDescent="0.25">
      <c r="A16" s="2" t="s">
        <v>31</v>
      </c>
      <c r="B16" s="2" t="s">
        <v>17</v>
      </c>
      <c r="C16" s="3" t="str">
        <f t="shared" si="0"/>
        <v>ProbableInsignificante</v>
      </c>
      <c r="D16" s="2">
        <v>2</v>
      </c>
      <c r="E16" s="2" t="s">
        <v>27</v>
      </c>
      <c r="F16" s="3" t="s">
        <v>19</v>
      </c>
      <c r="G16" s="1" t="str">
        <f t="shared" si="1"/>
        <v>Moderado</v>
      </c>
      <c r="J16" s="5" t="s">
        <v>31</v>
      </c>
      <c r="K16" s="5" t="s">
        <v>20</v>
      </c>
      <c r="L16" s="4"/>
      <c r="M16" s="4"/>
      <c r="N16" s="6" t="s">
        <v>34</v>
      </c>
      <c r="O16" s="4"/>
      <c r="P16" s="4"/>
      <c r="S16" s="26" t="s">
        <v>91</v>
      </c>
      <c r="W16" s="1">
        <v>6</v>
      </c>
      <c r="X16" s="1" t="s">
        <v>128</v>
      </c>
    </row>
    <row r="17" spans="1:24" x14ac:dyDescent="0.25">
      <c r="A17" s="2" t="s">
        <v>31</v>
      </c>
      <c r="B17" s="2" t="s">
        <v>18</v>
      </c>
      <c r="C17" s="3" t="str">
        <f t="shared" si="0"/>
        <v>ProbableMenor</v>
      </c>
      <c r="D17" s="2">
        <v>3</v>
      </c>
      <c r="E17" s="2" t="s">
        <v>29</v>
      </c>
      <c r="F17" s="3" t="s">
        <v>28</v>
      </c>
      <c r="G17" s="1" t="str">
        <f t="shared" si="1"/>
        <v>Alto</v>
      </c>
      <c r="J17" s="5" t="s">
        <v>16</v>
      </c>
      <c r="K17" s="5" t="s">
        <v>21</v>
      </c>
      <c r="L17" s="4"/>
      <c r="M17" s="4"/>
      <c r="N17" s="6" t="s">
        <v>35</v>
      </c>
      <c r="O17" s="4"/>
      <c r="P17" s="4"/>
      <c r="S17" s="26" t="s">
        <v>140</v>
      </c>
      <c r="W17" s="1">
        <v>7</v>
      </c>
      <c r="X17" s="1" t="s">
        <v>129</v>
      </c>
    </row>
    <row r="18" spans="1:24" x14ac:dyDescent="0.25">
      <c r="A18" s="2" t="s">
        <v>31</v>
      </c>
      <c r="B18" s="2" t="s">
        <v>19</v>
      </c>
      <c r="C18" s="3" t="str">
        <f t="shared" si="0"/>
        <v>ProbableModerado</v>
      </c>
      <c r="D18" s="2">
        <v>3</v>
      </c>
      <c r="E18" s="2" t="s">
        <v>29</v>
      </c>
      <c r="F18" s="3" t="s">
        <v>28</v>
      </c>
      <c r="G18" s="1" t="str">
        <f t="shared" si="1"/>
        <v>Alto</v>
      </c>
      <c r="N18" s="13" t="s">
        <v>67</v>
      </c>
      <c r="S18" s="26" t="s">
        <v>151</v>
      </c>
      <c r="W18" s="1">
        <v>8</v>
      </c>
      <c r="X18" s="1" t="s">
        <v>130</v>
      </c>
    </row>
    <row r="19" spans="1:24" x14ac:dyDescent="0.25">
      <c r="A19" s="2" t="s">
        <v>31</v>
      </c>
      <c r="B19" s="2" t="s">
        <v>20</v>
      </c>
      <c r="C19" s="3" t="str">
        <f t="shared" si="0"/>
        <v xml:space="preserve">ProbableMayor </v>
      </c>
      <c r="D19" s="2">
        <v>4</v>
      </c>
      <c r="E19" s="2" t="s">
        <v>30</v>
      </c>
      <c r="F19" s="3" t="s">
        <v>25</v>
      </c>
      <c r="G19" s="1" t="str">
        <f t="shared" si="1"/>
        <v>Extremo</v>
      </c>
      <c r="N19" s="13" t="s">
        <v>79</v>
      </c>
      <c r="S19" s="26" t="s">
        <v>152</v>
      </c>
      <c r="W19" s="1">
        <v>9</v>
      </c>
      <c r="X19" s="1" t="s">
        <v>131</v>
      </c>
    </row>
    <row r="20" spans="1:24" x14ac:dyDescent="0.25">
      <c r="A20" s="2" t="s">
        <v>31</v>
      </c>
      <c r="B20" s="2" t="s">
        <v>21</v>
      </c>
      <c r="C20" s="3" t="str">
        <f t="shared" si="0"/>
        <v>ProbableCatastrofico</v>
      </c>
      <c r="D20" s="2">
        <v>4</v>
      </c>
      <c r="E20" s="2" t="s">
        <v>30</v>
      </c>
      <c r="F20" s="3" t="s">
        <v>25</v>
      </c>
      <c r="G20" s="1" t="str">
        <f t="shared" si="1"/>
        <v>Extremo</v>
      </c>
      <c r="J20" s="1" t="s">
        <v>56</v>
      </c>
      <c r="K20" s="1">
        <v>33</v>
      </c>
      <c r="W20" s="1">
        <v>10</v>
      </c>
      <c r="X20" s="1" t="s">
        <v>132</v>
      </c>
    </row>
    <row r="21" spans="1:24" x14ac:dyDescent="0.25">
      <c r="A21" s="2" t="s">
        <v>16</v>
      </c>
      <c r="B21" s="2" t="s">
        <v>17</v>
      </c>
      <c r="C21" s="3" t="str">
        <f t="shared" si="0"/>
        <v>Casi seguroInsignificante</v>
      </c>
      <c r="D21" s="2">
        <v>3</v>
      </c>
      <c r="E21" s="2" t="s">
        <v>29</v>
      </c>
      <c r="F21" s="3" t="s">
        <v>28</v>
      </c>
      <c r="G21" s="1" t="str">
        <f t="shared" si="1"/>
        <v>Alto</v>
      </c>
      <c r="U21" s="1" t="s">
        <v>148</v>
      </c>
      <c r="W21" s="1">
        <v>11</v>
      </c>
      <c r="X21" s="1" t="s">
        <v>133</v>
      </c>
    </row>
    <row r="22" spans="1:24" x14ac:dyDescent="0.25">
      <c r="A22" s="2" t="s">
        <v>16</v>
      </c>
      <c r="B22" s="2" t="s">
        <v>18</v>
      </c>
      <c r="C22" s="3" t="str">
        <f t="shared" si="0"/>
        <v>Casi seguroMenor</v>
      </c>
      <c r="D22" s="2">
        <v>3</v>
      </c>
      <c r="E22" s="2" t="s">
        <v>29</v>
      </c>
      <c r="F22" s="3" t="s">
        <v>28</v>
      </c>
      <c r="G22" s="1" t="str">
        <f t="shared" si="1"/>
        <v>Alto</v>
      </c>
      <c r="J22" s="1">
        <v>50</v>
      </c>
      <c r="K22" s="1">
        <f>+$J$22*25%</f>
        <v>12.5</v>
      </c>
      <c r="L22" s="1">
        <f>+K22</f>
        <v>12.5</v>
      </c>
      <c r="N22" s="1">
        <v>1</v>
      </c>
      <c r="P22" s="1">
        <v>1</v>
      </c>
      <c r="R22" s="1" t="s">
        <v>101</v>
      </c>
      <c r="U22" s="1" t="s">
        <v>41</v>
      </c>
      <c r="W22" s="1">
        <v>12</v>
      </c>
      <c r="X22" s="1" t="s">
        <v>134</v>
      </c>
    </row>
    <row r="23" spans="1:24" x14ac:dyDescent="0.25">
      <c r="A23" s="2" t="s">
        <v>16</v>
      </c>
      <c r="B23" s="2" t="s">
        <v>19</v>
      </c>
      <c r="C23" s="3" t="str">
        <f t="shared" si="0"/>
        <v>Casi seguroModerado</v>
      </c>
      <c r="D23" s="2">
        <v>4</v>
      </c>
      <c r="E23" s="2" t="s">
        <v>30</v>
      </c>
      <c r="F23" s="3" t="s">
        <v>25</v>
      </c>
      <c r="G23" s="1" t="str">
        <f t="shared" si="1"/>
        <v>Extremo</v>
      </c>
      <c r="K23" s="1">
        <f>+$J$22*25%</f>
        <v>12.5</v>
      </c>
      <c r="L23" s="1">
        <f>+K23+L22</f>
        <v>25</v>
      </c>
      <c r="N23" s="1">
        <v>2</v>
      </c>
      <c r="P23" s="1">
        <v>2</v>
      </c>
      <c r="R23" s="1" t="s">
        <v>102</v>
      </c>
      <c r="U23" s="1" t="s">
        <v>42</v>
      </c>
    </row>
    <row r="24" spans="1:24" x14ac:dyDescent="0.25">
      <c r="A24" s="2" t="s">
        <v>16</v>
      </c>
      <c r="B24" s="2" t="s">
        <v>20</v>
      </c>
      <c r="C24" s="3" t="str">
        <f t="shared" si="0"/>
        <v xml:space="preserve">Casi seguroMayor </v>
      </c>
      <c r="D24" s="2">
        <v>4</v>
      </c>
      <c r="E24" s="2" t="s">
        <v>30</v>
      </c>
      <c r="F24" s="3" t="s">
        <v>25</v>
      </c>
      <c r="G24" s="1" t="str">
        <f t="shared" si="1"/>
        <v>Extremo</v>
      </c>
      <c r="K24" s="1">
        <f>+$J$22*25%</f>
        <v>12.5</v>
      </c>
      <c r="L24" s="1">
        <f>+K24+L23</f>
        <v>37.5</v>
      </c>
      <c r="N24" s="1">
        <v>3</v>
      </c>
      <c r="P24" s="1">
        <v>3</v>
      </c>
      <c r="R24" s="1" t="s">
        <v>108</v>
      </c>
    </row>
    <row r="25" spans="1:24" x14ac:dyDescent="0.25">
      <c r="A25" s="2" t="s">
        <v>16</v>
      </c>
      <c r="B25" s="2" t="s">
        <v>21</v>
      </c>
      <c r="C25" s="3" t="str">
        <f t="shared" si="0"/>
        <v>Casi seguroCatastrofico</v>
      </c>
      <c r="D25" s="2">
        <v>4</v>
      </c>
      <c r="E25" s="2" t="s">
        <v>30</v>
      </c>
      <c r="F25" s="3" t="s">
        <v>25</v>
      </c>
      <c r="G25" s="1" t="str">
        <f t="shared" si="1"/>
        <v>Extremo</v>
      </c>
      <c r="K25" s="1">
        <f>+$J$22*25%</f>
        <v>12.5</v>
      </c>
      <c r="L25" s="1">
        <f>+K25+L24</f>
        <v>50</v>
      </c>
      <c r="P25" s="1">
        <v>4</v>
      </c>
    </row>
    <row r="26" spans="1:24" x14ac:dyDescent="0.25">
      <c r="P26" s="1">
        <v>5</v>
      </c>
    </row>
    <row r="27" spans="1:24" x14ac:dyDescent="0.25">
      <c r="P27" s="1">
        <v>6</v>
      </c>
    </row>
    <row r="28" spans="1:24" x14ac:dyDescent="0.25">
      <c r="P28" s="1">
        <v>7</v>
      </c>
    </row>
    <row r="29" spans="1:24" x14ac:dyDescent="0.25">
      <c r="P29" s="1">
        <v>8</v>
      </c>
    </row>
    <row r="30" spans="1:24" ht="45" x14ac:dyDescent="0.25">
      <c r="H30" s="12" t="s">
        <v>64</v>
      </c>
      <c r="P30" s="1">
        <v>9</v>
      </c>
    </row>
    <row r="31" spans="1:24" ht="45" x14ac:dyDescent="0.25">
      <c r="H31" s="12" t="s">
        <v>65</v>
      </c>
      <c r="P31" s="1">
        <v>10</v>
      </c>
    </row>
    <row r="32" spans="1:24" ht="60" x14ac:dyDescent="0.25">
      <c r="H32" s="12" t="s">
        <v>66</v>
      </c>
      <c r="P32" s="1" t="s">
        <v>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FT-Mapa de riesgos</vt:lpstr>
      <vt:lpstr>FT-Monitoreos </vt:lpstr>
      <vt:lpstr>Indicadores </vt:lpstr>
      <vt:lpstr>Indicadores Anuales</vt:lpstr>
      <vt:lpstr>Hoja1</vt:lpstr>
      <vt:lpstr>'FT-Mapa de riesgos'!Área_de_impresión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Madrid</dc:creator>
  <cp:lastModifiedBy>Claudia Ramirez</cp:lastModifiedBy>
  <cp:lastPrinted>2019-11-14T19:42:16Z</cp:lastPrinted>
  <dcterms:created xsi:type="dcterms:W3CDTF">2016-04-01T14:27:20Z</dcterms:created>
  <dcterms:modified xsi:type="dcterms:W3CDTF">2020-07-01T17:17:29Z</dcterms:modified>
</cp:coreProperties>
</file>