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hidePivotFieldList="1" defaultThemeVersion="124226"/>
  <mc:AlternateContent xmlns:mc="http://schemas.openxmlformats.org/markup-compatibility/2006">
    <mc:Choice Requires="x15">
      <x15ac:absPath xmlns:x15ac="http://schemas.microsoft.com/office/spreadsheetml/2010/11/ac" url="G:\Riesgos 2022 - HOMIL\Mapa de Riesgos V 2022\"/>
    </mc:Choice>
  </mc:AlternateContent>
  <workbookProtection workbookAlgorithmName="SHA-512" workbookHashValue="GLZnXdsf2hlgYNijcVeYABCeJqcx2O67hWMDuyCPapnAexTjsfLliynswBtrraCswW7hQCSoXePhMF2726Z0Pw==" workbookSaltValue="bAD2K7ZSWDdE3qepMd5hJg==" workbookSpinCount="100000" lockStructure="1"/>
  <bookViews>
    <workbookView xWindow="0" yWindow="0" windowWidth="27570" windowHeight="11700"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Tabla Impacto" sheetId="13" state="hidden" r:id="rId9"/>
    <sheet name="Tabla Valoración controles" sheetId="15" state="hidden" r:id="rId10"/>
    <sheet name="Opciones Tratamiento" sheetId="16" state="hidden" r:id="rId11"/>
    <sheet name="Hoja1" sheetId="11" state="hidden" r:id="rId12"/>
    <sheet name="Informe de compatibilidad" sheetId="21" state="hidden"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xlnm._FilterDatabase" localSheetId="1" hidden="1">'Mapa final'!$A$12:$BR$535</definedName>
    <definedName name="_xlnm.Print_Area" localSheetId="1">'Mapa final'!$A$1:$AL$537</definedName>
  </definedNames>
  <calcPr calcId="162913"/>
  <pivotCaches>
    <pivotCache cacheId="0" r:id="rId29"/>
  </pivotCaches>
</workbook>
</file>

<file path=xl/calcChain.xml><?xml version="1.0" encoding="utf-8"?>
<calcChain xmlns="http://schemas.openxmlformats.org/spreadsheetml/2006/main">
  <c r="V252" i="1" l="1"/>
  <c r="S252" i="1"/>
  <c r="AD252" i="1" s="1"/>
  <c r="AC252" i="1" s="1"/>
  <c r="V251" i="1"/>
  <c r="S251" i="1"/>
  <c r="AD251" i="1" s="1"/>
  <c r="AC251" i="1" s="1"/>
  <c r="V250" i="1"/>
  <c r="S250" i="1"/>
  <c r="AD250" i="1" s="1"/>
  <c r="AC250" i="1" s="1"/>
  <c r="V249" i="1"/>
  <c r="S249" i="1"/>
  <c r="AD249" i="1" s="1"/>
  <c r="AC249" i="1" s="1"/>
  <c r="V248" i="1"/>
  <c r="S248" i="1"/>
  <c r="V247" i="1"/>
  <c r="S247" i="1"/>
  <c r="V246" i="1"/>
  <c r="S246" i="1"/>
  <c r="AD246" i="1" s="1"/>
  <c r="AC246" i="1" s="1"/>
  <c r="V245" i="1"/>
  <c r="S245" i="1"/>
  <c r="AD245" i="1" s="1"/>
  <c r="AC245" i="1" s="1"/>
  <c r="V244" i="1"/>
  <c r="S244" i="1"/>
  <c r="AD244" i="1" s="1"/>
  <c r="AC244" i="1" s="1"/>
  <c r="V243" i="1"/>
  <c r="S243" i="1"/>
  <c r="AD243" i="1" s="1"/>
  <c r="AC243" i="1" s="1"/>
  <c r="V242" i="1"/>
  <c r="S242" i="1"/>
  <c r="AD242" i="1" s="1"/>
  <c r="AC242" i="1" s="1"/>
  <c r="J247" i="1"/>
  <c r="M247" i="1"/>
  <c r="N247" i="1" s="1"/>
  <c r="O247" i="1" s="1"/>
  <c r="Z252" i="1" l="1"/>
  <c r="AB252" i="1" s="1"/>
  <c r="Z244" i="1"/>
  <c r="AB244" i="1" s="1"/>
  <c r="Z251" i="1"/>
  <c r="AB251" i="1" s="1"/>
  <c r="Z245" i="1"/>
  <c r="AB245" i="1" s="1"/>
  <c r="Z243" i="1"/>
  <c r="AB243" i="1" s="1"/>
  <c r="AD247" i="1"/>
  <c r="AC247" i="1" s="1"/>
  <c r="AD248" i="1"/>
  <c r="AC248" i="1" s="1"/>
  <c r="P247" i="1"/>
  <c r="K247" i="1"/>
  <c r="Z248" i="1" s="1"/>
  <c r="Z246" i="1"/>
  <c r="AB246" i="1" s="1"/>
  <c r="Z242" i="1"/>
  <c r="AB242" i="1" s="1"/>
  <c r="Z250" i="1"/>
  <c r="Z249" i="1"/>
  <c r="Z247" i="1"/>
  <c r="AA247" i="1" s="1"/>
  <c r="AA251" i="1"/>
  <c r="AE251" i="1" s="1"/>
  <c r="V534" i="1"/>
  <c r="S534" i="1"/>
  <c r="Z534" i="1" s="1"/>
  <c r="V533" i="1"/>
  <c r="S533" i="1"/>
  <c r="AD533" i="1" s="1"/>
  <c r="AC533" i="1" s="1"/>
  <c r="V532" i="1"/>
  <c r="S532" i="1"/>
  <c r="Z532" i="1" s="1"/>
  <c r="V531" i="1"/>
  <c r="S531" i="1"/>
  <c r="AD531" i="1" s="1"/>
  <c r="AC531" i="1" s="1"/>
  <c r="V530" i="1"/>
  <c r="S530" i="1"/>
  <c r="V529" i="1"/>
  <c r="S529" i="1"/>
  <c r="V524" i="1"/>
  <c r="S524" i="1"/>
  <c r="V523" i="1"/>
  <c r="S523" i="1"/>
  <c r="V522" i="1"/>
  <c r="S522" i="1"/>
  <c r="Z522" i="1" s="1"/>
  <c r="V521" i="1"/>
  <c r="S521" i="1"/>
  <c r="AD521" i="1" s="1"/>
  <c r="AC521" i="1" s="1"/>
  <c r="V520" i="1"/>
  <c r="S520" i="1"/>
  <c r="V519" i="1"/>
  <c r="S519" i="1"/>
  <c r="V518" i="1"/>
  <c r="S518" i="1"/>
  <c r="V517" i="1"/>
  <c r="S517" i="1"/>
  <c r="V516" i="1"/>
  <c r="S516" i="1"/>
  <c r="AD516" i="1" s="1"/>
  <c r="AC516" i="1" s="1"/>
  <c r="V515" i="1"/>
  <c r="S515" i="1"/>
  <c r="V514" i="1"/>
  <c r="S514" i="1"/>
  <c r="Z514" i="1" s="1"/>
  <c r="V513" i="1"/>
  <c r="S513" i="1"/>
  <c r="AD513" i="1" s="1"/>
  <c r="AC513" i="1" s="1"/>
  <c r="V512" i="1"/>
  <c r="S512" i="1"/>
  <c r="Z512" i="1" s="1"/>
  <c r="V511" i="1"/>
  <c r="S511" i="1"/>
  <c r="J529" i="1"/>
  <c r="K529" i="1" s="1"/>
  <c r="J523" i="1"/>
  <c r="K523" i="1" s="1"/>
  <c r="J517" i="1"/>
  <c r="J511" i="1"/>
  <c r="M514" i="1"/>
  <c r="M522" i="1"/>
  <c r="M525" i="1"/>
  <c r="M534" i="1"/>
  <c r="M513" i="1"/>
  <c r="M520" i="1"/>
  <c r="M524" i="1"/>
  <c r="M521" i="1"/>
  <c r="M519" i="1"/>
  <c r="M533" i="1"/>
  <c r="M518" i="1"/>
  <c r="M527" i="1"/>
  <c r="M528" i="1"/>
  <c r="M512" i="1"/>
  <c r="M516" i="1"/>
  <c r="M526" i="1"/>
  <c r="M515" i="1"/>
  <c r="M531" i="1"/>
  <c r="M532" i="1"/>
  <c r="M530" i="1"/>
  <c r="AE247" i="1" l="1"/>
  <c r="AA252" i="1"/>
  <c r="AE252" i="1" s="1"/>
  <c r="AB249" i="1"/>
  <c r="AA249" i="1"/>
  <c r="AE249" i="1" s="1"/>
  <c r="AB250" i="1"/>
  <c r="AA250" i="1"/>
  <c r="AE250" i="1" s="1"/>
  <c r="AB248" i="1"/>
  <c r="AA248" i="1"/>
  <c r="AE248" i="1" s="1"/>
  <c r="AB247" i="1"/>
  <c r="Z516" i="1"/>
  <c r="AB516" i="1" s="1"/>
  <c r="AD512" i="1"/>
  <c r="AC512" i="1" s="1"/>
  <c r="AD514" i="1"/>
  <c r="AC514" i="1" s="1"/>
  <c r="AD534" i="1"/>
  <c r="AC534" i="1" s="1"/>
  <c r="AD522" i="1"/>
  <c r="AC522" i="1" s="1"/>
  <c r="Z530" i="1"/>
  <c r="AB530" i="1" s="1"/>
  <c r="Z524" i="1"/>
  <c r="AB524" i="1" s="1"/>
  <c r="AD532" i="1"/>
  <c r="AC532" i="1" s="1"/>
  <c r="AB512" i="1"/>
  <c r="AA512" i="1"/>
  <c r="AB514" i="1"/>
  <c r="AA514" i="1"/>
  <c r="AB532" i="1"/>
  <c r="AA532" i="1"/>
  <c r="AB534" i="1"/>
  <c r="AA534" i="1"/>
  <c r="AB522" i="1"/>
  <c r="AA522" i="1"/>
  <c r="Z513" i="1"/>
  <c r="Z521" i="1"/>
  <c r="Z523" i="1"/>
  <c r="Z529" i="1"/>
  <c r="Z531" i="1"/>
  <c r="Z533" i="1"/>
  <c r="Z515" i="1"/>
  <c r="AD515" i="1"/>
  <c r="AC515" i="1" s="1"/>
  <c r="K517" i="1"/>
  <c r="Z519" i="1" s="1"/>
  <c r="K511" i="1"/>
  <c r="Z511" i="1" s="1"/>
  <c r="Z520" i="1" l="1"/>
  <c r="AB520" i="1" s="1"/>
  <c r="AA516" i="1"/>
  <c r="AE516" i="1" s="1"/>
  <c r="AE514" i="1"/>
  <c r="AE512" i="1"/>
  <c r="AE534" i="1"/>
  <c r="Z518" i="1"/>
  <c r="Z517" i="1"/>
  <c r="AA517" i="1" s="1"/>
  <c r="AA524" i="1"/>
  <c r="AE522" i="1"/>
  <c r="AE532" i="1"/>
  <c r="AA530" i="1"/>
  <c r="AB521" i="1"/>
  <c r="AA521" i="1"/>
  <c r="AE521" i="1" s="1"/>
  <c r="AB513" i="1"/>
  <c r="AA513" i="1"/>
  <c r="AE513" i="1" s="1"/>
  <c r="AB523" i="1"/>
  <c r="AA523" i="1"/>
  <c r="AB519" i="1"/>
  <c r="AA519" i="1"/>
  <c r="AB515" i="1"/>
  <c r="AA515" i="1"/>
  <c r="AE515" i="1" s="1"/>
  <c r="AB511" i="1"/>
  <c r="AA511" i="1"/>
  <c r="AB533" i="1"/>
  <c r="AA533" i="1"/>
  <c r="AE533" i="1" s="1"/>
  <c r="AB531" i="1"/>
  <c r="AA531" i="1"/>
  <c r="AE531" i="1" s="1"/>
  <c r="AB529" i="1"/>
  <c r="AA529" i="1"/>
  <c r="AA520" i="1" l="1"/>
  <c r="AB517" i="1"/>
  <c r="AB518" i="1"/>
  <c r="AA518" i="1"/>
  <c r="M523" i="1"/>
  <c r="N523" i="1" s="1"/>
  <c r="M529" i="1"/>
  <c r="N529" i="1" s="1"/>
  <c r="M511" i="1"/>
  <c r="N511" i="1" s="1"/>
  <c r="M517" i="1"/>
  <c r="N517" i="1" s="1"/>
  <c r="O517" i="1" l="1"/>
  <c r="P517" i="1"/>
  <c r="O511" i="1"/>
  <c r="AD511" i="1" s="1"/>
  <c r="AC511" i="1" s="1"/>
  <c r="AE511" i="1" s="1"/>
  <c r="P511" i="1"/>
  <c r="O529" i="1"/>
  <c r="P529" i="1"/>
  <c r="P523" i="1"/>
  <c r="O523" i="1"/>
  <c r="AD524" i="1" l="1"/>
  <c r="AC524" i="1" s="1"/>
  <c r="AE524" i="1" s="1"/>
  <c r="AD523" i="1"/>
  <c r="AC523" i="1" s="1"/>
  <c r="AE523" i="1" s="1"/>
  <c r="AD530" i="1"/>
  <c r="AC530" i="1" s="1"/>
  <c r="AE530" i="1" s="1"/>
  <c r="AD529" i="1"/>
  <c r="AC529" i="1" s="1"/>
  <c r="AE529" i="1" s="1"/>
  <c r="AD520" i="1"/>
  <c r="AC520" i="1" s="1"/>
  <c r="AE520" i="1" s="1"/>
  <c r="AD518" i="1"/>
  <c r="AC518" i="1" s="1"/>
  <c r="AE518" i="1" s="1"/>
  <c r="AD517" i="1"/>
  <c r="AC517" i="1" s="1"/>
  <c r="AE517" i="1" s="1"/>
  <c r="AD519" i="1"/>
  <c r="AC519" i="1" s="1"/>
  <c r="AE519" i="1" s="1"/>
  <c r="V510" i="1" l="1"/>
  <c r="S510" i="1"/>
  <c r="Z510" i="1" s="1"/>
  <c r="V509" i="1"/>
  <c r="S509" i="1"/>
  <c r="AD509" i="1" s="1"/>
  <c r="AC509" i="1" s="1"/>
  <c r="V508" i="1"/>
  <c r="S508" i="1"/>
  <c r="Z508" i="1" s="1"/>
  <c r="V507" i="1"/>
  <c r="S507" i="1"/>
  <c r="AD507" i="1" s="1"/>
  <c r="AC507" i="1" s="1"/>
  <c r="V506" i="1"/>
  <c r="S506" i="1"/>
  <c r="V505" i="1"/>
  <c r="S505" i="1"/>
  <c r="V504" i="1"/>
  <c r="S504" i="1"/>
  <c r="Z504" i="1" s="1"/>
  <c r="V503" i="1"/>
  <c r="S503" i="1"/>
  <c r="AD503" i="1" s="1"/>
  <c r="AC503" i="1" s="1"/>
  <c r="V502" i="1"/>
  <c r="S502" i="1"/>
  <c r="Z502" i="1" s="1"/>
  <c r="V501" i="1"/>
  <c r="S501" i="1"/>
  <c r="AD501" i="1" s="1"/>
  <c r="AC501" i="1" s="1"/>
  <c r="V500" i="1"/>
  <c r="S500" i="1"/>
  <c r="V499" i="1"/>
  <c r="S499" i="1"/>
  <c r="V498" i="1"/>
  <c r="S498" i="1"/>
  <c r="Z498" i="1" s="1"/>
  <c r="V497" i="1"/>
  <c r="S497" i="1"/>
  <c r="AD497" i="1" s="1"/>
  <c r="AC497" i="1" s="1"/>
  <c r="V496" i="1"/>
  <c r="S496" i="1"/>
  <c r="Z496" i="1" s="1"/>
  <c r="V495" i="1"/>
  <c r="S495" i="1"/>
  <c r="AD495" i="1" s="1"/>
  <c r="AC495" i="1" s="1"/>
  <c r="V494" i="1"/>
  <c r="S494" i="1"/>
  <c r="Z494" i="1" s="1"/>
  <c r="V493" i="1"/>
  <c r="S493" i="1"/>
  <c r="V492" i="1"/>
  <c r="S492" i="1"/>
  <c r="AD492" i="1" s="1"/>
  <c r="AC492" i="1" s="1"/>
  <c r="V491" i="1"/>
  <c r="S491" i="1"/>
  <c r="V490" i="1"/>
  <c r="S490" i="1"/>
  <c r="Z490" i="1" s="1"/>
  <c r="V489" i="1"/>
  <c r="S489" i="1"/>
  <c r="AD489" i="1" s="1"/>
  <c r="AC489" i="1" s="1"/>
  <c r="V488" i="1"/>
  <c r="S488" i="1"/>
  <c r="V487" i="1"/>
  <c r="S487" i="1"/>
  <c r="J505" i="1"/>
  <c r="K505" i="1" s="1"/>
  <c r="J499" i="1"/>
  <c r="J493" i="1"/>
  <c r="J487" i="1"/>
  <c r="K487" i="1" s="1"/>
  <c r="M503" i="1"/>
  <c r="M494" i="1"/>
  <c r="M510" i="1"/>
  <c r="M491" i="1"/>
  <c r="M498" i="1"/>
  <c r="M504" i="1"/>
  <c r="M488" i="1"/>
  <c r="M502" i="1"/>
  <c r="M506" i="1"/>
  <c r="M500" i="1"/>
  <c r="M492" i="1"/>
  <c r="M489" i="1"/>
  <c r="M507" i="1"/>
  <c r="M490" i="1"/>
  <c r="M495" i="1"/>
  <c r="M501" i="1"/>
  <c r="M509" i="1"/>
  <c r="M508" i="1"/>
  <c r="M497" i="1"/>
  <c r="M496" i="1"/>
  <c r="AD498" i="1" l="1"/>
  <c r="AC498" i="1" s="1"/>
  <c r="AD508" i="1"/>
  <c r="AC508" i="1" s="1"/>
  <c r="AD502" i="1"/>
  <c r="AC502" i="1" s="1"/>
  <c r="AD496" i="1"/>
  <c r="AC496" i="1" s="1"/>
  <c r="AD490" i="1"/>
  <c r="AC490" i="1" s="1"/>
  <c r="AD510" i="1"/>
  <c r="AC510" i="1" s="1"/>
  <c r="Z492" i="1"/>
  <c r="AB492" i="1" s="1"/>
  <c r="AD504" i="1"/>
  <c r="AC504" i="1" s="1"/>
  <c r="Z506" i="1"/>
  <c r="AB506" i="1" s="1"/>
  <c r="Z488" i="1"/>
  <c r="AB488" i="1" s="1"/>
  <c r="AD494" i="1"/>
  <c r="AC494" i="1" s="1"/>
  <c r="AB502" i="1"/>
  <c r="AA502" i="1"/>
  <c r="AB498" i="1"/>
  <c r="AA498" i="1"/>
  <c r="AB496" i="1"/>
  <c r="AA496" i="1"/>
  <c r="AB490" i="1"/>
  <c r="AA490" i="1"/>
  <c r="AB510" i="1"/>
  <c r="AA510" i="1"/>
  <c r="AB504" i="1"/>
  <c r="AA504" i="1"/>
  <c r="AB494" i="1"/>
  <c r="AA494" i="1"/>
  <c r="AB508" i="1"/>
  <c r="AA508" i="1"/>
  <c r="Z487" i="1"/>
  <c r="Z489" i="1"/>
  <c r="Z491" i="1"/>
  <c r="Z495" i="1"/>
  <c r="Z497" i="1"/>
  <c r="Z501" i="1"/>
  <c r="Z503" i="1"/>
  <c r="Z505" i="1"/>
  <c r="Z507" i="1"/>
  <c r="Z509" i="1"/>
  <c r="AD491" i="1"/>
  <c r="AC491" i="1" s="1"/>
  <c r="K499" i="1"/>
  <c r="Z500" i="1" s="1"/>
  <c r="K493" i="1"/>
  <c r="Z493" i="1" s="1"/>
  <c r="AE494" i="1" l="1"/>
  <c r="AE504" i="1"/>
  <c r="AA488" i="1"/>
  <c r="Z499" i="1"/>
  <c r="AB499" i="1" s="1"/>
  <c r="AE496" i="1"/>
  <c r="AE498" i="1"/>
  <c r="AE508" i="1"/>
  <c r="AB500" i="1"/>
  <c r="AA500" i="1"/>
  <c r="AA492" i="1"/>
  <c r="AE492" i="1" s="1"/>
  <c r="AA506" i="1"/>
  <c r="AE502" i="1"/>
  <c r="AE510" i="1"/>
  <c r="AE490" i="1"/>
  <c r="AB501" i="1"/>
  <c r="AA501" i="1"/>
  <c r="AE501" i="1" s="1"/>
  <c r="AB497" i="1"/>
  <c r="AA497" i="1"/>
  <c r="AE497" i="1" s="1"/>
  <c r="AB495" i="1"/>
  <c r="AA495" i="1"/>
  <c r="AE495" i="1" s="1"/>
  <c r="AB493" i="1"/>
  <c r="AA493" i="1"/>
  <c r="AB491" i="1"/>
  <c r="AA491" i="1"/>
  <c r="AE491" i="1" s="1"/>
  <c r="AB489" i="1"/>
  <c r="AA489" i="1"/>
  <c r="AE489" i="1" s="1"/>
  <c r="AB487" i="1"/>
  <c r="AA487" i="1"/>
  <c r="AB503" i="1"/>
  <c r="AA503" i="1"/>
  <c r="AE503" i="1" s="1"/>
  <c r="AB509" i="1"/>
  <c r="AA509" i="1"/>
  <c r="AE509" i="1" s="1"/>
  <c r="AB507" i="1"/>
  <c r="AA507" i="1"/>
  <c r="AE507" i="1" s="1"/>
  <c r="AB505" i="1"/>
  <c r="AA505" i="1"/>
  <c r="AA499" i="1" l="1"/>
  <c r="M505" i="1"/>
  <c r="N505" i="1" s="1"/>
  <c r="M499" i="1"/>
  <c r="N499" i="1" s="1"/>
  <c r="M493" i="1"/>
  <c r="N493" i="1" s="1"/>
  <c r="M487" i="1"/>
  <c r="N487" i="1" s="1"/>
  <c r="O499" i="1" l="1"/>
  <c r="P499" i="1"/>
  <c r="O487" i="1"/>
  <c r="P487" i="1"/>
  <c r="O493" i="1"/>
  <c r="AD493" i="1" s="1"/>
  <c r="AC493" i="1" s="1"/>
  <c r="AE493" i="1" s="1"/>
  <c r="P493" i="1"/>
  <c r="P505" i="1"/>
  <c r="O505" i="1"/>
  <c r="AD506" i="1" l="1"/>
  <c r="AC506" i="1" s="1"/>
  <c r="AE506" i="1" s="1"/>
  <c r="AD505" i="1"/>
  <c r="AC505" i="1" s="1"/>
  <c r="AE505" i="1" s="1"/>
  <c r="AD488" i="1"/>
  <c r="AC488" i="1" s="1"/>
  <c r="AE488" i="1" s="1"/>
  <c r="AD487" i="1"/>
  <c r="AC487" i="1" s="1"/>
  <c r="AE487" i="1" s="1"/>
  <c r="AD500" i="1"/>
  <c r="AC500" i="1" s="1"/>
  <c r="AE500" i="1" s="1"/>
  <c r="AD499" i="1"/>
  <c r="AC499" i="1" s="1"/>
  <c r="AE499" i="1" s="1"/>
  <c r="V486" i="1" l="1"/>
  <c r="S486" i="1"/>
  <c r="Z486" i="1" s="1"/>
  <c r="V485" i="1"/>
  <c r="S485" i="1"/>
  <c r="V484" i="1"/>
  <c r="S484" i="1"/>
  <c r="V483" i="1"/>
  <c r="S483" i="1"/>
  <c r="V482" i="1"/>
  <c r="S482" i="1"/>
  <c r="V481" i="1"/>
  <c r="S481" i="1"/>
  <c r="V480" i="1"/>
  <c r="S480" i="1"/>
  <c r="Z480" i="1" s="1"/>
  <c r="V479" i="1"/>
  <c r="S479" i="1"/>
  <c r="AD479" i="1" s="1"/>
  <c r="AC479" i="1" s="1"/>
  <c r="V478" i="1"/>
  <c r="S478" i="1"/>
  <c r="Z478" i="1" s="1"/>
  <c r="V477" i="1"/>
  <c r="S477" i="1"/>
  <c r="V476" i="1"/>
  <c r="S476" i="1"/>
  <c r="V475" i="1"/>
  <c r="S475" i="1"/>
  <c r="V474" i="1"/>
  <c r="S474" i="1"/>
  <c r="Z474" i="1" s="1"/>
  <c r="V473" i="1"/>
  <c r="S473" i="1"/>
  <c r="AD473" i="1" s="1"/>
  <c r="AC473" i="1" s="1"/>
  <c r="V472" i="1"/>
  <c r="S472" i="1"/>
  <c r="Z472" i="1" s="1"/>
  <c r="V471" i="1"/>
  <c r="S471" i="1"/>
  <c r="AD471" i="1" s="1"/>
  <c r="AC471" i="1" s="1"/>
  <c r="V470" i="1"/>
  <c r="S470" i="1"/>
  <c r="V469" i="1"/>
  <c r="S469" i="1"/>
  <c r="V468" i="1"/>
  <c r="S468" i="1"/>
  <c r="Z468" i="1" s="1"/>
  <c r="V467" i="1"/>
  <c r="S467" i="1"/>
  <c r="AD467" i="1" s="1"/>
  <c r="AC467" i="1" s="1"/>
  <c r="V466" i="1"/>
  <c r="S466" i="1"/>
  <c r="Z466" i="1" s="1"/>
  <c r="V465" i="1"/>
  <c r="S465" i="1"/>
  <c r="V464" i="1"/>
  <c r="S464" i="1"/>
  <c r="V463" i="1"/>
  <c r="S463" i="1"/>
  <c r="V462" i="1"/>
  <c r="S462" i="1"/>
  <c r="Z462" i="1" s="1"/>
  <c r="V461" i="1"/>
  <c r="S461" i="1"/>
  <c r="AD461" i="1" s="1"/>
  <c r="AC461" i="1" s="1"/>
  <c r="V460" i="1"/>
  <c r="S460" i="1"/>
  <c r="Z460" i="1" s="1"/>
  <c r="V459" i="1"/>
  <c r="S459" i="1"/>
  <c r="V458" i="1"/>
  <c r="S458" i="1"/>
  <c r="V457" i="1"/>
  <c r="S457" i="1"/>
  <c r="V456" i="1"/>
  <c r="S456" i="1"/>
  <c r="AD456" i="1" s="1"/>
  <c r="AC456" i="1" s="1"/>
  <c r="V455" i="1"/>
  <c r="S455" i="1"/>
  <c r="AD455" i="1" s="1"/>
  <c r="AC455" i="1" s="1"/>
  <c r="V454" i="1"/>
  <c r="S454" i="1"/>
  <c r="V453" i="1"/>
  <c r="S453" i="1"/>
  <c r="V452" i="1"/>
  <c r="S452" i="1"/>
  <c r="V451" i="1"/>
  <c r="S451" i="1"/>
  <c r="V450" i="1"/>
  <c r="S450" i="1"/>
  <c r="AD450" i="1" s="1"/>
  <c r="AC450" i="1" s="1"/>
  <c r="V449" i="1"/>
  <c r="S449" i="1"/>
  <c r="V448" i="1"/>
  <c r="S448" i="1"/>
  <c r="AD448" i="1" s="1"/>
  <c r="AC448" i="1" s="1"/>
  <c r="V447" i="1"/>
  <c r="S447" i="1"/>
  <c r="V446" i="1"/>
  <c r="S446" i="1"/>
  <c r="V445" i="1"/>
  <c r="S445" i="1"/>
  <c r="J481" i="1"/>
  <c r="K481" i="1" s="1"/>
  <c r="J475" i="1"/>
  <c r="K475" i="1" s="1"/>
  <c r="J469" i="1"/>
  <c r="J463" i="1"/>
  <c r="K463" i="1" s="1"/>
  <c r="J457" i="1"/>
  <c r="J451" i="1"/>
  <c r="J445" i="1"/>
  <c r="M448" i="1"/>
  <c r="M455" i="1"/>
  <c r="M450" i="1"/>
  <c r="M462" i="1"/>
  <c r="M483" i="1"/>
  <c r="M470" i="1"/>
  <c r="M482" i="1"/>
  <c r="M460" i="1"/>
  <c r="M453" i="1"/>
  <c r="M486" i="1"/>
  <c r="M466" i="1"/>
  <c r="M449" i="1"/>
  <c r="M476" i="1"/>
  <c r="M464" i="1"/>
  <c r="M468" i="1"/>
  <c r="M471" i="1"/>
  <c r="M456" i="1"/>
  <c r="M458" i="1"/>
  <c r="M473" i="1"/>
  <c r="M480" i="1"/>
  <c r="M478" i="1"/>
  <c r="M452" i="1"/>
  <c r="M474" i="1"/>
  <c r="M479" i="1"/>
  <c r="M477" i="1"/>
  <c r="M459" i="1"/>
  <c r="M446" i="1"/>
  <c r="M461" i="1"/>
  <c r="M472" i="1"/>
  <c r="M485" i="1"/>
  <c r="M484" i="1"/>
  <c r="M454" i="1"/>
  <c r="M465" i="1"/>
  <c r="M447" i="1"/>
  <c r="M467" i="1"/>
  <c r="AD474" i="1" l="1"/>
  <c r="AC474" i="1" s="1"/>
  <c r="AD466" i="1"/>
  <c r="AC466" i="1" s="1"/>
  <c r="AD468" i="1"/>
  <c r="AC468" i="1" s="1"/>
  <c r="AD478" i="1"/>
  <c r="AC478" i="1" s="1"/>
  <c r="AD480" i="1"/>
  <c r="AC480" i="1" s="1"/>
  <c r="AD460" i="1"/>
  <c r="AC460" i="1" s="1"/>
  <c r="Z482" i="1"/>
  <c r="AA482" i="1" s="1"/>
  <c r="Z476" i="1"/>
  <c r="AB476" i="1" s="1"/>
  <c r="AD462" i="1"/>
  <c r="AC462" i="1" s="1"/>
  <c r="Z484" i="1"/>
  <c r="AB484" i="1" s="1"/>
  <c r="Z450" i="1"/>
  <c r="AA450" i="1" s="1"/>
  <c r="AE450" i="1" s="1"/>
  <c r="Z464" i="1"/>
  <c r="AB464" i="1" s="1"/>
  <c r="AD472" i="1"/>
  <c r="AC472" i="1" s="1"/>
  <c r="AD486" i="1"/>
  <c r="AC486" i="1" s="1"/>
  <c r="AB480" i="1"/>
  <c r="AA480" i="1"/>
  <c r="AB460" i="1"/>
  <c r="AA460" i="1"/>
  <c r="AB474" i="1"/>
  <c r="AA474" i="1"/>
  <c r="AB472" i="1"/>
  <c r="AA472" i="1"/>
  <c r="AB468" i="1"/>
  <c r="AA468" i="1"/>
  <c r="AB462" i="1"/>
  <c r="AA462" i="1"/>
  <c r="AB486" i="1"/>
  <c r="AA486" i="1"/>
  <c r="AB466" i="1"/>
  <c r="AA466" i="1"/>
  <c r="AB478" i="1"/>
  <c r="AA478" i="1"/>
  <c r="Z449" i="1"/>
  <c r="Z455" i="1"/>
  <c r="Z461" i="1"/>
  <c r="Z463" i="1"/>
  <c r="Z465" i="1"/>
  <c r="Z467" i="1"/>
  <c r="Z471" i="1"/>
  <c r="Z473" i="1"/>
  <c r="Z475" i="1"/>
  <c r="Z477" i="1"/>
  <c r="Z479" i="1"/>
  <c r="Z481" i="1"/>
  <c r="Z483" i="1"/>
  <c r="Z485" i="1"/>
  <c r="AD449" i="1"/>
  <c r="AC449" i="1" s="1"/>
  <c r="Z448" i="1"/>
  <c r="Z456" i="1"/>
  <c r="K457" i="1"/>
  <c r="Z457" i="1" s="1"/>
  <c r="K469" i="1"/>
  <c r="Z470" i="1" s="1"/>
  <c r="K451" i="1"/>
  <c r="Z453" i="1" s="1"/>
  <c r="K445" i="1"/>
  <c r="Z446" i="1" s="1"/>
  <c r="AE474" i="1" l="1"/>
  <c r="AB450" i="1"/>
  <c r="AE478" i="1"/>
  <c r="AA476" i="1"/>
  <c r="AE466" i="1"/>
  <c r="AE468" i="1"/>
  <c r="AE486" i="1"/>
  <c r="AE462" i="1"/>
  <c r="Z447" i="1"/>
  <c r="AB447" i="1" s="1"/>
  <c r="AB482" i="1"/>
  <c r="AA464" i="1"/>
  <c r="AE480" i="1"/>
  <c r="AE460" i="1"/>
  <c r="Z451" i="1"/>
  <c r="AA451" i="1" s="1"/>
  <c r="AB470" i="1"/>
  <c r="AA470" i="1"/>
  <c r="Z445" i="1"/>
  <c r="AA445" i="1" s="1"/>
  <c r="Z458" i="1"/>
  <c r="Z469" i="1"/>
  <c r="AB469" i="1" s="1"/>
  <c r="Z454" i="1"/>
  <c r="AB454" i="1" s="1"/>
  <c r="AA484" i="1"/>
  <c r="Z452" i="1"/>
  <c r="AB452" i="1" s="1"/>
  <c r="Z459" i="1"/>
  <c r="AB459" i="1" s="1"/>
  <c r="AE472" i="1"/>
  <c r="AB481" i="1"/>
  <c r="AA481" i="1"/>
  <c r="AB471" i="1"/>
  <c r="AA471" i="1"/>
  <c r="AE471" i="1" s="1"/>
  <c r="AB467" i="1"/>
  <c r="AA467" i="1"/>
  <c r="AE467" i="1" s="1"/>
  <c r="AB463" i="1"/>
  <c r="AA463" i="1"/>
  <c r="AA449" i="1"/>
  <c r="AE449" i="1" s="1"/>
  <c r="AB449" i="1"/>
  <c r="AB479" i="1"/>
  <c r="AA479" i="1"/>
  <c r="AE479" i="1" s="1"/>
  <c r="AB477" i="1"/>
  <c r="AA477" i="1"/>
  <c r="AB475" i="1"/>
  <c r="AA475" i="1"/>
  <c r="AB465" i="1"/>
  <c r="AA465" i="1"/>
  <c r="AB448" i="1"/>
  <c r="AA448" i="1"/>
  <c r="AE448" i="1" s="1"/>
  <c r="AB461" i="1"/>
  <c r="AA461" i="1"/>
  <c r="AE461" i="1" s="1"/>
  <c r="AB457" i="1"/>
  <c r="AA457" i="1"/>
  <c r="AB473" i="1"/>
  <c r="AA473" i="1"/>
  <c r="AE473" i="1" s="1"/>
  <c r="AA455" i="1"/>
  <c r="AE455" i="1" s="1"/>
  <c r="AB455" i="1"/>
  <c r="AB485" i="1"/>
  <c r="AA485" i="1"/>
  <c r="AB453" i="1"/>
  <c r="AA453" i="1"/>
  <c r="AB456" i="1"/>
  <c r="AA456" i="1"/>
  <c r="AE456" i="1" s="1"/>
  <c r="AB446" i="1"/>
  <c r="AA446" i="1"/>
  <c r="AB483" i="1"/>
  <c r="AA483" i="1"/>
  <c r="AA447" i="1" l="1"/>
  <c r="AB445" i="1"/>
  <c r="AB451" i="1"/>
  <c r="AA459" i="1"/>
  <c r="AA469" i="1"/>
  <c r="AA454" i="1"/>
  <c r="AB458" i="1"/>
  <c r="AA458" i="1"/>
  <c r="AA452" i="1"/>
  <c r="M481" i="1"/>
  <c r="N481" i="1" s="1"/>
  <c r="M445" i="1"/>
  <c r="N445" i="1" s="1"/>
  <c r="M457" i="1"/>
  <c r="N457" i="1" s="1"/>
  <c r="M469" i="1"/>
  <c r="N469" i="1" s="1"/>
  <c r="M451" i="1"/>
  <c r="N451" i="1" s="1"/>
  <c r="M475" i="1"/>
  <c r="N475" i="1" s="1"/>
  <c r="M463" i="1"/>
  <c r="N463" i="1" s="1"/>
  <c r="O463" i="1" l="1"/>
  <c r="P463" i="1"/>
  <c r="O475" i="1"/>
  <c r="P475" i="1"/>
  <c r="O451" i="1"/>
  <c r="P451" i="1"/>
  <c r="O469" i="1"/>
  <c r="P469" i="1"/>
  <c r="O457" i="1"/>
  <c r="P457" i="1"/>
  <c r="O445" i="1"/>
  <c r="P445" i="1"/>
  <c r="P481" i="1"/>
  <c r="O481" i="1"/>
  <c r="AD482" i="1" l="1"/>
  <c r="AC482" i="1" s="1"/>
  <c r="AE482" i="1" s="1"/>
  <c r="AD484" i="1"/>
  <c r="AC484" i="1" s="1"/>
  <c r="AE484" i="1" s="1"/>
  <c r="AD485" i="1"/>
  <c r="AC485" i="1" s="1"/>
  <c r="AE485" i="1" s="1"/>
  <c r="AD481" i="1"/>
  <c r="AC481" i="1" s="1"/>
  <c r="AE481" i="1" s="1"/>
  <c r="AD483" i="1"/>
  <c r="AC483" i="1" s="1"/>
  <c r="AE483" i="1" s="1"/>
  <c r="AD445" i="1"/>
  <c r="AC445" i="1" s="1"/>
  <c r="AE445" i="1" s="1"/>
  <c r="AD447" i="1"/>
  <c r="AC447" i="1" s="1"/>
  <c r="AE447" i="1" s="1"/>
  <c r="AD446" i="1"/>
  <c r="AC446" i="1" s="1"/>
  <c r="AE446" i="1" s="1"/>
  <c r="AD458" i="1"/>
  <c r="AC458" i="1" s="1"/>
  <c r="AE458" i="1" s="1"/>
  <c r="AD459" i="1"/>
  <c r="AC459" i="1" s="1"/>
  <c r="AE459" i="1" s="1"/>
  <c r="AD457" i="1"/>
  <c r="AC457" i="1" s="1"/>
  <c r="AE457" i="1" s="1"/>
  <c r="AD469" i="1"/>
  <c r="AC469" i="1" s="1"/>
  <c r="AE469" i="1" s="1"/>
  <c r="AD470" i="1"/>
  <c r="AC470" i="1" s="1"/>
  <c r="AE470" i="1" s="1"/>
  <c r="AD452" i="1"/>
  <c r="AC452" i="1" s="1"/>
  <c r="AE452" i="1" s="1"/>
  <c r="AD451" i="1"/>
  <c r="AC451" i="1" s="1"/>
  <c r="AE451" i="1" s="1"/>
  <c r="AD453" i="1"/>
  <c r="AC453" i="1" s="1"/>
  <c r="AE453" i="1" s="1"/>
  <c r="AD454" i="1"/>
  <c r="AC454" i="1" s="1"/>
  <c r="AE454" i="1" s="1"/>
  <c r="AD476" i="1"/>
  <c r="AC476" i="1" s="1"/>
  <c r="AE476" i="1" s="1"/>
  <c r="AD477" i="1"/>
  <c r="AC477" i="1" s="1"/>
  <c r="AE477" i="1" s="1"/>
  <c r="AD475" i="1"/>
  <c r="AC475" i="1" s="1"/>
  <c r="AE475" i="1" s="1"/>
  <c r="AD464" i="1"/>
  <c r="AC464" i="1" s="1"/>
  <c r="AE464" i="1" s="1"/>
  <c r="AD463" i="1"/>
  <c r="AC463" i="1" s="1"/>
  <c r="AE463" i="1" s="1"/>
  <c r="AD465" i="1"/>
  <c r="AC465" i="1" s="1"/>
  <c r="AE465" i="1" s="1"/>
  <c r="V444" i="1" l="1"/>
  <c r="S444" i="1"/>
  <c r="AD444" i="1" s="1"/>
  <c r="AC444" i="1" s="1"/>
  <c r="V443" i="1"/>
  <c r="S443" i="1"/>
  <c r="AD443" i="1" s="1"/>
  <c r="AC443" i="1" s="1"/>
  <c r="V442" i="1"/>
  <c r="S442" i="1"/>
  <c r="AD442" i="1" s="1"/>
  <c r="AC442" i="1" s="1"/>
  <c r="V441" i="1"/>
  <c r="S441" i="1"/>
  <c r="V440" i="1"/>
  <c r="S440" i="1"/>
  <c r="V439" i="1"/>
  <c r="S439" i="1"/>
  <c r="V438" i="1"/>
  <c r="S438" i="1"/>
  <c r="V437" i="1"/>
  <c r="S437" i="1"/>
  <c r="V436" i="1"/>
  <c r="S436" i="1"/>
  <c r="V435" i="1"/>
  <c r="S435" i="1"/>
  <c r="V434" i="1"/>
  <c r="S434" i="1"/>
  <c r="V433" i="1"/>
  <c r="S433" i="1"/>
  <c r="V432" i="1"/>
  <c r="S432" i="1"/>
  <c r="AD432" i="1" s="1"/>
  <c r="AC432" i="1" s="1"/>
  <c r="V431" i="1"/>
  <c r="S431" i="1"/>
  <c r="V430" i="1"/>
  <c r="S430" i="1"/>
  <c r="V429" i="1"/>
  <c r="S429" i="1"/>
  <c r="V428" i="1"/>
  <c r="S428" i="1"/>
  <c r="V427" i="1"/>
  <c r="S427" i="1"/>
  <c r="J439" i="1"/>
  <c r="K439" i="1" s="1"/>
  <c r="J433" i="1"/>
  <c r="J427" i="1"/>
  <c r="M442" i="1"/>
  <c r="M437" i="1"/>
  <c r="M440" i="1"/>
  <c r="M436" i="1"/>
  <c r="M429" i="1"/>
  <c r="M441" i="1"/>
  <c r="M444" i="1"/>
  <c r="M438" i="1"/>
  <c r="M431" i="1"/>
  <c r="M430" i="1"/>
  <c r="M428" i="1"/>
  <c r="M435" i="1"/>
  <c r="M432" i="1"/>
  <c r="M434" i="1"/>
  <c r="M443" i="1"/>
  <c r="Z432" i="1" l="1"/>
  <c r="AB432" i="1" s="1"/>
  <c r="Z431" i="1"/>
  <c r="Z439" i="1"/>
  <c r="Z441" i="1"/>
  <c r="Z443" i="1"/>
  <c r="AD431" i="1"/>
  <c r="AC431" i="1" s="1"/>
  <c r="Z440" i="1"/>
  <c r="Z442" i="1"/>
  <c r="Z444" i="1"/>
  <c r="K433" i="1"/>
  <c r="Z436" i="1" s="1"/>
  <c r="K427" i="1"/>
  <c r="Z427" i="1" s="1"/>
  <c r="V426" i="1"/>
  <c r="S426" i="1"/>
  <c r="AD426" i="1" s="1"/>
  <c r="AC426" i="1" s="1"/>
  <c r="V425" i="1"/>
  <c r="S425" i="1"/>
  <c r="AD425" i="1" s="1"/>
  <c r="AC425" i="1" s="1"/>
  <c r="V424" i="1"/>
  <c r="S424" i="1"/>
  <c r="AD424" i="1" s="1"/>
  <c r="AC424" i="1" s="1"/>
  <c r="V423" i="1"/>
  <c r="S423" i="1"/>
  <c r="AD423" i="1" s="1"/>
  <c r="AC423" i="1" s="1"/>
  <c r="V422" i="1"/>
  <c r="S422" i="1"/>
  <c r="AD422" i="1" s="1"/>
  <c r="AC422" i="1" s="1"/>
  <c r="V421" i="1"/>
  <c r="S421" i="1"/>
  <c r="V420" i="1"/>
  <c r="S420" i="1"/>
  <c r="AD420" i="1" s="1"/>
  <c r="AC420" i="1" s="1"/>
  <c r="V419" i="1"/>
  <c r="S419" i="1"/>
  <c r="AD419" i="1" s="1"/>
  <c r="AC419" i="1" s="1"/>
  <c r="V418" i="1"/>
  <c r="S418" i="1"/>
  <c r="AD418" i="1" s="1"/>
  <c r="AC418" i="1" s="1"/>
  <c r="V417" i="1"/>
  <c r="S417" i="1"/>
  <c r="V416" i="1"/>
  <c r="S416" i="1"/>
  <c r="V415" i="1"/>
  <c r="S415" i="1"/>
  <c r="V414" i="1"/>
  <c r="S414" i="1"/>
  <c r="AD414" i="1" s="1"/>
  <c r="AC414" i="1" s="1"/>
  <c r="V413" i="1"/>
  <c r="S413" i="1"/>
  <c r="AD413" i="1" s="1"/>
  <c r="AC413" i="1" s="1"/>
  <c r="V412" i="1"/>
  <c r="S412" i="1"/>
  <c r="AD412" i="1" s="1"/>
  <c r="AC412" i="1" s="1"/>
  <c r="V411" i="1"/>
  <c r="S411" i="1"/>
  <c r="V410" i="1"/>
  <c r="S410" i="1"/>
  <c r="V409" i="1"/>
  <c r="S409" i="1"/>
  <c r="V408" i="1"/>
  <c r="S408" i="1"/>
  <c r="AD408" i="1" s="1"/>
  <c r="AC408" i="1" s="1"/>
  <c r="V407" i="1"/>
  <c r="S407" i="1"/>
  <c r="AD407" i="1" s="1"/>
  <c r="AC407" i="1" s="1"/>
  <c r="V406" i="1"/>
  <c r="S406" i="1"/>
  <c r="AD406" i="1" s="1"/>
  <c r="AC406" i="1" s="1"/>
  <c r="V405" i="1"/>
  <c r="S405" i="1"/>
  <c r="AD405" i="1" s="1"/>
  <c r="AC405" i="1" s="1"/>
  <c r="V404" i="1"/>
  <c r="S404" i="1"/>
  <c r="AD404" i="1" s="1"/>
  <c r="AC404" i="1" s="1"/>
  <c r="V403" i="1"/>
  <c r="S403" i="1"/>
  <c r="V402" i="1"/>
  <c r="S402" i="1"/>
  <c r="AD402" i="1" s="1"/>
  <c r="AC402" i="1" s="1"/>
  <c r="V401" i="1"/>
  <c r="S401" i="1"/>
  <c r="AD401" i="1" s="1"/>
  <c r="AC401" i="1" s="1"/>
  <c r="V400" i="1"/>
  <c r="S400" i="1"/>
  <c r="AD400" i="1" s="1"/>
  <c r="AC400" i="1" s="1"/>
  <c r="V399" i="1"/>
  <c r="S399" i="1"/>
  <c r="V398" i="1"/>
  <c r="S398" i="1"/>
  <c r="V397" i="1"/>
  <c r="S397" i="1"/>
  <c r="V396" i="1"/>
  <c r="S396" i="1"/>
  <c r="AD396" i="1" s="1"/>
  <c r="AC396" i="1" s="1"/>
  <c r="V395" i="1"/>
  <c r="S395" i="1"/>
  <c r="AD395" i="1" s="1"/>
  <c r="AC395" i="1" s="1"/>
  <c r="V394" i="1"/>
  <c r="S394" i="1"/>
  <c r="AD394" i="1" s="1"/>
  <c r="AC394" i="1" s="1"/>
  <c r="V393" i="1"/>
  <c r="S393" i="1"/>
  <c r="AD393" i="1" s="1"/>
  <c r="AC393" i="1" s="1"/>
  <c r="V392" i="1"/>
  <c r="S392" i="1"/>
  <c r="V391" i="1"/>
  <c r="S391" i="1"/>
  <c r="V390" i="1"/>
  <c r="S390" i="1"/>
  <c r="AD390" i="1" s="1"/>
  <c r="AC390" i="1" s="1"/>
  <c r="V389" i="1"/>
  <c r="S389" i="1"/>
  <c r="AD389" i="1" s="1"/>
  <c r="AC389" i="1" s="1"/>
  <c r="V388" i="1"/>
  <c r="S388" i="1"/>
  <c r="AD388" i="1" s="1"/>
  <c r="AC388" i="1" s="1"/>
  <c r="V387" i="1"/>
  <c r="S387" i="1"/>
  <c r="AD387" i="1" s="1"/>
  <c r="AC387" i="1" s="1"/>
  <c r="V386" i="1"/>
  <c r="S386" i="1"/>
  <c r="AD386" i="1" s="1"/>
  <c r="AC386" i="1" s="1"/>
  <c r="V385" i="1"/>
  <c r="S385" i="1"/>
  <c r="V384" i="1"/>
  <c r="S384" i="1"/>
  <c r="AD384" i="1" s="1"/>
  <c r="AC384" i="1" s="1"/>
  <c r="V383" i="1"/>
  <c r="S383" i="1"/>
  <c r="AD383" i="1" s="1"/>
  <c r="AC383" i="1" s="1"/>
  <c r="V382" i="1"/>
  <c r="S382" i="1"/>
  <c r="AD382" i="1" s="1"/>
  <c r="AC382" i="1" s="1"/>
  <c r="V381" i="1"/>
  <c r="S381" i="1"/>
  <c r="AD381" i="1" s="1"/>
  <c r="AC381" i="1" s="1"/>
  <c r="V380" i="1"/>
  <c r="S380" i="1"/>
  <c r="V379" i="1"/>
  <c r="S379" i="1"/>
  <c r="V378" i="1"/>
  <c r="S378" i="1"/>
  <c r="AD378" i="1" s="1"/>
  <c r="AC378" i="1" s="1"/>
  <c r="V377" i="1"/>
  <c r="S377" i="1"/>
  <c r="AD377" i="1" s="1"/>
  <c r="AC377" i="1" s="1"/>
  <c r="V376" i="1"/>
  <c r="S376" i="1"/>
  <c r="AD376" i="1" s="1"/>
  <c r="AC376" i="1" s="1"/>
  <c r="V375" i="1"/>
  <c r="S375" i="1"/>
  <c r="AD375" i="1" s="1"/>
  <c r="AC375" i="1" s="1"/>
  <c r="V374" i="1"/>
  <c r="S374" i="1"/>
  <c r="V373" i="1"/>
  <c r="S373" i="1"/>
  <c r="V372" i="1"/>
  <c r="S372" i="1"/>
  <c r="AD372" i="1" s="1"/>
  <c r="AC372" i="1" s="1"/>
  <c r="V371" i="1"/>
  <c r="S371" i="1"/>
  <c r="AD371" i="1" s="1"/>
  <c r="AC371" i="1" s="1"/>
  <c r="V370" i="1"/>
  <c r="S370" i="1"/>
  <c r="AD370" i="1" s="1"/>
  <c r="AC370" i="1" s="1"/>
  <c r="V369" i="1"/>
  <c r="S369" i="1"/>
  <c r="AD369" i="1" s="1"/>
  <c r="AC369" i="1" s="1"/>
  <c r="V368" i="1"/>
  <c r="S368" i="1"/>
  <c r="AD368" i="1" s="1"/>
  <c r="AC368" i="1" s="1"/>
  <c r="V367" i="1"/>
  <c r="S367" i="1"/>
  <c r="V366" i="1"/>
  <c r="S366" i="1"/>
  <c r="AD366" i="1" s="1"/>
  <c r="AC366" i="1" s="1"/>
  <c r="V365" i="1"/>
  <c r="S365" i="1"/>
  <c r="AD365" i="1" s="1"/>
  <c r="AC365" i="1" s="1"/>
  <c r="V364" i="1"/>
  <c r="S364" i="1"/>
  <c r="AD364" i="1" s="1"/>
  <c r="AC364" i="1" s="1"/>
  <c r="V363" i="1"/>
  <c r="S363" i="1"/>
  <c r="AD363" i="1" s="1"/>
  <c r="AC363" i="1" s="1"/>
  <c r="V362" i="1"/>
  <c r="S362" i="1"/>
  <c r="V361" i="1"/>
  <c r="S361" i="1"/>
  <c r="V360" i="1"/>
  <c r="S360" i="1"/>
  <c r="AD360" i="1" s="1"/>
  <c r="AC360" i="1" s="1"/>
  <c r="V359" i="1"/>
  <c r="S359" i="1"/>
  <c r="AD359" i="1" s="1"/>
  <c r="AC359" i="1" s="1"/>
  <c r="V358" i="1"/>
  <c r="S358" i="1"/>
  <c r="AD358" i="1" s="1"/>
  <c r="AC358" i="1" s="1"/>
  <c r="V357" i="1"/>
  <c r="S357" i="1"/>
  <c r="AD357" i="1" s="1"/>
  <c r="AC357" i="1" s="1"/>
  <c r="V356" i="1"/>
  <c r="S356" i="1"/>
  <c r="V355" i="1"/>
  <c r="S355" i="1"/>
  <c r="V354" i="1"/>
  <c r="S354" i="1"/>
  <c r="AD354" i="1" s="1"/>
  <c r="AC354" i="1" s="1"/>
  <c r="V353" i="1"/>
  <c r="S353" i="1"/>
  <c r="AD353" i="1" s="1"/>
  <c r="AC353" i="1" s="1"/>
  <c r="V352" i="1"/>
  <c r="S352" i="1"/>
  <c r="AD352" i="1" s="1"/>
  <c r="AC352" i="1" s="1"/>
  <c r="V351" i="1"/>
  <c r="S351" i="1"/>
  <c r="AD351" i="1" s="1"/>
  <c r="AC351" i="1" s="1"/>
  <c r="V350" i="1"/>
  <c r="S350" i="1"/>
  <c r="V349" i="1"/>
  <c r="S349" i="1"/>
  <c r="V348" i="1"/>
  <c r="S348" i="1"/>
  <c r="AD348" i="1" s="1"/>
  <c r="AC348" i="1" s="1"/>
  <c r="V347" i="1"/>
  <c r="S347" i="1"/>
  <c r="AD347" i="1" s="1"/>
  <c r="AC347" i="1" s="1"/>
  <c r="V346" i="1"/>
  <c r="S346" i="1"/>
  <c r="AD346" i="1" s="1"/>
  <c r="AC346" i="1" s="1"/>
  <c r="V345" i="1"/>
  <c r="S345" i="1"/>
  <c r="AD345" i="1" s="1"/>
  <c r="AC345" i="1" s="1"/>
  <c r="V344" i="1"/>
  <c r="S344" i="1"/>
  <c r="V343" i="1"/>
  <c r="S343" i="1"/>
  <c r="V342" i="1"/>
  <c r="S342" i="1"/>
  <c r="AD342" i="1" s="1"/>
  <c r="AC342" i="1" s="1"/>
  <c r="V341" i="1"/>
  <c r="S341" i="1"/>
  <c r="AD341" i="1" s="1"/>
  <c r="AC341" i="1" s="1"/>
  <c r="V340" i="1"/>
  <c r="S340" i="1"/>
  <c r="AD340" i="1" s="1"/>
  <c r="AC340" i="1" s="1"/>
  <c r="V339" i="1"/>
  <c r="S339" i="1"/>
  <c r="AD339" i="1" s="1"/>
  <c r="AC339" i="1" s="1"/>
  <c r="V338" i="1"/>
  <c r="S338" i="1"/>
  <c r="AD338" i="1" s="1"/>
  <c r="AC338" i="1" s="1"/>
  <c r="V337" i="1"/>
  <c r="S337" i="1"/>
  <c r="V336" i="1"/>
  <c r="S336" i="1"/>
  <c r="AD336" i="1" s="1"/>
  <c r="AC336" i="1" s="1"/>
  <c r="V335" i="1"/>
  <c r="S335" i="1"/>
  <c r="AD335" i="1" s="1"/>
  <c r="AC335" i="1" s="1"/>
  <c r="V334" i="1"/>
  <c r="S334" i="1"/>
  <c r="Z334" i="1" s="1"/>
  <c r="V333" i="1"/>
  <c r="S333" i="1"/>
  <c r="AD333" i="1" s="1"/>
  <c r="AC333" i="1" s="1"/>
  <c r="V332" i="1"/>
  <c r="S332" i="1"/>
  <c r="V331" i="1"/>
  <c r="S331" i="1"/>
  <c r="V330" i="1"/>
  <c r="S330" i="1"/>
  <c r="AD330" i="1" s="1"/>
  <c r="AC330" i="1" s="1"/>
  <c r="V329" i="1"/>
  <c r="S329" i="1"/>
  <c r="V328" i="1"/>
  <c r="S328" i="1"/>
  <c r="AD328" i="1" s="1"/>
  <c r="AC328" i="1" s="1"/>
  <c r="V327" i="1"/>
  <c r="S327" i="1"/>
  <c r="AD327" i="1" s="1"/>
  <c r="AC327" i="1" s="1"/>
  <c r="V326" i="1"/>
  <c r="S326" i="1"/>
  <c r="V325" i="1"/>
  <c r="S325" i="1"/>
  <c r="J421" i="1"/>
  <c r="K421" i="1" s="1"/>
  <c r="J415" i="1"/>
  <c r="K415" i="1" s="1"/>
  <c r="J409" i="1"/>
  <c r="K409" i="1" s="1"/>
  <c r="J403" i="1"/>
  <c r="J397" i="1"/>
  <c r="K397" i="1" s="1"/>
  <c r="J391" i="1"/>
  <c r="J385" i="1"/>
  <c r="K385" i="1" s="1"/>
  <c r="J379" i="1"/>
  <c r="K379" i="1" s="1"/>
  <c r="J373" i="1"/>
  <c r="J367" i="1"/>
  <c r="K367" i="1" s="1"/>
  <c r="J361" i="1"/>
  <c r="K361" i="1" s="1"/>
  <c r="J355" i="1"/>
  <c r="K355" i="1" s="1"/>
  <c r="J349" i="1"/>
  <c r="K349" i="1" s="1"/>
  <c r="J343" i="1"/>
  <c r="K343" i="1" s="1"/>
  <c r="J337" i="1"/>
  <c r="J331" i="1"/>
  <c r="K331" i="1" s="1"/>
  <c r="I325" i="1"/>
  <c r="J325" i="1" s="1"/>
  <c r="M389" i="1"/>
  <c r="M423" i="1"/>
  <c r="M376" i="1"/>
  <c r="M422" i="1"/>
  <c r="M425" i="1"/>
  <c r="M345" i="1"/>
  <c r="M341" i="1"/>
  <c r="M332" i="1"/>
  <c r="M378" i="1"/>
  <c r="M339" i="1"/>
  <c r="M353" i="1"/>
  <c r="M420" i="1"/>
  <c r="M347" i="1"/>
  <c r="M362" i="1"/>
  <c r="M366" i="1"/>
  <c r="M348" i="1"/>
  <c r="M336" i="1"/>
  <c r="M424" i="1"/>
  <c r="M413" i="1"/>
  <c r="M330" i="1"/>
  <c r="M356" i="1"/>
  <c r="M392" i="1"/>
  <c r="M419" i="1"/>
  <c r="M328" i="1"/>
  <c r="M411" i="1"/>
  <c r="M370" i="1"/>
  <c r="M407" i="1"/>
  <c r="M387" i="1"/>
  <c r="M388" i="1"/>
  <c r="M372" i="1"/>
  <c r="M380" i="1"/>
  <c r="M410" i="1"/>
  <c r="M382" i="1"/>
  <c r="M329" i="1"/>
  <c r="M406" i="1"/>
  <c r="M368" i="1"/>
  <c r="M363" i="1"/>
  <c r="M326" i="1"/>
  <c r="M408" i="1"/>
  <c r="M340" i="1"/>
  <c r="M357" i="1"/>
  <c r="M344" i="1"/>
  <c r="M386" i="1"/>
  <c r="M371" i="1"/>
  <c r="M334" i="1"/>
  <c r="M377" i="1"/>
  <c r="M404" i="1"/>
  <c r="M381" i="1"/>
  <c r="M416" i="1"/>
  <c r="M338" i="1"/>
  <c r="M396" i="1"/>
  <c r="M399" i="1"/>
  <c r="M354" i="1"/>
  <c r="M402" i="1"/>
  <c r="M393" i="1"/>
  <c r="M365" i="1"/>
  <c r="M394" i="1"/>
  <c r="M384" i="1"/>
  <c r="M327" i="1"/>
  <c r="M351" i="1"/>
  <c r="M352" i="1"/>
  <c r="M405" i="1"/>
  <c r="M359" i="1"/>
  <c r="M417" i="1"/>
  <c r="M350" i="1"/>
  <c r="M426" i="1"/>
  <c r="M398" i="1"/>
  <c r="M360" i="1"/>
  <c r="M418" i="1"/>
  <c r="M369" i="1"/>
  <c r="M335" i="1"/>
  <c r="M346" i="1"/>
  <c r="M412" i="1"/>
  <c r="M400" i="1"/>
  <c r="M374" i="1"/>
  <c r="M383" i="1"/>
  <c r="M358" i="1"/>
  <c r="M395" i="1"/>
  <c r="M390" i="1"/>
  <c r="M364" i="1"/>
  <c r="M342" i="1"/>
  <c r="M401" i="1"/>
  <c r="M333" i="1"/>
  <c r="M375" i="1"/>
  <c r="M414" i="1"/>
  <c r="AA432" i="1" l="1"/>
  <c r="AE432" i="1" s="1"/>
  <c r="Z435" i="1"/>
  <c r="AA435" i="1" s="1"/>
  <c r="Z430" i="1"/>
  <c r="AA430" i="1" s="1"/>
  <c r="Z428" i="1"/>
  <c r="AB428" i="1" s="1"/>
  <c r="Z330" i="1"/>
  <c r="AB330" i="1" s="1"/>
  <c r="Z424" i="1"/>
  <c r="AB424" i="1" s="1"/>
  <c r="Z437" i="1"/>
  <c r="AB437" i="1" s="1"/>
  <c r="AB436" i="1"/>
  <c r="AA436" i="1"/>
  <c r="Z426" i="1"/>
  <c r="AB426" i="1" s="1"/>
  <c r="Z433" i="1"/>
  <c r="AB433" i="1" s="1"/>
  <c r="Z429" i="1"/>
  <c r="AA429" i="1" s="1"/>
  <c r="Z350" i="1"/>
  <c r="AA350" i="1" s="1"/>
  <c r="Z434" i="1"/>
  <c r="AB434" i="1" s="1"/>
  <c r="Z438" i="1"/>
  <c r="AB438" i="1" s="1"/>
  <c r="AB439" i="1"/>
  <c r="AA439" i="1"/>
  <c r="AB431" i="1"/>
  <c r="AA431" i="1"/>
  <c r="AE431" i="1" s="1"/>
  <c r="AB444" i="1"/>
  <c r="AA444" i="1"/>
  <c r="AE444" i="1" s="1"/>
  <c r="AB442" i="1"/>
  <c r="AA442" i="1"/>
  <c r="AE442" i="1" s="1"/>
  <c r="AB440" i="1"/>
  <c r="AA440" i="1"/>
  <c r="AB427" i="1"/>
  <c r="AA427" i="1"/>
  <c r="AB443" i="1"/>
  <c r="AA443" i="1"/>
  <c r="AE443" i="1" s="1"/>
  <c r="AB441" i="1"/>
  <c r="AA441" i="1"/>
  <c r="AB334" i="1"/>
  <c r="AA334" i="1"/>
  <c r="Z327" i="1"/>
  <c r="Z329" i="1"/>
  <c r="Z331" i="1"/>
  <c r="Z333" i="1"/>
  <c r="Z335" i="1"/>
  <c r="Z339" i="1"/>
  <c r="Z341" i="1"/>
  <c r="Z343" i="1"/>
  <c r="Z345" i="1"/>
  <c r="Z347" i="1"/>
  <c r="Z349" i="1"/>
  <c r="Z351" i="1"/>
  <c r="Z353" i="1"/>
  <c r="Z355" i="1"/>
  <c r="Z357" i="1"/>
  <c r="Z359" i="1"/>
  <c r="Z361" i="1"/>
  <c r="Z363" i="1"/>
  <c r="Z365" i="1"/>
  <c r="Z367" i="1"/>
  <c r="Z369" i="1"/>
  <c r="Z371" i="1"/>
  <c r="Z375" i="1"/>
  <c r="Z377" i="1"/>
  <c r="Z379" i="1"/>
  <c r="Z381" i="1"/>
  <c r="Z383" i="1"/>
  <c r="Z385" i="1"/>
  <c r="Z387" i="1"/>
  <c r="Z389" i="1"/>
  <c r="Z393" i="1"/>
  <c r="Z395" i="1"/>
  <c r="Z397" i="1"/>
  <c r="Z399" i="1"/>
  <c r="Z401" i="1"/>
  <c r="Z405" i="1"/>
  <c r="Z407" i="1"/>
  <c r="Z409" i="1"/>
  <c r="Z413" i="1"/>
  <c r="Z415" i="1"/>
  <c r="Z417" i="1"/>
  <c r="Z419" i="1"/>
  <c r="Z421" i="1"/>
  <c r="Z423" i="1"/>
  <c r="Z425" i="1"/>
  <c r="AD329" i="1"/>
  <c r="AC329" i="1" s="1"/>
  <c r="Z332" i="1"/>
  <c r="Z342" i="1"/>
  <c r="Z346" i="1"/>
  <c r="Z348" i="1"/>
  <c r="Z352" i="1"/>
  <c r="Z354" i="1"/>
  <c r="Z356" i="1"/>
  <c r="Z358" i="1"/>
  <c r="Z360" i="1"/>
  <c r="Z362" i="1"/>
  <c r="Z364" i="1"/>
  <c r="Z366" i="1"/>
  <c r="Z368" i="1"/>
  <c r="Z370" i="1"/>
  <c r="Z372" i="1"/>
  <c r="Z376" i="1"/>
  <c r="Z378" i="1"/>
  <c r="Z380" i="1"/>
  <c r="Z382" i="1"/>
  <c r="Z384" i="1"/>
  <c r="Z386" i="1"/>
  <c r="Z388" i="1"/>
  <c r="Z390" i="1"/>
  <c r="Z394" i="1"/>
  <c r="Z396" i="1"/>
  <c r="Z398" i="1"/>
  <c r="Z400" i="1"/>
  <c r="Z402" i="1"/>
  <c r="Z406" i="1"/>
  <c r="Z408" i="1"/>
  <c r="Z410" i="1"/>
  <c r="Z412" i="1"/>
  <c r="Z414" i="1"/>
  <c r="Z416" i="1"/>
  <c r="Z418" i="1"/>
  <c r="Z420" i="1"/>
  <c r="Z422" i="1"/>
  <c r="Z344" i="1"/>
  <c r="Z328" i="1"/>
  <c r="Z340" i="1"/>
  <c r="Z338" i="1"/>
  <c r="Z336" i="1"/>
  <c r="AD334" i="1"/>
  <c r="AC334" i="1" s="1"/>
  <c r="K325" i="1"/>
  <c r="Z325" i="1" s="1"/>
  <c r="K337" i="1"/>
  <c r="Z337" i="1" s="1"/>
  <c r="K373" i="1"/>
  <c r="Z374" i="1" s="1"/>
  <c r="K391" i="1"/>
  <c r="Z392" i="1" s="1"/>
  <c r="K403" i="1"/>
  <c r="Z404" i="1" s="1"/>
  <c r="AA428" i="1" l="1"/>
  <c r="AA424" i="1"/>
  <c r="AE424" i="1" s="1"/>
  <c r="AA426" i="1"/>
  <c r="AE426" i="1" s="1"/>
  <c r="AB435" i="1"/>
  <c r="AB430" i="1"/>
  <c r="AA330" i="1"/>
  <c r="AE330" i="1" s="1"/>
  <c r="AB350" i="1"/>
  <c r="AB429" i="1"/>
  <c r="Z411" i="1"/>
  <c r="AB411" i="1" s="1"/>
  <c r="Z391" i="1"/>
  <c r="AB391" i="1" s="1"/>
  <c r="AA437" i="1"/>
  <c r="Z326" i="1"/>
  <c r="AA326" i="1" s="1"/>
  <c r="AA434" i="1"/>
  <c r="AA438" i="1"/>
  <c r="AA433" i="1"/>
  <c r="Z373" i="1"/>
  <c r="AB373" i="1" s="1"/>
  <c r="Z403" i="1"/>
  <c r="AB403" i="1" s="1"/>
  <c r="AB418" i="1"/>
  <c r="AA418" i="1"/>
  <c r="AE418" i="1" s="1"/>
  <c r="AB377" i="1"/>
  <c r="AA377" i="1"/>
  <c r="AE377" i="1" s="1"/>
  <c r="AB352" i="1"/>
  <c r="AA352" i="1"/>
  <c r="AE352" i="1" s="1"/>
  <c r="AB407" i="1"/>
  <c r="AA407" i="1"/>
  <c r="AE407" i="1" s="1"/>
  <c r="AB375" i="1"/>
  <c r="AA375" i="1"/>
  <c r="AE375" i="1" s="1"/>
  <c r="AB343" i="1"/>
  <c r="AA343" i="1"/>
  <c r="AB414" i="1"/>
  <c r="AA414" i="1"/>
  <c r="AE414" i="1" s="1"/>
  <c r="AB382" i="1"/>
  <c r="AA382" i="1"/>
  <c r="AE382" i="1" s="1"/>
  <c r="AB348" i="1"/>
  <c r="AA348" i="1"/>
  <c r="AE348" i="1" s="1"/>
  <c r="AB405" i="1"/>
  <c r="AA405" i="1"/>
  <c r="AE405" i="1" s="1"/>
  <c r="AB341" i="1"/>
  <c r="AA341" i="1"/>
  <c r="AE341" i="1" s="1"/>
  <c r="AB412" i="1"/>
  <c r="AA412" i="1"/>
  <c r="AE412" i="1" s="1"/>
  <c r="AB380" i="1"/>
  <c r="AA380" i="1"/>
  <c r="AB346" i="1"/>
  <c r="AA346" i="1"/>
  <c r="AE346" i="1" s="1"/>
  <c r="AB371" i="1"/>
  <c r="AA371" i="1"/>
  <c r="AE371" i="1" s="1"/>
  <c r="AB339" i="1"/>
  <c r="AA339" i="1"/>
  <c r="AE339" i="1" s="1"/>
  <c r="AB416" i="1"/>
  <c r="AA416" i="1"/>
  <c r="AB390" i="1"/>
  <c r="AA390" i="1"/>
  <c r="AE390" i="1" s="1"/>
  <c r="AB342" i="1"/>
  <c r="AA342" i="1"/>
  <c r="AE342" i="1" s="1"/>
  <c r="AB408" i="1"/>
  <c r="AA408" i="1"/>
  <c r="AE408" i="1" s="1"/>
  <c r="AB376" i="1"/>
  <c r="AA376" i="1"/>
  <c r="AE376" i="1" s="1"/>
  <c r="AB332" i="1"/>
  <c r="AA332" i="1"/>
  <c r="AB399" i="1"/>
  <c r="AA399" i="1"/>
  <c r="AB367" i="1"/>
  <c r="AA367" i="1"/>
  <c r="AB335" i="1"/>
  <c r="AA335" i="1"/>
  <c r="AE335" i="1" s="1"/>
  <c r="AB336" i="1"/>
  <c r="AA336" i="1"/>
  <c r="AE336" i="1" s="1"/>
  <c r="AB406" i="1"/>
  <c r="AA406" i="1"/>
  <c r="AE406" i="1" s="1"/>
  <c r="AB374" i="1"/>
  <c r="AA374" i="1"/>
  <c r="AB397" i="1"/>
  <c r="AA397" i="1"/>
  <c r="AB365" i="1"/>
  <c r="AA365" i="1"/>
  <c r="AE365" i="1" s="1"/>
  <c r="AB333" i="1"/>
  <c r="AA333" i="1"/>
  <c r="AE333" i="1" s="1"/>
  <c r="AE334" i="1"/>
  <c r="AB356" i="1"/>
  <c r="AA356" i="1"/>
  <c r="AB384" i="1"/>
  <c r="AA384" i="1"/>
  <c r="AE384" i="1" s="1"/>
  <c r="AB331" i="1"/>
  <c r="AA331" i="1"/>
  <c r="AB358" i="1"/>
  <c r="AA358" i="1"/>
  <c r="AE358" i="1" s="1"/>
  <c r="AB345" i="1"/>
  <c r="AA345" i="1"/>
  <c r="AE345" i="1" s="1"/>
  <c r="AB378" i="1"/>
  <c r="AA378" i="1"/>
  <c r="AE378" i="1" s="1"/>
  <c r="AB337" i="1"/>
  <c r="AA337" i="1"/>
  <c r="AB338" i="1"/>
  <c r="AA338" i="1"/>
  <c r="AE338" i="1" s="1"/>
  <c r="AB404" i="1"/>
  <c r="AA404" i="1"/>
  <c r="AE404" i="1" s="1"/>
  <c r="AB372" i="1"/>
  <c r="AA372" i="1"/>
  <c r="AE372" i="1" s="1"/>
  <c r="AB395" i="1"/>
  <c r="AA395" i="1"/>
  <c r="AE395" i="1" s="1"/>
  <c r="AB363" i="1"/>
  <c r="AA363" i="1"/>
  <c r="AE363" i="1" s="1"/>
  <c r="AB326" i="1"/>
  <c r="AB402" i="1"/>
  <c r="AA402" i="1"/>
  <c r="AE402" i="1" s="1"/>
  <c r="AB370" i="1"/>
  <c r="AA370" i="1"/>
  <c r="AE370" i="1" s="1"/>
  <c r="AB425" i="1"/>
  <c r="AA425" i="1"/>
  <c r="AE425" i="1" s="1"/>
  <c r="AB393" i="1"/>
  <c r="AA393" i="1"/>
  <c r="AE393" i="1" s="1"/>
  <c r="AB361" i="1"/>
  <c r="AA361" i="1"/>
  <c r="AB329" i="1"/>
  <c r="AA329" i="1"/>
  <c r="AE329" i="1" s="1"/>
  <c r="AB354" i="1"/>
  <c r="AA354" i="1"/>
  <c r="AE354" i="1" s="1"/>
  <c r="AB400" i="1"/>
  <c r="AA400" i="1"/>
  <c r="AE400" i="1" s="1"/>
  <c r="AB420" i="1"/>
  <c r="AA420" i="1"/>
  <c r="AE420" i="1" s="1"/>
  <c r="AB386" i="1"/>
  <c r="AA386" i="1"/>
  <c r="AE386" i="1" s="1"/>
  <c r="AB410" i="1"/>
  <c r="AA410" i="1"/>
  <c r="AB401" i="1"/>
  <c r="AA401" i="1"/>
  <c r="AE401" i="1" s="1"/>
  <c r="AB340" i="1"/>
  <c r="AA340" i="1"/>
  <c r="AE340" i="1" s="1"/>
  <c r="AB423" i="1"/>
  <c r="AA423" i="1"/>
  <c r="AE423" i="1" s="1"/>
  <c r="AB359" i="1"/>
  <c r="AA359" i="1"/>
  <c r="AE359" i="1" s="1"/>
  <c r="AB328" i="1"/>
  <c r="AA328" i="1"/>
  <c r="AE328" i="1" s="1"/>
  <c r="AB421" i="1"/>
  <c r="AA421" i="1"/>
  <c r="AB389" i="1"/>
  <c r="AA389" i="1"/>
  <c r="AE389" i="1" s="1"/>
  <c r="AB357" i="1"/>
  <c r="AA357" i="1"/>
  <c r="AE357" i="1" s="1"/>
  <c r="AB325" i="1"/>
  <c r="AA325" i="1"/>
  <c r="AB422" i="1"/>
  <c r="AA422" i="1"/>
  <c r="AE422" i="1" s="1"/>
  <c r="AB369" i="1"/>
  <c r="AA369" i="1"/>
  <c r="AE369" i="1" s="1"/>
  <c r="AB368" i="1"/>
  <c r="AA368" i="1"/>
  <c r="AE368" i="1" s="1"/>
  <c r="AA391" i="1"/>
  <c r="AB327" i="1"/>
  <c r="AA327" i="1"/>
  <c r="AE327" i="1" s="1"/>
  <c r="AB398" i="1"/>
  <c r="AA398" i="1"/>
  <c r="AB366" i="1"/>
  <c r="AA366" i="1"/>
  <c r="AE366" i="1" s="1"/>
  <c r="AB396" i="1"/>
  <c r="AA396" i="1"/>
  <c r="AE396" i="1" s="1"/>
  <c r="AB364" i="1"/>
  <c r="AA364" i="1"/>
  <c r="AE364" i="1" s="1"/>
  <c r="AB419" i="1"/>
  <c r="AA419" i="1"/>
  <c r="AE419" i="1" s="1"/>
  <c r="AB387" i="1"/>
  <c r="AA387" i="1"/>
  <c r="AE387" i="1" s="1"/>
  <c r="AB355" i="1"/>
  <c r="AA355" i="1"/>
  <c r="AB409" i="1"/>
  <c r="AA409" i="1"/>
  <c r="AB394" i="1"/>
  <c r="AA394" i="1"/>
  <c r="AE394" i="1" s="1"/>
  <c r="AB362" i="1"/>
  <c r="AA362" i="1"/>
  <c r="AB417" i="1"/>
  <c r="AA417" i="1"/>
  <c r="AB385" i="1"/>
  <c r="AA385" i="1"/>
  <c r="AB353" i="1"/>
  <c r="AA353" i="1"/>
  <c r="AE353" i="1" s="1"/>
  <c r="AB344" i="1"/>
  <c r="AA344" i="1"/>
  <c r="AB392" i="1"/>
  <c r="AA392" i="1"/>
  <c r="AB360" i="1"/>
  <c r="AA360" i="1"/>
  <c r="AE360" i="1" s="1"/>
  <c r="AB415" i="1"/>
  <c r="AA415" i="1"/>
  <c r="AB383" i="1"/>
  <c r="AA383" i="1"/>
  <c r="AE383" i="1" s="1"/>
  <c r="AB351" i="1"/>
  <c r="AA351" i="1"/>
  <c r="AE351" i="1" s="1"/>
  <c r="AB413" i="1"/>
  <c r="AA413" i="1"/>
  <c r="AE413" i="1" s="1"/>
  <c r="AB381" i="1"/>
  <c r="AA381" i="1"/>
  <c r="AE381" i="1" s="1"/>
  <c r="AB349" i="1"/>
  <c r="AA349" i="1"/>
  <c r="AB388" i="1"/>
  <c r="AA388" i="1"/>
  <c r="AE388" i="1" s="1"/>
  <c r="AB379" i="1"/>
  <c r="AA379" i="1"/>
  <c r="AB347" i="1"/>
  <c r="AA347" i="1"/>
  <c r="AE347" i="1" s="1"/>
  <c r="AA411" i="1" l="1"/>
  <c r="AA373" i="1"/>
  <c r="AA403" i="1"/>
  <c r="M373" i="1"/>
  <c r="N373" i="1" s="1"/>
  <c r="M379" i="1"/>
  <c r="N379" i="1" s="1"/>
  <c r="M415" i="1"/>
  <c r="N415" i="1" s="1"/>
  <c r="M397" i="1"/>
  <c r="N397" i="1" s="1"/>
  <c r="M343" i="1"/>
  <c r="N343" i="1" s="1"/>
  <c r="M421" i="1"/>
  <c r="N421" i="1" s="1"/>
  <c r="M325" i="1"/>
  <c r="N325" i="1" s="1"/>
  <c r="M403" i="1"/>
  <c r="N403" i="1" s="1"/>
  <c r="M385" i="1"/>
  <c r="N385" i="1" s="1"/>
  <c r="M367" i="1"/>
  <c r="N367" i="1" s="1"/>
  <c r="M349" i="1"/>
  <c r="N349" i="1" s="1"/>
  <c r="M355" i="1"/>
  <c r="N355" i="1" s="1"/>
  <c r="M331" i="1"/>
  <c r="N331" i="1" s="1"/>
  <c r="M409" i="1"/>
  <c r="N409" i="1" s="1"/>
  <c r="M391" i="1"/>
  <c r="N391" i="1" s="1"/>
  <c r="M337" i="1"/>
  <c r="N337" i="1" s="1"/>
  <c r="M361" i="1"/>
  <c r="N361" i="1" s="1"/>
  <c r="O337" i="1" l="1"/>
  <c r="AD337" i="1" s="1"/>
  <c r="AC337" i="1" s="1"/>
  <c r="AE337" i="1" s="1"/>
  <c r="P337" i="1"/>
  <c r="O391" i="1"/>
  <c r="P391" i="1"/>
  <c r="P409" i="1"/>
  <c r="O409" i="1"/>
  <c r="P331" i="1"/>
  <c r="O331" i="1"/>
  <c r="O355" i="1"/>
  <c r="P355" i="1"/>
  <c r="P349" i="1"/>
  <c r="O349" i="1"/>
  <c r="P367" i="1"/>
  <c r="O367" i="1"/>
  <c r="AD367" i="1" s="1"/>
  <c r="AC367" i="1" s="1"/>
  <c r="AE367" i="1" s="1"/>
  <c r="O385" i="1"/>
  <c r="AD385" i="1" s="1"/>
  <c r="AC385" i="1" s="1"/>
  <c r="AE385" i="1" s="1"/>
  <c r="P385" i="1"/>
  <c r="O403" i="1"/>
  <c r="AD403" i="1" s="1"/>
  <c r="AC403" i="1" s="1"/>
  <c r="AE403" i="1" s="1"/>
  <c r="P403" i="1"/>
  <c r="O325" i="1"/>
  <c r="P325" i="1"/>
  <c r="P421" i="1"/>
  <c r="O421" i="1"/>
  <c r="AD421" i="1" s="1"/>
  <c r="AC421" i="1" s="1"/>
  <c r="AE421" i="1" s="1"/>
  <c r="P343" i="1"/>
  <c r="O343" i="1"/>
  <c r="O397" i="1"/>
  <c r="P397" i="1"/>
  <c r="O415" i="1"/>
  <c r="P415" i="1"/>
  <c r="P379" i="1"/>
  <c r="O379" i="1"/>
  <c r="O361" i="1"/>
  <c r="P361" i="1"/>
  <c r="O373" i="1"/>
  <c r="P373" i="1"/>
  <c r="AD361" i="1" l="1"/>
  <c r="AC361" i="1" s="1"/>
  <c r="AE361" i="1" s="1"/>
  <c r="AD362" i="1"/>
  <c r="AC362" i="1" s="1"/>
  <c r="AE362" i="1" s="1"/>
  <c r="AD379" i="1"/>
  <c r="AC379" i="1" s="1"/>
  <c r="AE379" i="1" s="1"/>
  <c r="AD380" i="1"/>
  <c r="AC380" i="1" s="1"/>
  <c r="AE380" i="1" s="1"/>
  <c r="AD350" i="1"/>
  <c r="AC350" i="1" s="1"/>
  <c r="AE350" i="1" s="1"/>
  <c r="AD349" i="1"/>
  <c r="AC349" i="1" s="1"/>
  <c r="AE349" i="1" s="1"/>
  <c r="AD416" i="1"/>
  <c r="AC416" i="1" s="1"/>
  <c r="AE416" i="1" s="1"/>
  <c r="AD417" i="1"/>
  <c r="AC417" i="1" s="1"/>
  <c r="AE417" i="1" s="1"/>
  <c r="AD415" i="1"/>
  <c r="AC415" i="1" s="1"/>
  <c r="AE415" i="1" s="1"/>
  <c r="AD398" i="1"/>
  <c r="AC398" i="1" s="1"/>
  <c r="AE398" i="1" s="1"/>
  <c r="AD397" i="1"/>
  <c r="AC397" i="1" s="1"/>
  <c r="AE397" i="1" s="1"/>
  <c r="AD399" i="1"/>
  <c r="AC399" i="1" s="1"/>
  <c r="AE399" i="1" s="1"/>
  <c r="AD355" i="1"/>
  <c r="AC355" i="1" s="1"/>
  <c r="AE355" i="1" s="1"/>
  <c r="AD356" i="1"/>
  <c r="AC356" i="1" s="1"/>
  <c r="AE356" i="1" s="1"/>
  <c r="AD344" i="1"/>
  <c r="AC344" i="1" s="1"/>
  <c r="AE344" i="1" s="1"/>
  <c r="AD343" i="1"/>
  <c r="AC343" i="1" s="1"/>
  <c r="AE343" i="1" s="1"/>
  <c r="AD331" i="1"/>
  <c r="AC331" i="1" s="1"/>
  <c r="AE331" i="1" s="1"/>
  <c r="AD332" i="1"/>
  <c r="AC332" i="1" s="1"/>
  <c r="AE332" i="1" s="1"/>
  <c r="AD411" i="1"/>
  <c r="AC411" i="1" s="1"/>
  <c r="AE411" i="1" s="1"/>
  <c r="AD409" i="1"/>
  <c r="AC409" i="1" s="1"/>
  <c r="AE409" i="1" s="1"/>
  <c r="AD410" i="1"/>
  <c r="AC410" i="1" s="1"/>
  <c r="AE410" i="1" s="1"/>
  <c r="AD326" i="1"/>
  <c r="AC326" i="1" s="1"/>
  <c r="AE326" i="1" s="1"/>
  <c r="AD325" i="1"/>
  <c r="AC325" i="1" s="1"/>
  <c r="AE325" i="1" s="1"/>
  <c r="AD392" i="1"/>
  <c r="AC392" i="1" s="1"/>
  <c r="AE392" i="1" s="1"/>
  <c r="AD391" i="1"/>
  <c r="AC391" i="1" s="1"/>
  <c r="AE391" i="1" s="1"/>
  <c r="AD374" i="1"/>
  <c r="AC374" i="1" s="1"/>
  <c r="AE374" i="1" s="1"/>
  <c r="AD373" i="1"/>
  <c r="AC373" i="1" s="1"/>
  <c r="AE373" i="1" s="1"/>
  <c r="V324" i="1" l="1"/>
  <c r="S324" i="1"/>
  <c r="AD324" i="1" s="1"/>
  <c r="AC324" i="1" s="1"/>
  <c r="V323" i="1"/>
  <c r="S323" i="1"/>
  <c r="Z323" i="1" s="1"/>
  <c r="V322" i="1"/>
  <c r="S322" i="1"/>
  <c r="AD322" i="1" s="1"/>
  <c r="AC322" i="1" s="1"/>
  <c r="V321" i="1"/>
  <c r="S321" i="1"/>
  <c r="Z321" i="1" s="1"/>
  <c r="V320" i="1"/>
  <c r="S320" i="1"/>
  <c r="V319" i="1"/>
  <c r="S319" i="1"/>
  <c r="J319" i="1"/>
  <c r="K319" i="1" s="1"/>
  <c r="M322" i="1"/>
  <c r="M320" i="1"/>
  <c r="M324" i="1"/>
  <c r="M323" i="1"/>
  <c r="M321" i="1"/>
  <c r="AD321" i="1" l="1"/>
  <c r="AC321" i="1" s="1"/>
  <c r="Z319" i="1"/>
  <c r="AB319" i="1" s="1"/>
  <c r="AD323" i="1"/>
  <c r="AC323" i="1" s="1"/>
  <c r="Z324" i="1"/>
  <c r="AB324" i="1" s="1"/>
  <c r="AB321" i="1"/>
  <c r="AA321" i="1"/>
  <c r="AB323" i="1"/>
  <c r="AA323" i="1"/>
  <c r="AE323" i="1" s="1"/>
  <c r="Z320" i="1"/>
  <c r="Z322" i="1"/>
  <c r="AA324" i="1" l="1"/>
  <c r="AE324" i="1" s="1"/>
  <c r="AE321" i="1"/>
  <c r="AA319" i="1"/>
  <c r="AA322" i="1"/>
  <c r="AE322" i="1" s="1"/>
  <c r="AB322" i="1"/>
  <c r="AB320" i="1"/>
  <c r="AA320" i="1"/>
  <c r="M319" i="1" l="1"/>
  <c r="N319" i="1" s="1"/>
  <c r="O319" i="1" l="1"/>
  <c r="P319" i="1"/>
  <c r="AD319" i="1" l="1"/>
  <c r="AC319" i="1" s="1"/>
  <c r="AE319" i="1" s="1"/>
  <c r="AD320" i="1"/>
  <c r="AC320" i="1" s="1"/>
  <c r="AE320" i="1" s="1"/>
  <c r="V318" i="1" l="1"/>
  <c r="S318" i="1"/>
  <c r="AD318" i="1" s="1"/>
  <c r="AC318" i="1" s="1"/>
  <c r="V317" i="1"/>
  <c r="S317" i="1"/>
  <c r="AD317" i="1" s="1"/>
  <c r="AC317" i="1" s="1"/>
  <c r="V316" i="1"/>
  <c r="S316" i="1"/>
  <c r="V315" i="1"/>
  <c r="S315" i="1"/>
  <c r="V314" i="1"/>
  <c r="S314" i="1"/>
  <c r="V313" i="1"/>
  <c r="S313" i="1"/>
  <c r="V312" i="1"/>
  <c r="S312" i="1"/>
  <c r="AD312" i="1" s="1"/>
  <c r="AC312" i="1" s="1"/>
  <c r="V311" i="1"/>
  <c r="S311" i="1"/>
  <c r="Z311" i="1" s="1"/>
  <c r="V310" i="1"/>
  <c r="S310" i="1"/>
  <c r="V309" i="1"/>
  <c r="S309" i="1"/>
  <c r="V308" i="1"/>
  <c r="S308" i="1"/>
  <c r="V307" i="1"/>
  <c r="S307" i="1"/>
  <c r="V306" i="1"/>
  <c r="S306" i="1"/>
  <c r="Z306" i="1" s="1"/>
  <c r="AB306" i="1" s="1"/>
  <c r="V305" i="1"/>
  <c r="S305" i="1"/>
  <c r="Z305" i="1" s="1"/>
  <c r="V304" i="1"/>
  <c r="S304" i="1"/>
  <c r="Z304" i="1" s="1"/>
  <c r="V303" i="1"/>
  <c r="S303" i="1"/>
  <c r="V302" i="1"/>
  <c r="S302" i="1"/>
  <c r="V301" i="1"/>
  <c r="S301" i="1"/>
  <c r="V300" i="1"/>
  <c r="S300" i="1"/>
  <c r="Z300" i="1" s="1"/>
  <c r="V299" i="1"/>
  <c r="S299" i="1"/>
  <c r="Z299" i="1" s="1"/>
  <c r="V298" i="1"/>
  <c r="S298" i="1"/>
  <c r="Z298" i="1" s="1"/>
  <c r="V297" i="1"/>
  <c r="S297" i="1"/>
  <c r="Z297" i="1" s="1"/>
  <c r="V296" i="1"/>
  <c r="S296" i="1"/>
  <c r="Z296" i="1" s="1"/>
  <c r="V295" i="1"/>
  <c r="S295" i="1"/>
  <c r="V294" i="1"/>
  <c r="S294" i="1"/>
  <c r="Z294" i="1" s="1"/>
  <c r="V293" i="1"/>
  <c r="S293" i="1"/>
  <c r="Z293" i="1" s="1"/>
  <c r="V292" i="1"/>
  <c r="S292" i="1"/>
  <c r="Z292" i="1" s="1"/>
  <c r="V291" i="1"/>
  <c r="S291" i="1"/>
  <c r="Z291" i="1" s="1"/>
  <c r="V290" i="1"/>
  <c r="S290" i="1"/>
  <c r="Z290" i="1" s="1"/>
  <c r="V289" i="1"/>
  <c r="S289" i="1"/>
  <c r="V288" i="1"/>
  <c r="S288" i="1"/>
  <c r="Z288" i="1" s="1"/>
  <c r="V287" i="1"/>
  <c r="S287" i="1"/>
  <c r="Z287" i="1" s="1"/>
  <c r="V286" i="1"/>
  <c r="S286" i="1"/>
  <c r="Z286" i="1" s="1"/>
  <c r="V285" i="1"/>
  <c r="S285" i="1"/>
  <c r="Z285" i="1" s="1"/>
  <c r="V284" i="1"/>
  <c r="S284" i="1"/>
  <c r="Z284" i="1" s="1"/>
  <c r="V283" i="1"/>
  <c r="S283" i="1"/>
  <c r="V282" i="1"/>
  <c r="S282" i="1"/>
  <c r="AD282" i="1" s="1"/>
  <c r="AC282" i="1" s="1"/>
  <c r="V281" i="1"/>
  <c r="S281" i="1"/>
  <c r="V280" i="1"/>
  <c r="S280" i="1"/>
  <c r="Z280" i="1" s="1"/>
  <c r="V279" i="1"/>
  <c r="S279" i="1"/>
  <c r="Z279" i="1" s="1"/>
  <c r="V278" i="1"/>
  <c r="S278" i="1"/>
  <c r="V277" i="1"/>
  <c r="S277" i="1"/>
  <c r="J313" i="1"/>
  <c r="K313" i="1" s="1"/>
  <c r="J307" i="1"/>
  <c r="J301" i="1"/>
  <c r="J295" i="1"/>
  <c r="K295" i="1" s="1"/>
  <c r="J289" i="1"/>
  <c r="J283" i="1"/>
  <c r="K283" i="1" s="1"/>
  <c r="J277" i="1"/>
  <c r="K277" i="1" s="1"/>
  <c r="M310" i="1"/>
  <c r="M298" i="1"/>
  <c r="M303" i="1"/>
  <c r="M284" i="1"/>
  <c r="M316" i="1"/>
  <c r="M312" i="1"/>
  <c r="M279" i="1"/>
  <c r="M294" i="1"/>
  <c r="M281" i="1"/>
  <c r="M300" i="1"/>
  <c r="M308" i="1"/>
  <c r="M288" i="1"/>
  <c r="M309" i="1"/>
  <c r="M278" i="1"/>
  <c r="M311" i="1"/>
  <c r="M286" i="1"/>
  <c r="M304" i="1"/>
  <c r="M317" i="1"/>
  <c r="M292" i="1"/>
  <c r="M314" i="1"/>
  <c r="M291" i="1"/>
  <c r="M315" i="1"/>
  <c r="M306" i="1"/>
  <c r="M299" i="1"/>
  <c r="M282" i="1"/>
  <c r="M297" i="1"/>
  <c r="M302" i="1"/>
  <c r="M293" i="1"/>
  <c r="M280" i="1"/>
  <c r="M318" i="1"/>
  <c r="M305" i="1"/>
  <c r="M296" i="1"/>
  <c r="M290" i="1"/>
  <c r="M287" i="1"/>
  <c r="M285" i="1"/>
  <c r="Z313" i="1" l="1"/>
  <c r="AA313" i="1" s="1"/>
  <c r="AD306" i="1"/>
  <c r="AC306" i="1" s="1"/>
  <c r="AD300" i="1"/>
  <c r="AC300" i="1" s="1"/>
  <c r="Z282" i="1"/>
  <c r="Z295" i="1"/>
  <c r="AA295" i="1" s="1"/>
  <c r="Z314" i="1"/>
  <c r="AB314" i="1" s="1"/>
  <c r="Z277" i="1"/>
  <c r="AA277" i="1" s="1"/>
  <c r="Z315" i="1"/>
  <c r="AB315" i="1" s="1"/>
  <c r="AD297" i="1"/>
  <c r="AC297" i="1" s="1"/>
  <c r="Z316" i="1"/>
  <c r="AB316" i="1" s="1"/>
  <c r="AD296" i="1"/>
  <c r="AC296" i="1" s="1"/>
  <c r="AD285" i="1"/>
  <c r="AC285" i="1" s="1"/>
  <c r="AD286" i="1"/>
  <c r="AC286" i="1" s="1"/>
  <c r="AD304" i="1"/>
  <c r="AC304" i="1" s="1"/>
  <c r="AD298" i="1"/>
  <c r="AC298" i="1" s="1"/>
  <c r="Z317" i="1"/>
  <c r="AB317" i="1" s="1"/>
  <c r="AD292" i="1"/>
  <c r="AC292" i="1" s="1"/>
  <c r="AD287" i="1"/>
  <c r="AC287" i="1" s="1"/>
  <c r="AD311" i="1"/>
  <c r="AC311" i="1" s="1"/>
  <c r="AD291" i="1"/>
  <c r="AC291" i="1" s="1"/>
  <c r="AD281" i="1"/>
  <c r="AC281" i="1" s="1"/>
  <c r="AD293" i="1"/>
  <c r="AC293" i="1" s="1"/>
  <c r="AD305" i="1"/>
  <c r="AC305" i="1" s="1"/>
  <c r="Z278" i="1"/>
  <c r="AB278" i="1" s="1"/>
  <c r="AD290" i="1"/>
  <c r="AC290" i="1" s="1"/>
  <c r="AD279" i="1"/>
  <c r="AC279" i="1" s="1"/>
  <c r="AD299" i="1"/>
  <c r="AC299" i="1" s="1"/>
  <c r="AD288" i="1"/>
  <c r="AC288" i="1" s="1"/>
  <c r="Z312" i="1"/>
  <c r="AB312" i="1" s="1"/>
  <c r="Z318" i="1"/>
  <c r="AB318" i="1" s="1"/>
  <c r="Z283" i="1"/>
  <c r="AB283" i="1" s="1"/>
  <c r="AD294" i="1"/>
  <c r="AC294" i="1" s="1"/>
  <c r="AB313" i="1"/>
  <c r="AB284" i="1"/>
  <c r="AA284" i="1"/>
  <c r="AB290" i="1"/>
  <c r="AA290" i="1"/>
  <c r="AB296" i="1"/>
  <c r="AA296" i="1"/>
  <c r="AB292" i="1"/>
  <c r="AA292" i="1"/>
  <c r="AE292" i="1" s="1"/>
  <c r="AB291" i="1"/>
  <c r="AA291" i="1"/>
  <c r="AB297" i="1"/>
  <c r="AA297" i="1"/>
  <c r="AB285" i="1"/>
  <c r="AA285" i="1"/>
  <c r="AB279" i="1"/>
  <c r="AA279" i="1"/>
  <c r="AB286" i="1"/>
  <c r="AA286" i="1"/>
  <c r="AB298" i="1"/>
  <c r="AA298" i="1"/>
  <c r="AB287" i="1"/>
  <c r="AA287" i="1"/>
  <c r="AB311" i="1"/>
  <c r="AA311" i="1"/>
  <c r="AE311" i="1" s="1"/>
  <c r="AB282" i="1"/>
  <c r="AA282" i="1"/>
  <c r="AE282" i="1" s="1"/>
  <c r="AB293" i="1"/>
  <c r="AA293" i="1"/>
  <c r="AB305" i="1"/>
  <c r="AA305" i="1"/>
  <c r="AB304" i="1"/>
  <c r="AA304" i="1"/>
  <c r="AB280" i="1"/>
  <c r="AA280" i="1"/>
  <c r="AB299" i="1"/>
  <c r="AA299" i="1"/>
  <c r="AB288" i="1"/>
  <c r="AA288" i="1"/>
  <c r="AB294" i="1"/>
  <c r="AA294" i="1"/>
  <c r="AB300" i="1"/>
  <c r="AA300" i="1"/>
  <c r="AE300" i="1" s="1"/>
  <c r="AD280" i="1"/>
  <c r="AC280" i="1" s="1"/>
  <c r="AD284" i="1"/>
  <c r="AC284" i="1" s="1"/>
  <c r="Z281" i="1"/>
  <c r="AA306" i="1"/>
  <c r="AE306" i="1" s="1"/>
  <c r="K301" i="1"/>
  <c r="Z301" i="1" s="1"/>
  <c r="K307" i="1"/>
  <c r="Z307" i="1" s="1"/>
  <c r="K289" i="1"/>
  <c r="Z289" i="1" s="1"/>
  <c r="AE287" i="1" l="1"/>
  <c r="AA314" i="1"/>
  <c r="AB277" i="1"/>
  <c r="AE294" i="1"/>
  <c r="AE285" i="1"/>
  <c r="AE279" i="1"/>
  <c r="AA317" i="1"/>
  <c r="AE317" i="1" s="1"/>
  <c r="AE293" i="1"/>
  <c r="AE297" i="1"/>
  <c r="Z310" i="1"/>
  <c r="AA310" i="1" s="1"/>
  <c r="AA283" i="1"/>
  <c r="AA315" i="1"/>
  <c r="AE298" i="1"/>
  <c r="AE291" i="1"/>
  <c r="AB295" i="1"/>
  <c r="AA307" i="1"/>
  <c r="AB307" i="1"/>
  <c r="AA289" i="1"/>
  <c r="AB289" i="1"/>
  <c r="AB301" i="1"/>
  <c r="AA301" i="1"/>
  <c r="AA278" i="1"/>
  <c r="AE284" i="1"/>
  <c r="Z309" i="1"/>
  <c r="AE288" i="1"/>
  <c r="Z303" i="1"/>
  <c r="Z308" i="1"/>
  <c r="AE296" i="1"/>
  <c r="AE280" i="1"/>
  <c r="AA318" i="1"/>
  <c r="AE318" i="1" s="1"/>
  <c r="AA312" i="1"/>
  <c r="AE312" i="1" s="1"/>
  <c r="AE304" i="1"/>
  <c r="AA316" i="1"/>
  <c r="Z302" i="1"/>
  <c r="AE299" i="1"/>
  <c r="AE305" i="1"/>
  <c r="AE286" i="1"/>
  <c r="AE290" i="1"/>
  <c r="AB281" i="1"/>
  <c r="AA281" i="1"/>
  <c r="AE281" i="1" s="1"/>
  <c r="AB310" i="1" l="1"/>
  <c r="AB308" i="1"/>
  <c r="AA308" i="1"/>
  <c r="AB309" i="1"/>
  <c r="AA309" i="1"/>
  <c r="AB302" i="1"/>
  <c r="AA302" i="1"/>
  <c r="AB303" i="1"/>
  <c r="AA303" i="1"/>
  <c r="M307" i="1"/>
  <c r="N307" i="1" s="1"/>
  <c r="M313" i="1"/>
  <c r="N313" i="1" s="1"/>
  <c r="M295" i="1"/>
  <c r="N295" i="1" s="1"/>
  <c r="M277" i="1"/>
  <c r="N277" i="1" s="1"/>
  <c r="M289" i="1"/>
  <c r="N289" i="1" s="1"/>
  <c r="M301" i="1"/>
  <c r="N301" i="1" s="1"/>
  <c r="M283" i="1"/>
  <c r="N283" i="1" s="1"/>
  <c r="O295" i="1" l="1"/>
  <c r="AD295" i="1" s="1"/>
  <c r="AC295" i="1" s="1"/>
  <c r="AE295" i="1" s="1"/>
  <c r="P295" i="1"/>
  <c r="P283" i="1"/>
  <c r="O283" i="1"/>
  <c r="AD283" i="1" s="1"/>
  <c r="AC283" i="1" s="1"/>
  <c r="AE283" i="1" s="1"/>
  <c r="O289" i="1"/>
  <c r="AD289" i="1" s="1"/>
  <c r="AC289" i="1" s="1"/>
  <c r="AE289" i="1" s="1"/>
  <c r="P289" i="1"/>
  <c r="O277" i="1"/>
  <c r="P277" i="1"/>
  <c r="O301" i="1"/>
  <c r="P301" i="1"/>
  <c r="P313" i="1"/>
  <c r="O313" i="1"/>
  <c r="O307" i="1"/>
  <c r="P307" i="1"/>
  <c r="AD310" i="1" l="1"/>
  <c r="AC310" i="1" s="1"/>
  <c r="AE310" i="1" s="1"/>
  <c r="AD308" i="1"/>
  <c r="AC308" i="1" s="1"/>
  <c r="AE308" i="1" s="1"/>
  <c r="AD309" i="1"/>
  <c r="AC309" i="1" s="1"/>
  <c r="AE309" i="1" s="1"/>
  <c r="AD307" i="1"/>
  <c r="AC307" i="1" s="1"/>
  <c r="AE307" i="1" s="1"/>
  <c r="AD316" i="1"/>
  <c r="AC316" i="1" s="1"/>
  <c r="AE316" i="1" s="1"/>
  <c r="AD314" i="1"/>
  <c r="AC314" i="1" s="1"/>
  <c r="AE314" i="1" s="1"/>
  <c r="AD315" i="1"/>
  <c r="AC315" i="1" s="1"/>
  <c r="AE315" i="1" s="1"/>
  <c r="AD313" i="1"/>
  <c r="AC313" i="1" s="1"/>
  <c r="AE313" i="1" s="1"/>
  <c r="AD301" i="1"/>
  <c r="AC301" i="1" s="1"/>
  <c r="AE301" i="1" s="1"/>
  <c r="AD303" i="1"/>
  <c r="AC303" i="1" s="1"/>
  <c r="AE303" i="1" s="1"/>
  <c r="AD302" i="1"/>
  <c r="AC302" i="1" s="1"/>
  <c r="AE302" i="1" s="1"/>
  <c r="AD277" i="1"/>
  <c r="AC277" i="1" s="1"/>
  <c r="AE277" i="1" s="1"/>
  <c r="AD278" i="1"/>
  <c r="AC278" i="1" s="1"/>
  <c r="AE278" i="1" s="1"/>
  <c r="V276" i="1" l="1"/>
  <c r="S276" i="1"/>
  <c r="Z276" i="1" s="1"/>
  <c r="V275" i="1"/>
  <c r="S275" i="1"/>
  <c r="AD275" i="1" s="1"/>
  <c r="AC275" i="1" s="1"/>
  <c r="V274" i="1"/>
  <c r="S274" i="1"/>
  <c r="Z274" i="1" s="1"/>
  <c r="V273" i="1"/>
  <c r="S273" i="1"/>
  <c r="AD273" i="1" s="1"/>
  <c r="AC273" i="1" s="1"/>
  <c r="V272" i="1"/>
  <c r="S272" i="1"/>
  <c r="V271" i="1"/>
  <c r="S271" i="1"/>
  <c r="V270" i="1"/>
  <c r="S270" i="1"/>
  <c r="Z270" i="1" s="1"/>
  <c r="V269" i="1"/>
  <c r="S269" i="1"/>
  <c r="AD269" i="1" s="1"/>
  <c r="AC269" i="1" s="1"/>
  <c r="V268" i="1"/>
  <c r="S268" i="1"/>
  <c r="Z268" i="1" s="1"/>
  <c r="V267" i="1"/>
  <c r="S267" i="1"/>
  <c r="AD267" i="1" s="1"/>
  <c r="AC267" i="1" s="1"/>
  <c r="V266" i="1"/>
  <c r="S266" i="1"/>
  <c r="V265" i="1"/>
  <c r="S265" i="1"/>
  <c r="V264" i="1"/>
  <c r="S264" i="1"/>
  <c r="Z264" i="1" s="1"/>
  <c r="V263" i="1"/>
  <c r="S263" i="1"/>
  <c r="AD263" i="1" s="1"/>
  <c r="AC263" i="1" s="1"/>
  <c r="V262" i="1"/>
  <c r="S262" i="1"/>
  <c r="Z262" i="1" s="1"/>
  <c r="V261" i="1"/>
  <c r="S261" i="1"/>
  <c r="AD261" i="1" s="1"/>
  <c r="AC261" i="1" s="1"/>
  <c r="V260" i="1"/>
  <c r="S260" i="1"/>
  <c r="V259" i="1"/>
  <c r="S259" i="1"/>
  <c r="V258" i="1"/>
  <c r="S258" i="1"/>
  <c r="AD258" i="1" s="1"/>
  <c r="AC258" i="1" s="1"/>
  <c r="V257" i="1"/>
  <c r="S257" i="1"/>
  <c r="V256" i="1"/>
  <c r="S256" i="1"/>
  <c r="Z256" i="1" s="1"/>
  <c r="V255" i="1"/>
  <c r="S255" i="1"/>
  <c r="AD255" i="1" s="1"/>
  <c r="AC255" i="1" s="1"/>
  <c r="V254" i="1"/>
  <c r="S254" i="1"/>
  <c r="Z254" i="1" s="1"/>
  <c r="V253" i="1"/>
  <c r="S253" i="1"/>
  <c r="J271" i="1"/>
  <c r="K271" i="1" s="1"/>
  <c r="J265" i="1"/>
  <c r="J259" i="1"/>
  <c r="J253" i="1"/>
  <c r="K253" i="1" s="1"/>
  <c r="M270" i="1"/>
  <c r="M273" i="1"/>
  <c r="M269" i="1"/>
  <c r="M266" i="1"/>
  <c r="M268" i="1"/>
  <c r="M272" i="1"/>
  <c r="M257" i="1"/>
  <c r="M263" i="1"/>
  <c r="M258" i="1"/>
  <c r="M267" i="1"/>
  <c r="M274" i="1"/>
  <c r="M262" i="1"/>
  <c r="M255" i="1"/>
  <c r="M276" i="1"/>
  <c r="M275" i="1"/>
  <c r="M254" i="1"/>
  <c r="M260" i="1"/>
  <c r="M264" i="1"/>
  <c r="M256" i="1"/>
  <c r="M261" i="1"/>
  <c r="Z258" i="1" l="1"/>
  <c r="AB258" i="1" s="1"/>
  <c r="AD264" i="1"/>
  <c r="AC264" i="1" s="1"/>
  <c r="Z272" i="1"/>
  <c r="AB272" i="1" s="1"/>
  <c r="AD274" i="1"/>
  <c r="AC274" i="1" s="1"/>
  <c r="AD268" i="1"/>
  <c r="AC268" i="1" s="1"/>
  <c r="AD256" i="1"/>
  <c r="AC256" i="1" s="1"/>
  <c r="AD262" i="1"/>
  <c r="AC262" i="1" s="1"/>
  <c r="AD254" i="1"/>
  <c r="AC254" i="1" s="1"/>
  <c r="AD270" i="1"/>
  <c r="AC270" i="1" s="1"/>
  <c r="AD276" i="1"/>
  <c r="AC276" i="1" s="1"/>
  <c r="AB270" i="1"/>
  <c r="AA270" i="1"/>
  <c r="AB276" i="1"/>
  <c r="AA276" i="1"/>
  <c r="AE276" i="1" s="1"/>
  <c r="AA264" i="1"/>
  <c r="AE264" i="1" s="1"/>
  <c r="AB264" i="1"/>
  <c r="AB274" i="1"/>
  <c r="AA274" i="1"/>
  <c r="AB262" i="1"/>
  <c r="AA262" i="1"/>
  <c r="AB268" i="1"/>
  <c r="AA268" i="1"/>
  <c r="AE268" i="1" s="1"/>
  <c r="AA254" i="1"/>
  <c r="AB254" i="1"/>
  <c r="AB256" i="1"/>
  <c r="AA256" i="1"/>
  <c r="Z253" i="1"/>
  <c r="Z255" i="1"/>
  <c r="Z257" i="1"/>
  <c r="Z261" i="1"/>
  <c r="Z263" i="1"/>
  <c r="Z267" i="1"/>
  <c r="Z269" i="1"/>
  <c r="Z271" i="1"/>
  <c r="Z273" i="1"/>
  <c r="Z275" i="1"/>
  <c r="AD257" i="1"/>
  <c r="AC257" i="1" s="1"/>
  <c r="K265" i="1"/>
  <c r="Z266" i="1" s="1"/>
  <c r="K259" i="1"/>
  <c r="Z260" i="1" s="1"/>
  <c r="AE256" i="1" l="1"/>
  <c r="AA258" i="1"/>
  <c r="AE258" i="1" s="1"/>
  <c r="AE262" i="1"/>
  <c r="AB260" i="1"/>
  <c r="AA260" i="1"/>
  <c r="AB266" i="1"/>
  <c r="AA266" i="1"/>
  <c r="AA272" i="1"/>
  <c r="AE254" i="1"/>
  <c r="AE270" i="1"/>
  <c r="AE274" i="1"/>
  <c r="Z265" i="1"/>
  <c r="AB265" i="1" s="1"/>
  <c r="Z259" i="1"/>
  <c r="AB259" i="1" s="1"/>
  <c r="AB263" i="1"/>
  <c r="AA263" i="1"/>
  <c r="AE263" i="1" s="1"/>
  <c r="AB257" i="1"/>
  <c r="AA257" i="1"/>
  <c r="AE257" i="1" s="1"/>
  <c r="AB267" i="1"/>
  <c r="AA267" i="1"/>
  <c r="AE267" i="1" s="1"/>
  <c r="AB261" i="1"/>
  <c r="AA261" i="1"/>
  <c r="AE261" i="1" s="1"/>
  <c r="AB255" i="1"/>
  <c r="AA255" i="1"/>
  <c r="AE255" i="1" s="1"/>
  <c r="AB253" i="1"/>
  <c r="AA253" i="1"/>
  <c r="AB275" i="1"/>
  <c r="AA275" i="1"/>
  <c r="AE275" i="1" s="1"/>
  <c r="AB273" i="1"/>
  <c r="AA273" i="1"/>
  <c r="AE273" i="1" s="1"/>
  <c r="AB271" i="1"/>
  <c r="AA271" i="1"/>
  <c r="AB269" i="1"/>
  <c r="AA269" i="1"/>
  <c r="AE269" i="1" s="1"/>
  <c r="AA259" i="1" l="1"/>
  <c r="AA265" i="1"/>
  <c r="M271" i="1"/>
  <c r="N271" i="1" s="1"/>
  <c r="M253" i="1"/>
  <c r="N253" i="1" s="1"/>
  <c r="M265" i="1"/>
  <c r="N265" i="1" s="1"/>
  <c r="M259" i="1"/>
  <c r="N259" i="1" s="1"/>
  <c r="O259" i="1" l="1"/>
  <c r="P259" i="1"/>
  <c r="O265" i="1"/>
  <c r="P265" i="1"/>
  <c r="O253" i="1"/>
  <c r="AD253" i="1" s="1"/>
  <c r="AC253" i="1" s="1"/>
  <c r="AE253" i="1" s="1"/>
  <c r="P253" i="1"/>
  <c r="P271" i="1"/>
  <c r="O271" i="1"/>
  <c r="AD272" i="1" l="1"/>
  <c r="AC272" i="1" s="1"/>
  <c r="AE272" i="1" s="1"/>
  <c r="AD271" i="1"/>
  <c r="AC271" i="1" s="1"/>
  <c r="AE271" i="1" s="1"/>
  <c r="AD266" i="1"/>
  <c r="AC266" i="1" s="1"/>
  <c r="AE266" i="1" s="1"/>
  <c r="AD265" i="1"/>
  <c r="AC265" i="1" s="1"/>
  <c r="AE265" i="1" s="1"/>
  <c r="AD260" i="1"/>
  <c r="AC260" i="1" s="1"/>
  <c r="AE260" i="1" s="1"/>
  <c r="AD259" i="1"/>
  <c r="AC259" i="1" s="1"/>
  <c r="AE259" i="1" s="1"/>
  <c r="V241" i="1" l="1"/>
  <c r="S241" i="1"/>
  <c r="V240" i="1"/>
  <c r="S240" i="1"/>
  <c r="AD240" i="1" s="1"/>
  <c r="AC240" i="1" s="1"/>
  <c r="V239" i="1"/>
  <c r="S239" i="1"/>
  <c r="V238" i="1"/>
  <c r="S238" i="1"/>
  <c r="AD238" i="1" s="1"/>
  <c r="AC238" i="1" s="1"/>
  <c r="S237" i="1"/>
  <c r="AD237" i="1" s="1"/>
  <c r="AC237" i="1" s="1"/>
  <c r="S236" i="1"/>
  <c r="Z236" i="1" s="1"/>
  <c r="V235" i="1"/>
  <c r="S235" i="1"/>
  <c r="J241" i="1"/>
  <c r="J235" i="1"/>
  <c r="K235" i="1" s="1"/>
  <c r="M245" i="1"/>
  <c r="M246" i="1"/>
  <c r="M237" i="1"/>
  <c r="M239" i="1"/>
  <c r="M238" i="1"/>
  <c r="M244" i="1"/>
  <c r="M236" i="1"/>
  <c r="M242" i="1"/>
  <c r="M240" i="1"/>
  <c r="M243" i="1"/>
  <c r="Z240" i="1" l="1"/>
  <c r="AA240" i="1" s="1"/>
  <c r="AE240" i="1" s="1"/>
  <c r="Z235" i="1"/>
  <c r="AB235" i="1" s="1"/>
  <c r="AD236" i="1"/>
  <c r="AC236" i="1" s="1"/>
  <c r="AB236" i="1"/>
  <c r="AA236" i="1"/>
  <c r="Z237" i="1"/>
  <c r="Z239" i="1"/>
  <c r="AD239" i="1"/>
  <c r="AC239" i="1" s="1"/>
  <c r="Z238" i="1"/>
  <c r="K241" i="1"/>
  <c r="Z241" i="1" s="1"/>
  <c r="AA246" i="1" l="1"/>
  <c r="AE246" i="1" s="1"/>
  <c r="AA244" i="1"/>
  <c r="AE244" i="1" s="1"/>
  <c r="AA242" i="1"/>
  <c r="AE242" i="1" s="1"/>
  <c r="AA245" i="1"/>
  <c r="AE245" i="1" s="1"/>
  <c r="AA243" i="1"/>
  <c r="AE243" i="1" s="1"/>
  <c r="AB240" i="1"/>
  <c r="AA235" i="1"/>
  <c r="AE236" i="1"/>
  <c r="AA241" i="1"/>
  <c r="AB241" i="1"/>
  <c r="AA239" i="1"/>
  <c r="AE239" i="1" s="1"/>
  <c r="AB239" i="1"/>
  <c r="AB238" i="1"/>
  <c r="AA238" i="1"/>
  <c r="AE238" i="1" s="1"/>
  <c r="AA237" i="1"/>
  <c r="AE237" i="1" s="1"/>
  <c r="AB237" i="1"/>
  <c r="M241" i="1" l="1"/>
  <c r="N241" i="1" s="1"/>
  <c r="M235" i="1"/>
  <c r="N235" i="1" s="1"/>
  <c r="O241" i="1" l="1"/>
  <c r="AD241" i="1" s="1"/>
  <c r="P241" i="1"/>
  <c r="O235" i="1"/>
  <c r="AD235" i="1" s="1"/>
  <c r="P235" i="1"/>
  <c r="AC235" i="1" l="1"/>
  <c r="AE235" i="1" s="1"/>
  <c r="AC241" i="1"/>
  <c r="AE241" i="1" s="1"/>
  <c r="V234" i="1"/>
  <c r="S234" i="1"/>
  <c r="AD234" i="1" s="1"/>
  <c r="AC234" i="1" s="1"/>
  <c r="V233" i="1"/>
  <c r="S233" i="1"/>
  <c r="AD233" i="1" s="1"/>
  <c r="AC233" i="1" s="1"/>
  <c r="V232" i="1"/>
  <c r="S232" i="1"/>
  <c r="AD232" i="1" s="1"/>
  <c r="AC232" i="1" s="1"/>
  <c r="V231" i="1"/>
  <c r="S231" i="1"/>
  <c r="AD231" i="1" s="1"/>
  <c r="AC231" i="1" s="1"/>
  <c r="V230" i="1"/>
  <c r="S230" i="1"/>
  <c r="AD230" i="1" s="1"/>
  <c r="AC230" i="1" s="1"/>
  <c r="V229" i="1"/>
  <c r="S229" i="1"/>
  <c r="V228" i="1"/>
  <c r="S228" i="1"/>
  <c r="AD228" i="1" s="1"/>
  <c r="AC228" i="1" s="1"/>
  <c r="V227" i="1"/>
  <c r="S227" i="1"/>
  <c r="AD227" i="1" s="1"/>
  <c r="AC227" i="1" s="1"/>
  <c r="V226" i="1"/>
  <c r="S226" i="1"/>
  <c r="AD226" i="1" s="1"/>
  <c r="AC226" i="1" s="1"/>
  <c r="V225" i="1"/>
  <c r="S225" i="1"/>
  <c r="AD225" i="1" s="1"/>
  <c r="AC225" i="1" s="1"/>
  <c r="V224" i="1"/>
  <c r="S224" i="1"/>
  <c r="V223" i="1"/>
  <c r="S223" i="1"/>
  <c r="V222" i="1"/>
  <c r="S222" i="1"/>
  <c r="AD222" i="1" s="1"/>
  <c r="AC222" i="1" s="1"/>
  <c r="V221" i="1"/>
  <c r="S221" i="1"/>
  <c r="AD221" i="1" s="1"/>
  <c r="AC221" i="1" s="1"/>
  <c r="V220" i="1"/>
  <c r="S220" i="1"/>
  <c r="Z220" i="1" s="1"/>
  <c r="V219" i="1"/>
  <c r="S219" i="1"/>
  <c r="AD219" i="1" s="1"/>
  <c r="AC219" i="1" s="1"/>
  <c r="V218" i="1"/>
  <c r="S218" i="1"/>
  <c r="Z218" i="1" s="1"/>
  <c r="V217" i="1"/>
  <c r="S217" i="1"/>
  <c r="V216" i="1"/>
  <c r="S216" i="1"/>
  <c r="Z216" i="1" s="1"/>
  <c r="V215" i="1"/>
  <c r="S215" i="1"/>
  <c r="AD215" i="1" s="1"/>
  <c r="AC215" i="1" s="1"/>
  <c r="V214" i="1"/>
  <c r="S214" i="1"/>
  <c r="AD214" i="1" s="1"/>
  <c r="AC214" i="1" s="1"/>
  <c r="V213" i="1"/>
  <c r="S213" i="1"/>
  <c r="AD213" i="1" s="1"/>
  <c r="AC213" i="1" s="1"/>
  <c r="V212" i="1"/>
  <c r="S212" i="1"/>
  <c r="Z212" i="1" s="1"/>
  <c r="V211" i="1"/>
  <c r="S211" i="1"/>
  <c r="V210" i="1"/>
  <c r="S210" i="1"/>
  <c r="AD210" i="1" s="1"/>
  <c r="AC210" i="1" s="1"/>
  <c r="V209" i="1"/>
  <c r="S209" i="1"/>
  <c r="AD209" i="1" s="1"/>
  <c r="AC209" i="1" s="1"/>
  <c r="V208" i="1"/>
  <c r="S208" i="1"/>
  <c r="Z208" i="1" s="1"/>
  <c r="V207" i="1"/>
  <c r="S207" i="1"/>
  <c r="AD207" i="1" s="1"/>
  <c r="AC207" i="1" s="1"/>
  <c r="V206" i="1"/>
  <c r="S206" i="1"/>
  <c r="Z206" i="1" s="1"/>
  <c r="V205" i="1"/>
  <c r="S205" i="1"/>
  <c r="V204" i="1"/>
  <c r="S204" i="1"/>
  <c r="AD204" i="1" s="1"/>
  <c r="AC204" i="1" s="1"/>
  <c r="V203" i="1"/>
  <c r="S203" i="1"/>
  <c r="AD203" i="1" s="1"/>
  <c r="AC203" i="1" s="1"/>
  <c r="V202" i="1"/>
  <c r="S202" i="1"/>
  <c r="Z202" i="1" s="1"/>
  <c r="V201" i="1"/>
  <c r="S201" i="1"/>
  <c r="AD201" i="1" s="1"/>
  <c r="AC201" i="1" s="1"/>
  <c r="V200" i="1"/>
  <c r="S200" i="1"/>
  <c r="V199" i="1"/>
  <c r="S199" i="1"/>
  <c r="V198" i="1"/>
  <c r="S198" i="1"/>
  <c r="AD198" i="1" s="1"/>
  <c r="AC198" i="1" s="1"/>
  <c r="V197" i="1"/>
  <c r="S197" i="1"/>
  <c r="V196" i="1"/>
  <c r="S196" i="1"/>
  <c r="AD196" i="1" s="1"/>
  <c r="AC196" i="1" s="1"/>
  <c r="V195" i="1"/>
  <c r="S195" i="1"/>
  <c r="AD195" i="1" s="1"/>
  <c r="AC195" i="1" s="1"/>
  <c r="V194" i="1"/>
  <c r="S194" i="1"/>
  <c r="V193" i="1"/>
  <c r="S193" i="1"/>
  <c r="J229" i="1"/>
  <c r="K229" i="1" s="1"/>
  <c r="J223" i="1"/>
  <c r="J217" i="1"/>
  <c r="K217" i="1" s="1"/>
  <c r="J211" i="1"/>
  <c r="K211" i="1" s="1"/>
  <c r="J205" i="1"/>
  <c r="K205" i="1" s="1"/>
  <c r="J199" i="1"/>
  <c r="J193" i="1"/>
  <c r="M222" i="1"/>
  <c r="M233" i="1"/>
  <c r="M226" i="1"/>
  <c r="M230" i="1"/>
  <c r="M213" i="1"/>
  <c r="M216" i="1"/>
  <c r="M228" i="1"/>
  <c r="M210" i="1"/>
  <c r="M227" i="1"/>
  <c r="M225" i="1"/>
  <c r="M231" i="1"/>
  <c r="M234" i="1"/>
  <c r="M220" i="1"/>
  <c r="M206" i="1"/>
  <c r="M221" i="1"/>
  <c r="M219" i="1"/>
  <c r="M198" i="1"/>
  <c r="M197" i="1"/>
  <c r="M203" i="1"/>
  <c r="M209" i="1"/>
  <c r="M208" i="1"/>
  <c r="M195" i="1"/>
  <c r="M215" i="1"/>
  <c r="M204" i="1"/>
  <c r="M201" i="1"/>
  <c r="M202" i="1"/>
  <c r="M218" i="1"/>
  <c r="M194" i="1"/>
  <c r="M200" i="1"/>
  <c r="M214" i="1"/>
  <c r="M207" i="1"/>
  <c r="M196" i="1"/>
  <c r="M232" i="1"/>
  <c r="M212" i="1"/>
  <c r="M224" i="1"/>
  <c r="Z228" i="1" l="1"/>
  <c r="AB228" i="1" s="1"/>
  <c r="Z230" i="1"/>
  <c r="AB230" i="1" s="1"/>
  <c r="Z232" i="1"/>
  <c r="AB232" i="1" s="1"/>
  <c r="Z226" i="1"/>
  <c r="AB226" i="1" s="1"/>
  <c r="Z198" i="1"/>
  <c r="AB198" i="1" s="1"/>
  <c r="Z234" i="1"/>
  <c r="AB234" i="1" s="1"/>
  <c r="AB206" i="1"/>
  <c r="AA206" i="1"/>
  <c r="AB208" i="1"/>
  <c r="AA208" i="1"/>
  <c r="AB216" i="1"/>
  <c r="AA216" i="1"/>
  <c r="AB218" i="1"/>
  <c r="AA218" i="1"/>
  <c r="AB202" i="1"/>
  <c r="AA202" i="1"/>
  <c r="AB212" i="1"/>
  <c r="AA212" i="1"/>
  <c r="AB220" i="1"/>
  <c r="AA220" i="1"/>
  <c r="Z197" i="1"/>
  <c r="Z203" i="1"/>
  <c r="Z207" i="1"/>
  <c r="Z209" i="1"/>
  <c r="Z211" i="1"/>
  <c r="Z213" i="1"/>
  <c r="Z215" i="1"/>
  <c r="Z217" i="1"/>
  <c r="Z219" i="1"/>
  <c r="Z221" i="1"/>
  <c r="Z225" i="1"/>
  <c r="Z227" i="1"/>
  <c r="Z229" i="1"/>
  <c r="Z231" i="1"/>
  <c r="Z233" i="1"/>
  <c r="Z205" i="1"/>
  <c r="Z201" i="1"/>
  <c r="Z195" i="1"/>
  <c r="AD197" i="1"/>
  <c r="AC197" i="1" s="1"/>
  <c r="Z196" i="1"/>
  <c r="Z204" i="1"/>
  <c r="Z210" i="1"/>
  <c r="Z214" i="1"/>
  <c r="Z222" i="1"/>
  <c r="AA226" i="1"/>
  <c r="AE226" i="1" s="1"/>
  <c r="AA228" i="1"/>
  <c r="AE228" i="1" s="1"/>
  <c r="AD202" i="1"/>
  <c r="AC202" i="1" s="1"/>
  <c r="AD206" i="1"/>
  <c r="AC206" i="1" s="1"/>
  <c r="AD208" i="1"/>
  <c r="AC208" i="1" s="1"/>
  <c r="AD212" i="1"/>
  <c r="AC212" i="1" s="1"/>
  <c r="AD216" i="1"/>
  <c r="AC216" i="1" s="1"/>
  <c r="AD218" i="1"/>
  <c r="AC218" i="1" s="1"/>
  <c r="AD220" i="1"/>
  <c r="AC220" i="1" s="1"/>
  <c r="K199" i="1"/>
  <c r="Z200" i="1" s="1"/>
  <c r="K193" i="1"/>
  <c r="Z194" i="1" s="1"/>
  <c r="K223" i="1"/>
  <c r="Z224" i="1" s="1"/>
  <c r="AA198" i="1" l="1"/>
  <c r="AE198" i="1" s="1"/>
  <c r="AA234" i="1"/>
  <c r="AE234" i="1" s="1"/>
  <c r="AA232" i="1"/>
  <c r="AE232" i="1" s="1"/>
  <c r="AA230" i="1"/>
  <c r="AE230" i="1" s="1"/>
  <c r="Z193" i="1"/>
  <c r="AB193" i="1" s="1"/>
  <c r="AB200" i="1"/>
  <c r="AA200" i="1"/>
  <c r="AA224" i="1"/>
  <c r="AB224" i="1"/>
  <c r="AB194" i="1"/>
  <c r="AA194" i="1"/>
  <c r="AE206" i="1"/>
  <c r="Z223" i="1"/>
  <c r="AA223" i="1" s="1"/>
  <c r="AE208" i="1"/>
  <c r="Z199" i="1"/>
  <c r="AB199" i="1" s="1"/>
  <c r="AB204" i="1"/>
  <c r="AA204" i="1"/>
  <c r="AE204" i="1" s="1"/>
  <c r="AB209" i="1"/>
  <c r="AA209" i="1"/>
  <c r="AE209" i="1" s="1"/>
  <c r="AB201" i="1"/>
  <c r="AA201" i="1"/>
  <c r="AE201" i="1" s="1"/>
  <c r="AB207" i="1"/>
  <c r="AA207" i="1"/>
  <c r="AE207" i="1" s="1"/>
  <c r="AB203" i="1"/>
  <c r="AA203" i="1"/>
  <c r="AE203" i="1" s="1"/>
  <c r="AB205" i="1"/>
  <c r="AA205" i="1"/>
  <c r="AB233" i="1"/>
  <c r="AA233" i="1"/>
  <c r="AE233" i="1" s="1"/>
  <c r="AE220" i="1"/>
  <c r="AB231" i="1"/>
  <c r="AA231" i="1"/>
  <c r="AE231" i="1" s="1"/>
  <c r="AB229" i="1"/>
  <c r="AA229" i="1"/>
  <c r="AE212" i="1"/>
  <c r="AB214" i="1"/>
  <c r="AA214" i="1"/>
  <c r="AE214" i="1" s="1"/>
  <c r="AB197" i="1"/>
  <c r="AA197" i="1"/>
  <c r="AE197" i="1" s="1"/>
  <c r="AB227" i="1"/>
  <c r="AA227" i="1"/>
  <c r="AE227" i="1" s="1"/>
  <c r="AB225" i="1"/>
  <c r="AA225" i="1"/>
  <c r="AE225" i="1" s="1"/>
  <c r="AB222" i="1"/>
  <c r="AA222" i="1"/>
  <c r="AE222" i="1" s="1"/>
  <c r="AE202" i="1"/>
  <c r="AB210" i="1"/>
  <c r="AA210" i="1"/>
  <c r="AE210" i="1" s="1"/>
  <c r="AB217" i="1"/>
  <c r="AA217" i="1"/>
  <c r="AB196" i="1"/>
  <c r="AA196" i="1"/>
  <c r="AE196" i="1" s="1"/>
  <c r="AB215" i="1"/>
  <c r="AA215" i="1"/>
  <c r="AE215" i="1" s="1"/>
  <c r="AE218" i="1"/>
  <c r="AB213" i="1"/>
  <c r="AA213" i="1"/>
  <c r="AE213" i="1" s="1"/>
  <c r="AB211" i="1"/>
  <c r="AA211" i="1"/>
  <c r="AE216" i="1"/>
  <c r="AB221" i="1"/>
  <c r="AA221" i="1"/>
  <c r="AE221" i="1" s="1"/>
  <c r="AB219" i="1"/>
  <c r="AA219" i="1"/>
  <c r="AE219" i="1" s="1"/>
  <c r="AB195" i="1"/>
  <c r="AA195" i="1"/>
  <c r="AE195" i="1" s="1"/>
  <c r="AB223" i="1" l="1"/>
  <c r="AA199" i="1"/>
  <c r="AA193" i="1"/>
  <c r="M223" i="1"/>
  <c r="N223" i="1" s="1"/>
  <c r="M229" i="1"/>
  <c r="N229" i="1" s="1"/>
  <c r="M211" i="1"/>
  <c r="N211" i="1" s="1"/>
  <c r="M193" i="1"/>
  <c r="N193" i="1" s="1"/>
  <c r="M199" i="1"/>
  <c r="N199" i="1" s="1"/>
  <c r="M217" i="1"/>
  <c r="N217" i="1" s="1"/>
  <c r="M205" i="1"/>
  <c r="N205" i="1" s="1"/>
  <c r="P229" i="1" l="1"/>
  <c r="O229" i="1"/>
  <c r="AD229" i="1" s="1"/>
  <c r="AC229" i="1" s="1"/>
  <c r="AE229" i="1" s="1"/>
  <c r="O223" i="1"/>
  <c r="P223" i="1"/>
  <c r="O199" i="1"/>
  <c r="P199" i="1"/>
  <c r="O211" i="1"/>
  <c r="AD211" i="1" s="1"/>
  <c r="AC211" i="1" s="1"/>
  <c r="AE211" i="1" s="1"/>
  <c r="P211" i="1"/>
  <c r="O205" i="1"/>
  <c r="AD205" i="1" s="1"/>
  <c r="AC205" i="1" s="1"/>
  <c r="AE205" i="1" s="1"/>
  <c r="P205" i="1"/>
  <c r="O217" i="1"/>
  <c r="AD217" i="1" s="1"/>
  <c r="AC217" i="1" s="1"/>
  <c r="AE217" i="1" s="1"/>
  <c r="P217" i="1"/>
  <c r="O193" i="1"/>
  <c r="P193" i="1"/>
  <c r="AD194" i="1" l="1"/>
  <c r="AC194" i="1" s="1"/>
  <c r="AE194" i="1" s="1"/>
  <c r="AD193" i="1"/>
  <c r="AC193" i="1" s="1"/>
  <c r="AE193" i="1" s="1"/>
  <c r="AD199" i="1"/>
  <c r="AC199" i="1" s="1"/>
  <c r="AE199" i="1" s="1"/>
  <c r="AD200" i="1"/>
  <c r="AC200" i="1" s="1"/>
  <c r="AE200" i="1" s="1"/>
  <c r="AD223" i="1"/>
  <c r="AC223" i="1" s="1"/>
  <c r="AE223" i="1" s="1"/>
  <c r="AD224" i="1"/>
  <c r="AC224" i="1" s="1"/>
  <c r="AE224" i="1" s="1"/>
  <c r="V192" i="1" l="1"/>
  <c r="S192" i="1"/>
  <c r="AD192" i="1" s="1"/>
  <c r="AC192" i="1" s="1"/>
  <c r="V191" i="1"/>
  <c r="S191" i="1"/>
  <c r="AD191" i="1" s="1"/>
  <c r="AC191" i="1" s="1"/>
  <c r="V190" i="1"/>
  <c r="S190" i="1"/>
  <c r="AD190" i="1" s="1"/>
  <c r="AC190" i="1" s="1"/>
  <c r="V189" i="1"/>
  <c r="S189" i="1"/>
  <c r="AD189" i="1" s="1"/>
  <c r="AC189" i="1" s="1"/>
  <c r="V188" i="1"/>
  <c r="S188" i="1"/>
  <c r="V187" i="1"/>
  <c r="S187" i="1"/>
  <c r="V182" i="1"/>
  <c r="S182" i="1"/>
  <c r="V181" i="1"/>
  <c r="S181" i="1"/>
  <c r="V177" i="1"/>
  <c r="S177" i="1"/>
  <c r="V176" i="1"/>
  <c r="S176" i="1"/>
  <c r="V175" i="1"/>
  <c r="S175" i="1"/>
  <c r="I187" i="1"/>
  <c r="J187" i="1" s="1"/>
  <c r="J181" i="1"/>
  <c r="K181" i="1" s="1"/>
  <c r="J175" i="1"/>
  <c r="M189" i="1"/>
  <c r="M182" i="1"/>
  <c r="M191" i="1"/>
  <c r="M188" i="1"/>
  <c r="M185" i="1"/>
  <c r="M186" i="1"/>
  <c r="M192" i="1"/>
  <c r="M190" i="1"/>
  <c r="M184" i="1"/>
  <c r="M183" i="1"/>
  <c r="Z181" i="1" l="1"/>
  <c r="Z191" i="1"/>
  <c r="Z189" i="1"/>
  <c r="Z182" i="1"/>
  <c r="Z190" i="1"/>
  <c r="Z192" i="1"/>
  <c r="K187" i="1"/>
  <c r="Z187" i="1" s="1"/>
  <c r="K175" i="1"/>
  <c r="Z177" i="1" s="1"/>
  <c r="Z175" i="1" l="1"/>
  <c r="AB175" i="1" s="1"/>
  <c r="Z176" i="1"/>
  <c r="AA176" i="1" s="1"/>
  <c r="Z188" i="1"/>
  <c r="AB188" i="1" s="1"/>
  <c r="AB177" i="1"/>
  <c r="AA177" i="1"/>
  <c r="AB190" i="1"/>
  <c r="AA190" i="1"/>
  <c r="AE190" i="1" s="1"/>
  <c r="AB189" i="1"/>
  <c r="AA189" i="1"/>
  <c r="AE189" i="1" s="1"/>
  <c r="AB187" i="1"/>
  <c r="AA187" i="1"/>
  <c r="AB191" i="1"/>
  <c r="AA191" i="1"/>
  <c r="AE191" i="1" s="1"/>
  <c r="AB182" i="1"/>
  <c r="AA182" i="1"/>
  <c r="AA181" i="1"/>
  <c r="AB181" i="1"/>
  <c r="AB192" i="1"/>
  <c r="AA192" i="1"/>
  <c r="AE192" i="1" s="1"/>
  <c r="AB176" i="1" l="1"/>
  <c r="AA188" i="1"/>
  <c r="AA175" i="1"/>
  <c r="M187" i="1"/>
  <c r="N187" i="1" s="1"/>
  <c r="M175" i="1"/>
  <c r="N175" i="1" s="1"/>
  <c r="M181" i="1"/>
  <c r="N181" i="1" s="1"/>
  <c r="O181" i="1" l="1"/>
  <c r="P181" i="1"/>
  <c r="O175" i="1"/>
  <c r="P175" i="1"/>
  <c r="O187" i="1"/>
  <c r="P187" i="1"/>
  <c r="AD187" i="1" l="1"/>
  <c r="AC187" i="1" s="1"/>
  <c r="AE187" i="1" s="1"/>
  <c r="AD188" i="1"/>
  <c r="AC188" i="1" s="1"/>
  <c r="AE188" i="1" s="1"/>
  <c r="AD175" i="1"/>
  <c r="AC175" i="1" s="1"/>
  <c r="AE175" i="1" s="1"/>
  <c r="AD176" i="1"/>
  <c r="AC176" i="1" s="1"/>
  <c r="AE176" i="1" s="1"/>
  <c r="AD177" i="1"/>
  <c r="AC177" i="1" s="1"/>
  <c r="AE177" i="1" s="1"/>
  <c r="AD181" i="1"/>
  <c r="AC181" i="1" s="1"/>
  <c r="AE181" i="1" s="1"/>
  <c r="AD182" i="1"/>
  <c r="AC182" i="1" s="1"/>
  <c r="AE182" i="1" s="1"/>
  <c r="V170" i="1" l="1"/>
  <c r="S170" i="1"/>
  <c r="V169" i="1"/>
  <c r="S169" i="1"/>
  <c r="J169" i="1"/>
  <c r="K169" i="1" s="1"/>
  <c r="M170" i="1"/>
  <c r="Z169" i="1" l="1"/>
  <c r="Z170" i="1"/>
  <c r="V168" i="1"/>
  <c r="S168" i="1"/>
  <c r="AD168" i="1" s="1"/>
  <c r="AC168" i="1" s="1"/>
  <c r="V167" i="1"/>
  <c r="S167" i="1"/>
  <c r="AD167" i="1" s="1"/>
  <c r="AC167" i="1" s="1"/>
  <c r="V166" i="1"/>
  <c r="S166" i="1"/>
  <c r="AD166" i="1" s="1"/>
  <c r="AC166" i="1" s="1"/>
  <c r="V165" i="1"/>
  <c r="S165" i="1"/>
  <c r="AD165" i="1" s="1"/>
  <c r="AC165" i="1" s="1"/>
  <c r="V164" i="1"/>
  <c r="S164" i="1"/>
  <c r="V163" i="1"/>
  <c r="S163" i="1"/>
  <c r="J163" i="1"/>
  <c r="S162" i="1"/>
  <c r="AD162" i="1" s="1"/>
  <c r="AC162" i="1" s="1"/>
  <c r="S161" i="1"/>
  <c r="AD161" i="1" s="1"/>
  <c r="AC161" i="1" s="1"/>
  <c r="S160" i="1"/>
  <c r="Z160" i="1" s="1"/>
  <c r="V159" i="1"/>
  <c r="S159" i="1"/>
  <c r="V158" i="1"/>
  <c r="S158" i="1"/>
  <c r="V157" i="1"/>
  <c r="S157" i="1"/>
  <c r="Z156" i="1"/>
  <c r="V156" i="1"/>
  <c r="Z155" i="1"/>
  <c r="V155" i="1"/>
  <c r="Z154" i="1"/>
  <c r="V154" i="1"/>
  <c r="Z153" i="1"/>
  <c r="V153" i="1"/>
  <c r="V152" i="1"/>
  <c r="S152" i="1"/>
  <c r="V151" i="1"/>
  <c r="S151" i="1"/>
  <c r="V150" i="1"/>
  <c r="S150" i="1"/>
  <c r="AD150" i="1" s="1"/>
  <c r="AC150" i="1" s="1"/>
  <c r="V149" i="1"/>
  <c r="S149" i="1"/>
  <c r="Z149" i="1" s="1"/>
  <c r="V148" i="1"/>
  <c r="S148" i="1"/>
  <c r="AD148" i="1" s="1"/>
  <c r="AC148" i="1" s="1"/>
  <c r="V147" i="1"/>
  <c r="S147" i="1"/>
  <c r="Z147" i="1" s="1"/>
  <c r="V146" i="1"/>
  <c r="S146" i="1"/>
  <c r="V145" i="1"/>
  <c r="S145" i="1"/>
  <c r="S144" i="1"/>
  <c r="AD144" i="1" s="1"/>
  <c r="AC144" i="1" s="1"/>
  <c r="S143" i="1"/>
  <c r="Z143" i="1" s="1"/>
  <c r="S142" i="1"/>
  <c r="Z142" i="1" s="1"/>
  <c r="S141" i="1"/>
  <c r="AD141" i="1" s="1"/>
  <c r="AC141" i="1" s="1"/>
  <c r="S140" i="1"/>
  <c r="Z140" i="1" s="1"/>
  <c r="V139" i="1"/>
  <c r="S139" i="1"/>
  <c r="V138" i="1"/>
  <c r="S138" i="1"/>
  <c r="Z138" i="1" s="1"/>
  <c r="AB138" i="1" s="1"/>
  <c r="V137" i="1"/>
  <c r="S137" i="1"/>
  <c r="AD138" i="1" s="1"/>
  <c r="AC138" i="1" s="1"/>
  <c r="V136" i="1"/>
  <c r="S136" i="1"/>
  <c r="Z136" i="1" s="1"/>
  <c r="V135" i="1"/>
  <c r="S135" i="1"/>
  <c r="AD136" i="1" s="1"/>
  <c r="AC136" i="1" s="1"/>
  <c r="V134" i="1"/>
  <c r="S134" i="1"/>
  <c r="V133" i="1"/>
  <c r="S133" i="1"/>
  <c r="J157" i="1"/>
  <c r="K157" i="1" s="1"/>
  <c r="J151" i="1"/>
  <c r="K151" i="1" s="1"/>
  <c r="J145" i="1"/>
  <c r="J139" i="1"/>
  <c r="K139" i="1" s="1"/>
  <c r="J133" i="1"/>
  <c r="AE132" i="1"/>
  <c r="V132" i="1"/>
  <c r="S132" i="1"/>
  <c r="AE131" i="1"/>
  <c r="V131" i="1"/>
  <c r="S131" i="1"/>
  <c r="AD132" i="1" s="1"/>
  <c r="AE130" i="1"/>
  <c r="V130" i="1"/>
  <c r="S130" i="1"/>
  <c r="AD131" i="1" s="1"/>
  <c r="AE129" i="1"/>
  <c r="V129" i="1"/>
  <c r="S129" i="1"/>
  <c r="AD130" i="1" s="1"/>
  <c r="AE128" i="1"/>
  <c r="V128" i="1"/>
  <c r="S128" i="1"/>
  <c r="AD129" i="1" s="1"/>
  <c r="V127" i="1"/>
  <c r="S127" i="1"/>
  <c r="S126" i="1"/>
  <c r="Z126" i="1" s="1"/>
  <c r="S125" i="1"/>
  <c r="Z125" i="1" s="1"/>
  <c r="S124" i="1"/>
  <c r="Z124" i="1" s="1"/>
  <c r="S123" i="1"/>
  <c r="AD123" i="1" s="1"/>
  <c r="AC123" i="1" s="1"/>
  <c r="V122" i="1"/>
  <c r="S122" i="1"/>
  <c r="V121" i="1"/>
  <c r="S121" i="1"/>
  <c r="Z120" i="1"/>
  <c r="V120" i="1"/>
  <c r="Z119" i="1"/>
  <c r="V119" i="1"/>
  <c r="AD118" i="1"/>
  <c r="AC118" i="1" s="1"/>
  <c r="Z118" i="1"/>
  <c r="AB118" i="1" s="1"/>
  <c r="V118" i="1"/>
  <c r="AD117" i="1"/>
  <c r="AC117" i="1" s="1"/>
  <c r="Z117" i="1"/>
  <c r="AA117" i="1" s="1"/>
  <c r="V117" i="1"/>
  <c r="V116" i="1"/>
  <c r="S116" i="1"/>
  <c r="V115" i="1"/>
  <c r="S115" i="1"/>
  <c r="V114" i="1"/>
  <c r="S114" i="1"/>
  <c r="Z114" i="1" s="1"/>
  <c r="V113" i="1"/>
  <c r="S113" i="1"/>
  <c r="Z113" i="1" s="1"/>
  <c r="V112" i="1"/>
  <c r="S112" i="1"/>
  <c r="V111" i="1"/>
  <c r="S111" i="1"/>
  <c r="V110" i="1"/>
  <c r="S110" i="1"/>
  <c r="V109" i="1"/>
  <c r="S109" i="1"/>
  <c r="J127" i="1"/>
  <c r="K127" i="1" s="1"/>
  <c r="J121" i="1"/>
  <c r="J115" i="1"/>
  <c r="J109" i="1"/>
  <c r="K109" i="1" s="1"/>
  <c r="M134" i="1"/>
  <c r="M116" i="1"/>
  <c r="M159" i="1"/>
  <c r="M119" i="1"/>
  <c r="M165" i="1"/>
  <c r="M161" i="1"/>
  <c r="M166" i="1"/>
  <c r="M143" i="1"/>
  <c r="M140" i="1"/>
  <c r="M118" i="1"/>
  <c r="M124" i="1"/>
  <c r="M156" i="1"/>
  <c r="M164" i="1"/>
  <c r="M152" i="1"/>
  <c r="M168" i="1"/>
  <c r="M153" i="1"/>
  <c r="M132" i="1"/>
  <c r="M114" i="1"/>
  <c r="M126" i="1"/>
  <c r="M111" i="1"/>
  <c r="M162" i="1"/>
  <c r="M130" i="1"/>
  <c r="M113" i="1"/>
  <c r="M147" i="1"/>
  <c r="M120" i="1"/>
  <c r="M128" i="1"/>
  <c r="M148" i="1"/>
  <c r="M149" i="1"/>
  <c r="M160" i="1"/>
  <c r="M150" i="1"/>
  <c r="M117" i="1"/>
  <c r="M125" i="1"/>
  <c r="M112" i="1"/>
  <c r="M137" i="1"/>
  <c r="M131" i="1"/>
  <c r="M141" i="1"/>
  <c r="M142" i="1"/>
  <c r="M144" i="1"/>
  <c r="M123" i="1"/>
  <c r="M155" i="1"/>
  <c r="M110" i="1"/>
  <c r="M146" i="1"/>
  <c r="M167" i="1"/>
  <c r="M154" i="1"/>
  <c r="M138" i="1"/>
  <c r="M136" i="1"/>
  <c r="M129" i="1"/>
  <c r="M135" i="1"/>
  <c r="M122" i="1"/>
  <c r="M158" i="1"/>
  <c r="Z139" i="1" l="1"/>
  <c r="Z123" i="1"/>
  <c r="AB123" i="1" s="1"/>
  <c r="Z111" i="1"/>
  <c r="AB111" i="1" s="1"/>
  <c r="AD124" i="1"/>
  <c r="AC124" i="1" s="1"/>
  <c r="AD125" i="1"/>
  <c r="AC125" i="1" s="1"/>
  <c r="AD140" i="1"/>
  <c r="AC140" i="1" s="1"/>
  <c r="AA136" i="1"/>
  <c r="AB136" i="1"/>
  <c r="AD137" i="1"/>
  <c r="AC137" i="1" s="1"/>
  <c r="Z109" i="1"/>
  <c r="AA109" i="1" s="1"/>
  <c r="Z110" i="1"/>
  <c r="AA110" i="1" s="1"/>
  <c r="AB117" i="1"/>
  <c r="Z112" i="1"/>
  <c r="AB112" i="1" s="1"/>
  <c r="AA140" i="1"/>
  <c r="AB140" i="1"/>
  <c r="Z141" i="1"/>
  <c r="AB141" i="1" s="1"/>
  <c r="Z158" i="1"/>
  <c r="AB158" i="1" s="1"/>
  <c r="Z151" i="1"/>
  <c r="AA151" i="1" s="1"/>
  <c r="Z166" i="1"/>
  <c r="AB166" i="1" s="1"/>
  <c r="AA123" i="1"/>
  <c r="AE123" i="1" s="1"/>
  <c r="AD142" i="1"/>
  <c r="AC142" i="1" s="1"/>
  <c r="AD160" i="1"/>
  <c r="AC160" i="1" s="1"/>
  <c r="AA138" i="1"/>
  <c r="AE138" i="1" s="1"/>
  <c r="AD113" i="1"/>
  <c r="AC113" i="1" s="1"/>
  <c r="Z168" i="1"/>
  <c r="AB168" i="1" s="1"/>
  <c r="AD126" i="1"/>
  <c r="AC126" i="1" s="1"/>
  <c r="AD114" i="1"/>
  <c r="AC114" i="1" s="1"/>
  <c r="Z127" i="1"/>
  <c r="AB127" i="1" s="1"/>
  <c r="AE117" i="1"/>
  <c r="AB169" i="1"/>
  <c r="AA169" i="1"/>
  <c r="AB170" i="1"/>
  <c r="AA170" i="1"/>
  <c r="Z165" i="1"/>
  <c r="Z167" i="1"/>
  <c r="K163" i="1"/>
  <c r="Z164" i="1" s="1"/>
  <c r="AB164" i="1" s="1"/>
  <c r="AB142" i="1"/>
  <c r="AA142" i="1"/>
  <c r="AA143" i="1"/>
  <c r="AB143" i="1"/>
  <c r="AB147" i="1"/>
  <c r="AA147" i="1"/>
  <c r="AE136" i="1"/>
  <c r="AB160" i="1"/>
  <c r="AA160" i="1"/>
  <c r="AB149" i="1"/>
  <c r="AA149" i="1"/>
  <c r="AD147" i="1"/>
  <c r="AC147" i="1" s="1"/>
  <c r="AD149" i="1"/>
  <c r="AC149" i="1" s="1"/>
  <c r="Z137" i="1"/>
  <c r="AD143" i="1"/>
  <c r="AC143" i="1" s="1"/>
  <c r="Z161" i="1"/>
  <c r="Z135" i="1"/>
  <c r="Z144" i="1"/>
  <c r="Z148" i="1"/>
  <c r="Z150" i="1"/>
  <c r="Z152" i="1"/>
  <c r="Z157" i="1"/>
  <c r="Z159" i="1"/>
  <c r="Z162" i="1"/>
  <c r="K133" i="1"/>
  <c r="Z134" i="1" s="1"/>
  <c r="AA134" i="1" s="1"/>
  <c r="K145" i="1"/>
  <c r="Z145" i="1" s="1"/>
  <c r="AA113" i="1"/>
  <c r="AB113" i="1"/>
  <c r="AB126" i="1"/>
  <c r="AA126" i="1"/>
  <c r="AB124" i="1"/>
  <c r="AA124" i="1"/>
  <c r="AB114" i="1"/>
  <c r="AA114" i="1"/>
  <c r="AB125" i="1"/>
  <c r="AA125" i="1"/>
  <c r="AA118" i="1"/>
  <c r="AE118" i="1" s="1"/>
  <c r="K121" i="1"/>
  <c r="Z121" i="1" s="1"/>
  <c r="AB121" i="1" s="1"/>
  <c r="K115" i="1"/>
  <c r="Z116" i="1" s="1"/>
  <c r="AE125" i="1" l="1"/>
  <c r="AE140" i="1"/>
  <c r="AE124" i="1"/>
  <c r="AA111" i="1"/>
  <c r="AE126" i="1"/>
  <c r="AA112" i="1"/>
  <c r="Z146" i="1"/>
  <c r="AA127" i="1"/>
  <c r="AB110" i="1"/>
  <c r="AB109" i="1"/>
  <c r="Z163" i="1"/>
  <c r="AA163" i="1" s="1"/>
  <c r="AB151" i="1"/>
  <c r="AE114" i="1"/>
  <c r="AA164" i="1"/>
  <c r="Z133" i="1"/>
  <c r="AA133" i="1" s="1"/>
  <c r="AE160" i="1"/>
  <c r="AA141" i="1"/>
  <c r="AE141" i="1" s="1"/>
  <c r="AA158" i="1"/>
  <c r="AA168" i="1"/>
  <c r="AE168" i="1" s="1"/>
  <c r="AA166" i="1"/>
  <c r="AE166" i="1" s="1"/>
  <c r="AA145" i="1"/>
  <c r="AB145" i="1"/>
  <c r="AB116" i="1"/>
  <c r="AA116" i="1"/>
  <c r="Z115" i="1"/>
  <c r="AE113" i="1"/>
  <c r="AB134" i="1"/>
  <c r="AE142" i="1"/>
  <c r="AA121" i="1"/>
  <c r="AE149" i="1"/>
  <c r="Z122" i="1"/>
  <c r="AB165" i="1"/>
  <c r="AA165" i="1"/>
  <c r="AE165" i="1" s="1"/>
  <c r="AB167" i="1"/>
  <c r="AA167" i="1"/>
  <c r="AE167" i="1" s="1"/>
  <c r="AB135" i="1"/>
  <c r="AA135" i="1"/>
  <c r="AE135" i="1" s="1"/>
  <c r="AA139" i="1"/>
  <c r="AB139" i="1"/>
  <c r="AA137" i="1"/>
  <c r="AE137" i="1" s="1"/>
  <c r="AB137" i="1"/>
  <c r="AE147" i="1"/>
  <c r="AB161" i="1"/>
  <c r="AA161" i="1"/>
  <c r="AE161" i="1" s="1"/>
  <c r="AB162" i="1"/>
  <c r="AA162" i="1"/>
  <c r="AE162" i="1" s="1"/>
  <c r="AB159" i="1"/>
  <c r="AA159" i="1"/>
  <c r="AB157" i="1"/>
  <c r="AA157" i="1"/>
  <c r="AB152" i="1"/>
  <c r="AA152" i="1"/>
  <c r="AB144" i="1"/>
  <c r="AA144" i="1"/>
  <c r="AE144" i="1" s="1"/>
  <c r="AE143" i="1"/>
  <c r="AB150" i="1"/>
  <c r="AA150" i="1"/>
  <c r="AE150" i="1" s="1"/>
  <c r="AB148" i="1"/>
  <c r="AA148" i="1"/>
  <c r="AE148" i="1" s="1"/>
  <c r="AB146" i="1"/>
  <c r="AA146" i="1"/>
  <c r="AB163" i="1" l="1"/>
  <c r="AB133" i="1"/>
  <c r="AB122" i="1"/>
  <c r="AA122" i="1"/>
  <c r="AB115" i="1"/>
  <c r="AA115" i="1"/>
  <c r="M163" i="1"/>
  <c r="N163" i="1" s="1"/>
  <c r="O163" i="1" s="1"/>
  <c r="M169" i="1"/>
  <c r="N169" i="1" s="1"/>
  <c r="M151" i="1"/>
  <c r="N151" i="1" s="1"/>
  <c r="M133" i="1"/>
  <c r="N133" i="1" s="1"/>
  <c r="M157" i="1"/>
  <c r="N157" i="1" s="1"/>
  <c r="M139" i="1"/>
  <c r="N139" i="1" s="1"/>
  <c r="M145" i="1"/>
  <c r="N145" i="1" s="1"/>
  <c r="M127" i="1"/>
  <c r="N127" i="1" s="1"/>
  <c r="M121" i="1"/>
  <c r="N121" i="1" s="1"/>
  <c r="M109" i="1"/>
  <c r="N109" i="1" s="1"/>
  <c r="M115" i="1"/>
  <c r="N115" i="1" s="1"/>
  <c r="P163" i="1" l="1"/>
  <c r="O169" i="1"/>
  <c r="P169" i="1"/>
  <c r="AD164" i="1"/>
  <c r="AC164" i="1" s="1"/>
  <c r="AE164" i="1" s="1"/>
  <c r="AD163" i="1"/>
  <c r="AC163" i="1" s="1"/>
  <c r="AE163" i="1" s="1"/>
  <c r="O145" i="1"/>
  <c r="P145" i="1"/>
  <c r="O139" i="1"/>
  <c r="AD139" i="1" s="1"/>
  <c r="AC139" i="1" s="1"/>
  <c r="AE139" i="1" s="1"/>
  <c r="P139" i="1"/>
  <c r="P157" i="1"/>
  <c r="O157" i="1"/>
  <c r="O133" i="1"/>
  <c r="P133" i="1"/>
  <c r="O151" i="1"/>
  <c r="P151" i="1"/>
  <c r="O115" i="1"/>
  <c r="P115" i="1"/>
  <c r="O109" i="1"/>
  <c r="P109" i="1"/>
  <c r="O121" i="1"/>
  <c r="P121" i="1"/>
  <c r="P127" i="1"/>
  <c r="O127" i="1"/>
  <c r="AD127" i="1" s="1"/>
  <c r="AC127" i="1" s="1"/>
  <c r="AE127" i="1" s="1"/>
  <c r="AD169" i="1" l="1"/>
  <c r="AC169" i="1" s="1"/>
  <c r="AE169" i="1" s="1"/>
  <c r="AD170" i="1"/>
  <c r="AC170" i="1" s="1"/>
  <c r="AE170" i="1" s="1"/>
  <c r="AD152" i="1"/>
  <c r="AC152" i="1" s="1"/>
  <c r="AE152" i="1" s="1"/>
  <c r="AD151" i="1"/>
  <c r="AC151" i="1" s="1"/>
  <c r="AE151" i="1" s="1"/>
  <c r="AD133" i="1"/>
  <c r="AC133" i="1" s="1"/>
  <c r="AE133" i="1" s="1"/>
  <c r="AD134" i="1"/>
  <c r="AC134" i="1" s="1"/>
  <c r="AE134" i="1" s="1"/>
  <c r="AD159" i="1"/>
  <c r="AC159" i="1" s="1"/>
  <c r="AE159" i="1" s="1"/>
  <c r="AD158" i="1"/>
  <c r="AC158" i="1" s="1"/>
  <c r="AE158" i="1" s="1"/>
  <c r="AD157" i="1"/>
  <c r="AC157" i="1" s="1"/>
  <c r="AE157" i="1" s="1"/>
  <c r="AD146" i="1"/>
  <c r="AC146" i="1" s="1"/>
  <c r="AE146" i="1" s="1"/>
  <c r="AD145" i="1"/>
  <c r="AC145" i="1" s="1"/>
  <c r="AE145" i="1" s="1"/>
  <c r="AD122" i="1"/>
  <c r="AC122" i="1" s="1"/>
  <c r="AE122" i="1" s="1"/>
  <c r="AD121" i="1"/>
  <c r="AC121" i="1" s="1"/>
  <c r="AE121" i="1" s="1"/>
  <c r="AD109" i="1"/>
  <c r="AC109" i="1" s="1"/>
  <c r="AE109" i="1" s="1"/>
  <c r="AD110" i="1"/>
  <c r="AC110" i="1" s="1"/>
  <c r="AE110" i="1" s="1"/>
  <c r="AD112" i="1"/>
  <c r="AC112" i="1" s="1"/>
  <c r="AE112" i="1" s="1"/>
  <c r="AD111" i="1"/>
  <c r="AC111" i="1" s="1"/>
  <c r="AE111" i="1" s="1"/>
  <c r="AD115" i="1"/>
  <c r="AC115" i="1" s="1"/>
  <c r="AE115" i="1" s="1"/>
  <c r="AD116" i="1"/>
  <c r="AC116" i="1" s="1"/>
  <c r="AE116" i="1" s="1"/>
  <c r="V108" i="1" l="1"/>
  <c r="S108" i="1"/>
  <c r="AD108" i="1" s="1"/>
  <c r="AC108" i="1" s="1"/>
  <c r="V107" i="1"/>
  <c r="S107" i="1"/>
  <c r="AD107" i="1" s="1"/>
  <c r="AC107" i="1" s="1"/>
  <c r="V106" i="1"/>
  <c r="S106" i="1"/>
  <c r="AD106" i="1" s="1"/>
  <c r="AC106" i="1" s="1"/>
  <c r="V105" i="1"/>
  <c r="S105" i="1"/>
  <c r="AD105" i="1" s="1"/>
  <c r="AC105" i="1" s="1"/>
  <c r="V104" i="1"/>
  <c r="S104" i="1"/>
  <c r="AD104" i="1" s="1"/>
  <c r="AC104" i="1" s="1"/>
  <c r="V103" i="1"/>
  <c r="S103" i="1"/>
  <c r="V102" i="1"/>
  <c r="S102" i="1"/>
  <c r="AD102" i="1" s="1"/>
  <c r="AC102" i="1" s="1"/>
  <c r="V101" i="1"/>
  <c r="S101" i="1"/>
  <c r="AD101" i="1" s="1"/>
  <c r="AC101" i="1" s="1"/>
  <c r="V100" i="1"/>
  <c r="S100" i="1"/>
  <c r="Z100" i="1" s="1"/>
  <c r="AB100" i="1" s="1"/>
  <c r="V99" i="1"/>
  <c r="S99" i="1"/>
  <c r="AD99" i="1" s="1"/>
  <c r="AC99" i="1" s="1"/>
  <c r="V98" i="1"/>
  <c r="S98" i="1"/>
  <c r="AD98" i="1" s="1"/>
  <c r="AC98" i="1" s="1"/>
  <c r="V97" i="1"/>
  <c r="S97" i="1"/>
  <c r="V96" i="1"/>
  <c r="S96" i="1"/>
  <c r="Z96" i="1" s="1"/>
  <c r="AB96" i="1" s="1"/>
  <c r="V95" i="1"/>
  <c r="S95" i="1"/>
  <c r="AD95" i="1" s="1"/>
  <c r="AC95" i="1" s="1"/>
  <c r="V94" i="1"/>
  <c r="S94" i="1"/>
  <c r="AD94" i="1" s="1"/>
  <c r="AC94" i="1" s="1"/>
  <c r="V93" i="1"/>
  <c r="S93" i="1"/>
  <c r="AD93" i="1" s="1"/>
  <c r="AC93" i="1" s="1"/>
  <c r="V92" i="1"/>
  <c r="S92" i="1"/>
  <c r="AD92" i="1" s="1"/>
  <c r="AC92" i="1" s="1"/>
  <c r="V91" i="1"/>
  <c r="S91" i="1"/>
  <c r="V90" i="1"/>
  <c r="S90" i="1"/>
  <c r="AD90" i="1" s="1"/>
  <c r="AC90" i="1" s="1"/>
  <c r="V89" i="1"/>
  <c r="S89" i="1"/>
  <c r="AD89" i="1" s="1"/>
  <c r="AC89" i="1" s="1"/>
  <c r="V88" i="1"/>
  <c r="S88" i="1"/>
  <c r="Z88" i="1" s="1"/>
  <c r="AB88" i="1" s="1"/>
  <c r="AD87" i="1"/>
  <c r="AC87" i="1" s="1"/>
  <c r="Z87" i="1"/>
  <c r="AB87" i="1" s="1"/>
  <c r="AD86" i="1"/>
  <c r="AC86" i="1" s="1"/>
  <c r="Z86" i="1"/>
  <c r="AA86" i="1" s="1"/>
  <c r="V85" i="1"/>
  <c r="S85" i="1"/>
  <c r="J103" i="1"/>
  <c r="K103" i="1" s="1"/>
  <c r="J97" i="1"/>
  <c r="K97" i="1" s="1"/>
  <c r="J91" i="1"/>
  <c r="K91" i="1" s="1"/>
  <c r="J85" i="1"/>
  <c r="K85" i="1" s="1"/>
  <c r="M93" i="1"/>
  <c r="M90" i="1"/>
  <c r="M95" i="1"/>
  <c r="M87" i="1"/>
  <c r="M88" i="1"/>
  <c r="M94" i="1"/>
  <c r="M104" i="1"/>
  <c r="M98" i="1"/>
  <c r="M105" i="1"/>
  <c r="M99" i="1"/>
  <c r="M108" i="1"/>
  <c r="M96" i="1"/>
  <c r="M102" i="1"/>
  <c r="M107" i="1"/>
  <c r="M100" i="1"/>
  <c r="M89" i="1"/>
  <c r="M86" i="1"/>
  <c r="M101" i="1"/>
  <c r="M106" i="1"/>
  <c r="M92" i="1"/>
  <c r="Z98" i="1" l="1"/>
  <c r="AB98" i="1" s="1"/>
  <c r="Z85" i="1"/>
  <c r="AB85" i="1" s="1"/>
  <c r="Z104" i="1"/>
  <c r="AB104" i="1" s="1"/>
  <c r="AD88" i="1"/>
  <c r="AC88" i="1" s="1"/>
  <c r="Z94" i="1"/>
  <c r="AB94" i="1" s="1"/>
  <c r="AD100" i="1"/>
  <c r="AC100" i="1" s="1"/>
  <c r="Z90" i="1"/>
  <c r="AB90" i="1" s="1"/>
  <c r="Z106" i="1"/>
  <c r="AB106" i="1" s="1"/>
  <c r="AD96" i="1"/>
  <c r="AC96" i="1" s="1"/>
  <c r="AE86" i="1"/>
  <c r="Z102" i="1"/>
  <c r="AB102" i="1" s="1"/>
  <c r="Z92" i="1"/>
  <c r="AB92" i="1" s="1"/>
  <c r="Z108" i="1"/>
  <c r="AB108" i="1" s="1"/>
  <c r="AB86" i="1"/>
  <c r="Z89" i="1"/>
  <c r="Z91" i="1"/>
  <c r="Z93" i="1"/>
  <c r="Z95" i="1"/>
  <c r="Z97" i="1"/>
  <c r="Z99" i="1"/>
  <c r="Z101" i="1"/>
  <c r="Z103" i="1"/>
  <c r="Z105" i="1"/>
  <c r="Z107" i="1"/>
  <c r="AA87" i="1"/>
  <c r="AE87" i="1" s="1"/>
  <c r="AA88" i="1"/>
  <c r="AE88" i="1" s="1"/>
  <c r="AA90" i="1"/>
  <c r="AE90" i="1" s="1"/>
  <c r="AA94" i="1"/>
  <c r="AE94" i="1" s="1"/>
  <c r="AA96" i="1"/>
  <c r="AE96" i="1" s="1"/>
  <c r="AA98" i="1"/>
  <c r="AE98" i="1" s="1"/>
  <c r="AA100" i="1"/>
  <c r="AA85" i="1" l="1"/>
  <c r="AA104" i="1"/>
  <c r="AE104" i="1" s="1"/>
  <c r="AA92" i="1"/>
  <c r="AE92" i="1" s="1"/>
  <c r="AA102" i="1"/>
  <c r="AE102" i="1" s="1"/>
  <c r="AE100" i="1"/>
  <c r="AA108" i="1"/>
  <c r="AE108" i="1" s="1"/>
  <c r="AA106" i="1"/>
  <c r="AE106" i="1" s="1"/>
  <c r="AB107" i="1"/>
  <c r="AA107" i="1"/>
  <c r="AE107" i="1" s="1"/>
  <c r="AB101" i="1"/>
  <c r="AA101" i="1"/>
  <c r="AE101" i="1" s="1"/>
  <c r="AB89" i="1"/>
  <c r="AA89" i="1"/>
  <c r="AE89" i="1" s="1"/>
  <c r="AB99" i="1"/>
  <c r="AA99" i="1"/>
  <c r="AE99" i="1" s="1"/>
  <c r="AB91" i="1"/>
  <c r="AA91" i="1"/>
  <c r="AB97" i="1"/>
  <c r="AA97" i="1"/>
  <c r="AB93" i="1"/>
  <c r="AA93" i="1"/>
  <c r="AE93" i="1" s="1"/>
  <c r="AB105" i="1"/>
  <c r="AA105" i="1"/>
  <c r="AE105" i="1" s="1"/>
  <c r="AB103" i="1"/>
  <c r="AA103" i="1"/>
  <c r="AB95" i="1"/>
  <c r="AA95" i="1"/>
  <c r="AE95" i="1" s="1"/>
  <c r="M85" i="1" l="1"/>
  <c r="N85" i="1" s="1"/>
  <c r="M103" i="1"/>
  <c r="N103" i="1" s="1"/>
  <c r="M91" i="1"/>
  <c r="N91" i="1" s="1"/>
  <c r="M97" i="1"/>
  <c r="N97" i="1" s="1"/>
  <c r="P103" i="1" l="1"/>
  <c r="O103" i="1"/>
  <c r="O97" i="1"/>
  <c r="AD97" i="1" s="1"/>
  <c r="AC97" i="1" s="1"/>
  <c r="AE97" i="1" s="1"/>
  <c r="P97" i="1"/>
  <c r="P91" i="1"/>
  <c r="O91" i="1"/>
  <c r="AD91" i="1" s="1"/>
  <c r="AC91" i="1" s="1"/>
  <c r="AE91" i="1" s="1"/>
  <c r="O85" i="1"/>
  <c r="AD85" i="1" s="1"/>
  <c r="AC85" i="1" s="1"/>
  <c r="AE85" i="1" s="1"/>
  <c r="P85" i="1"/>
  <c r="AD103" i="1" l="1"/>
  <c r="AC103" i="1" s="1"/>
  <c r="AE103" i="1" s="1"/>
  <c r="V84" i="1"/>
  <c r="S84" i="1"/>
  <c r="AD84" i="1" s="1"/>
  <c r="AC84" i="1" s="1"/>
  <c r="V83" i="1"/>
  <c r="S83" i="1"/>
  <c r="Z83" i="1" s="1"/>
  <c r="V82" i="1"/>
  <c r="S82" i="1"/>
  <c r="AD82" i="1" s="1"/>
  <c r="AC82" i="1" s="1"/>
  <c r="V81" i="1"/>
  <c r="S81" i="1"/>
  <c r="Z81" i="1" s="1"/>
  <c r="V80" i="1"/>
  <c r="S80" i="1"/>
  <c r="AD80" i="1" s="1"/>
  <c r="AC80" i="1" s="1"/>
  <c r="V79" i="1"/>
  <c r="S79" i="1"/>
  <c r="V78" i="1"/>
  <c r="S78" i="1"/>
  <c r="AD78" i="1" s="1"/>
  <c r="AC78" i="1" s="1"/>
  <c r="AD77" i="1"/>
  <c r="AC77" i="1" s="1"/>
  <c r="V77" i="1"/>
  <c r="S77" i="1"/>
  <c r="Z77" i="1" s="1"/>
  <c r="V76" i="1"/>
  <c r="S76" i="1"/>
  <c r="AD76" i="1" s="1"/>
  <c r="AC76" i="1" s="1"/>
  <c r="V75" i="1"/>
  <c r="S75" i="1"/>
  <c r="Z75" i="1" s="1"/>
  <c r="V74" i="1"/>
  <c r="S74" i="1"/>
  <c r="V73" i="1"/>
  <c r="S73" i="1"/>
  <c r="V72" i="1"/>
  <c r="S72" i="1"/>
  <c r="Z72" i="1" s="1"/>
  <c r="AA72" i="1" s="1"/>
  <c r="V71" i="1"/>
  <c r="S71" i="1"/>
  <c r="Z71" i="1" s="1"/>
  <c r="V70" i="1"/>
  <c r="S70" i="1"/>
  <c r="AD70" i="1" s="1"/>
  <c r="AC70" i="1" s="1"/>
  <c r="V69" i="1"/>
  <c r="S69" i="1"/>
  <c r="Z69" i="1" s="1"/>
  <c r="V68" i="1"/>
  <c r="S68" i="1"/>
  <c r="V67" i="1"/>
  <c r="S67" i="1"/>
  <c r="V66" i="1"/>
  <c r="S66" i="1"/>
  <c r="AD66" i="1" s="1"/>
  <c r="AC66" i="1" s="1"/>
  <c r="V65" i="1"/>
  <c r="S65" i="1"/>
  <c r="Z65" i="1" s="1"/>
  <c r="V64" i="1"/>
  <c r="S64" i="1"/>
  <c r="V63" i="1"/>
  <c r="S63" i="1"/>
  <c r="V62" i="1"/>
  <c r="S62" i="1"/>
  <c r="V61" i="1"/>
  <c r="S61" i="1"/>
  <c r="J79" i="1"/>
  <c r="K79" i="1" s="1"/>
  <c r="J73" i="1"/>
  <c r="J67" i="1"/>
  <c r="J61" i="1"/>
  <c r="K61" i="1" s="1"/>
  <c r="M76" i="1"/>
  <c r="M74" i="1"/>
  <c r="M63" i="1"/>
  <c r="M84" i="1"/>
  <c r="M80" i="1"/>
  <c r="M66" i="1"/>
  <c r="M68" i="1"/>
  <c r="M69" i="1"/>
  <c r="M78" i="1"/>
  <c r="M71" i="1"/>
  <c r="M81" i="1"/>
  <c r="M82" i="1"/>
  <c r="M83" i="1"/>
  <c r="M70" i="1"/>
  <c r="M62" i="1"/>
  <c r="M77" i="1"/>
  <c r="M65" i="1"/>
  <c r="M75" i="1"/>
  <c r="M64" i="1"/>
  <c r="M72" i="1"/>
  <c r="Z64" i="1" l="1"/>
  <c r="AA64" i="1" s="1"/>
  <c r="Z79" i="1"/>
  <c r="AB79" i="1" s="1"/>
  <c r="AD72" i="1"/>
  <c r="AC72" i="1" s="1"/>
  <c r="AE72" i="1" s="1"/>
  <c r="AD81" i="1"/>
  <c r="AC81" i="1" s="1"/>
  <c r="AD69" i="1"/>
  <c r="AC69" i="1" s="1"/>
  <c r="Z82" i="1"/>
  <c r="AB82" i="1" s="1"/>
  <c r="Z78" i="1"/>
  <c r="AB78" i="1" s="1"/>
  <c r="AD65" i="1"/>
  <c r="AC65" i="1" s="1"/>
  <c r="Z70" i="1"/>
  <c r="AB70" i="1" s="1"/>
  <c r="Z66" i="1"/>
  <c r="AB66" i="1" s="1"/>
  <c r="AD75" i="1"/>
  <c r="AC75" i="1" s="1"/>
  <c r="AD83" i="1"/>
  <c r="AC83" i="1" s="1"/>
  <c r="Z80" i="1"/>
  <c r="AB80" i="1" s="1"/>
  <c r="Z61" i="1"/>
  <c r="AB61" i="1" s="1"/>
  <c r="AD71" i="1"/>
  <c r="AC71" i="1" s="1"/>
  <c r="Z76" i="1"/>
  <c r="AB76" i="1" s="1"/>
  <c r="Z62" i="1"/>
  <c r="AB62" i="1" s="1"/>
  <c r="Z84" i="1"/>
  <c r="AB84" i="1" s="1"/>
  <c r="Z63" i="1"/>
  <c r="AA63" i="1" s="1"/>
  <c r="AB69" i="1"/>
  <c r="AA69" i="1"/>
  <c r="AB81" i="1"/>
  <c r="AA81" i="1"/>
  <c r="AB75" i="1"/>
  <c r="AA75" i="1"/>
  <c r="AB83" i="1"/>
  <c r="AA83" i="1"/>
  <c r="AB77" i="1"/>
  <c r="AA77" i="1"/>
  <c r="AE77" i="1" s="1"/>
  <c r="AA79" i="1"/>
  <c r="AB65" i="1"/>
  <c r="AA65" i="1"/>
  <c r="AB71" i="1"/>
  <c r="AA71" i="1"/>
  <c r="AB72" i="1"/>
  <c r="K73" i="1"/>
  <c r="Z73" i="1" s="1"/>
  <c r="K67" i="1"/>
  <c r="Z68" i="1" s="1"/>
  <c r="AE69" i="1" l="1"/>
  <c r="AA82" i="1"/>
  <c r="AE82" i="1" s="1"/>
  <c r="AB63" i="1"/>
  <c r="AB64" i="1"/>
  <c r="AA70" i="1"/>
  <c r="AE70" i="1" s="1"/>
  <c r="AE81" i="1"/>
  <c r="AE83" i="1"/>
  <c r="AE71" i="1"/>
  <c r="AA66" i="1"/>
  <c r="AE66" i="1" s="1"/>
  <c r="AE75" i="1"/>
  <c r="AA78" i="1"/>
  <c r="AE78" i="1" s="1"/>
  <c r="AE65" i="1"/>
  <c r="AA68" i="1"/>
  <c r="AB68" i="1"/>
  <c r="AA73" i="1"/>
  <c r="AB73" i="1"/>
  <c r="Z67" i="1"/>
  <c r="AA80" i="1"/>
  <c r="AE80" i="1" s="1"/>
  <c r="AA76" i="1"/>
  <c r="AE76" i="1" s="1"/>
  <c r="AA62" i="1"/>
  <c r="AA84" i="1"/>
  <c r="AE84" i="1" s="1"/>
  <c r="AA61" i="1"/>
  <c r="Z74" i="1"/>
  <c r="M73" i="1"/>
  <c r="N73" i="1" s="1"/>
  <c r="M79" i="1"/>
  <c r="N79" i="1" s="1"/>
  <c r="M61" i="1"/>
  <c r="N61" i="1" s="1"/>
  <c r="M67" i="1"/>
  <c r="N67" i="1" s="1"/>
  <c r="AA74" i="1" l="1"/>
  <c r="AB74" i="1"/>
  <c r="AB67" i="1"/>
  <c r="AA67" i="1"/>
  <c r="O61" i="1"/>
  <c r="P61" i="1"/>
  <c r="O73" i="1"/>
  <c r="P73" i="1"/>
  <c r="O67" i="1"/>
  <c r="P67" i="1"/>
  <c r="O79" i="1"/>
  <c r="AD79" i="1" s="1"/>
  <c r="AC79" i="1" s="1"/>
  <c r="AE79" i="1" s="1"/>
  <c r="P79" i="1"/>
  <c r="AD67" i="1" l="1"/>
  <c r="AC67" i="1" s="1"/>
  <c r="AE67" i="1" s="1"/>
  <c r="AD68" i="1"/>
  <c r="AC68" i="1" s="1"/>
  <c r="AE68" i="1" s="1"/>
  <c r="AD73" i="1"/>
  <c r="AC73" i="1" s="1"/>
  <c r="AE73" i="1" s="1"/>
  <c r="AD74" i="1"/>
  <c r="AC74" i="1" s="1"/>
  <c r="AE74" i="1" s="1"/>
  <c r="AD64" i="1"/>
  <c r="AC64" i="1" s="1"/>
  <c r="AE64" i="1" s="1"/>
  <c r="AD63" i="1"/>
  <c r="AC63" i="1" s="1"/>
  <c r="AE63" i="1" s="1"/>
  <c r="AD61" i="1"/>
  <c r="AC61" i="1" s="1"/>
  <c r="AE61" i="1" s="1"/>
  <c r="AD62" i="1"/>
  <c r="AC62" i="1" s="1"/>
  <c r="AE62" i="1" s="1"/>
  <c r="V60" i="1" l="1"/>
  <c r="S60" i="1"/>
  <c r="AD60" i="1" s="1"/>
  <c r="AC60" i="1" s="1"/>
  <c r="V59" i="1"/>
  <c r="S59" i="1"/>
  <c r="AD59" i="1" s="1"/>
  <c r="AC59" i="1" s="1"/>
  <c r="V58" i="1"/>
  <c r="S58" i="1"/>
  <c r="AD58" i="1" s="1"/>
  <c r="AC58" i="1" s="1"/>
  <c r="V57" i="1"/>
  <c r="S57" i="1"/>
  <c r="AD57" i="1" s="1"/>
  <c r="AC57" i="1" s="1"/>
  <c r="V56" i="1"/>
  <c r="S56" i="1"/>
  <c r="V55" i="1"/>
  <c r="S55" i="1"/>
  <c r="V54" i="1"/>
  <c r="S54" i="1"/>
  <c r="AD54" i="1" s="1"/>
  <c r="AC54" i="1" s="1"/>
  <c r="V53" i="1"/>
  <c r="S53" i="1"/>
  <c r="AD53" i="1" s="1"/>
  <c r="AC53" i="1" s="1"/>
  <c r="V52" i="1"/>
  <c r="S52" i="1"/>
  <c r="AD52" i="1" s="1"/>
  <c r="AC52" i="1" s="1"/>
  <c r="V51" i="1"/>
  <c r="S51" i="1"/>
  <c r="AD51" i="1" s="1"/>
  <c r="AC51" i="1" s="1"/>
  <c r="V50" i="1"/>
  <c r="S50" i="1"/>
  <c r="V49" i="1"/>
  <c r="S49" i="1"/>
  <c r="V48" i="1"/>
  <c r="S48" i="1"/>
  <c r="AD48" i="1" s="1"/>
  <c r="AC48" i="1" s="1"/>
  <c r="V47" i="1"/>
  <c r="S47" i="1"/>
  <c r="AD47" i="1" s="1"/>
  <c r="AC47" i="1" s="1"/>
  <c r="V46" i="1"/>
  <c r="S46" i="1"/>
  <c r="AD46" i="1" s="1"/>
  <c r="AC46" i="1" s="1"/>
  <c r="V45" i="1"/>
  <c r="S45" i="1"/>
  <c r="V44" i="1"/>
  <c r="S44" i="1"/>
  <c r="V43" i="1"/>
  <c r="S43" i="1"/>
  <c r="V42" i="1"/>
  <c r="S42" i="1"/>
  <c r="AD42" i="1" s="1"/>
  <c r="AC42" i="1" s="1"/>
  <c r="V41" i="1"/>
  <c r="S41" i="1"/>
  <c r="AD41" i="1" s="1"/>
  <c r="AC41" i="1" s="1"/>
  <c r="V40" i="1"/>
  <c r="S40" i="1"/>
  <c r="AD40" i="1" s="1"/>
  <c r="AC40" i="1" s="1"/>
  <c r="V39" i="1"/>
  <c r="S39" i="1"/>
  <c r="AD39" i="1" s="1"/>
  <c r="AC39" i="1" s="1"/>
  <c r="V38" i="1"/>
  <c r="S38" i="1"/>
  <c r="V37" i="1"/>
  <c r="S37" i="1"/>
  <c r="V36" i="1"/>
  <c r="S36" i="1"/>
  <c r="AD36" i="1" s="1"/>
  <c r="AC36" i="1" s="1"/>
  <c r="V35" i="1"/>
  <c r="S35" i="1"/>
  <c r="V34" i="1"/>
  <c r="S34" i="1"/>
  <c r="AD34" i="1" s="1"/>
  <c r="AC34" i="1" s="1"/>
  <c r="V33" i="1"/>
  <c r="S33" i="1"/>
  <c r="V32" i="1"/>
  <c r="S32" i="1"/>
  <c r="V31" i="1"/>
  <c r="S31" i="1"/>
  <c r="J55" i="1"/>
  <c r="K55" i="1" s="1"/>
  <c r="J49" i="1"/>
  <c r="J43" i="1"/>
  <c r="K43" i="1" s="1"/>
  <c r="J37" i="1"/>
  <c r="K37" i="1" s="1"/>
  <c r="J31" i="1"/>
  <c r="M57" i="1"/>
  <c r="M38" i="1"/>
  <c r="M51" i="1"/>
  <c r="M41" i="1"/>
  <c r="M47" i="1"/>
  <c r="M59" i="1"/>
  <c r="M58" i="1"/>
  <c r="M50" i="1"/>
  <c r="M60" i="1"/>
  <c r="M54" i="1"/>
  <c r="M48" i="1"/>
  <c r="M32" i="1"/>
  <c r="M56" i="1"/>
  <c r="M45" i="1"/>
  <c r="M36" i="1"/>
  <c r="M52" i="1"/>
  <c r="M53" i="1"/>
  <c r="M40" i="1"/>
  <c r="M33" i="1"/>
  <c r="M46" i="1"/>
  <c r="M42" i="1"/>
  <c r="M44" i="1"/>
  <c r="M34" i="1"/>
  <c r="M35" i="1"/>
  <c r="M39" i="1"/>
  <c r="Z36" i="1" l="1"/>
  <c r="Z54" i="1"/>
  <c r="AB54" i="1" s="1"/>
  <c r="Z56" i="1"/>
  <c r="AB56" i="1" s="1"/>
  <c r="Z52" i="1"/>
  <c r="AB52" i="1" s="1"/>
  <c r="Z58" i="1"/>
  <c r="AB58" i="1" s="1"/>
  <c r="Z60" i="1"/>
  <c r="AB60" i="1" s="1"/>
  <c r="AB36" i="1"/>
  <c r="AA36" i="1"/>
  <c r="AE36" i="1" s="1"/>
  <c r="Z37" i="1"/>
  <c r="Z41" i="1"/>
  <c r="Z45" i="1"/>
  <c r="Z55" i="1"/>
  <c r="Z59" i="1"/>
  <c r="Z35" i="1"/>
  <c r="Z39" i="1"/>
  <c r="Z43" i="1"/>
  <c r="Z47" i="1"/>
  <c r="Z51" i="1"/>
  <c r="Z53" i="1"/>
  <c r="Z57" i="1"/>
  <c r="AD35" i="1"/>
  <c r="AC35" i="1" s="1"/>
  <c r="Z34" i="1"/>
  <c r="Z38" i="1"/>
  <c r="Z40" i="1"/>
  <c r="Z42" i="1"/>
  <c r="Z44" i="1"/>
  <c r="Z46" i="1"/>
  <c r="Z48" i="1"/>
  <c r="K31" i="1"/>
  <c r="Z33" i="1" s="1"/>
  <c r="K49" i="1"/>
  <c r="Z50" i="1" s="1"/>
  <c r="AA56" i="1" l="1"/>
  <c r="Z49" i="1"/>
  <c r="Z32" i="1"/>
  <c r="AA54" i="1"/>
  <c r="AE54" i="1" s="1"/>
  <c r="AA58" i="1"/>
  <c r="AE58" i="1" s="1"/>
  <c r="Z31" i="1"/>
  <c r="AA52" i="1"/>
  <c r="AE52" i="1" s="1"/>
  <c r="AA60" i="1"/>
  <c r="AE60" i="1" s="1"/>
  <c r="AB46" i="1"/>
  <c r="AA46" i="1"/>
  <c r="AE46" i="1" s="1"/>
  <c r="AB44" i="1"/>
  <c r="AA44" i="1"/>
  <c r="AB32" i="1"/>
  <c r="AA32" i="1"/>
  <c r="AB33" i="1"/>
  <c r="AA33" i="1"/>
  <c r="AB57" i="1"/>
  <c r="AA57" i="1"/>
  <c r="AE57" i="1" s="1"/>
  <c r="AB43" i="1"/>
  <c r="AA43" i="1"/>
  <c r="AA39" i="1"/>
  <c r="AE39" i="1" s="1"/>
  <c r="AB39" i="1"/>
  <c r="AB47" i="1"/>
  <c r="AA47" i="1"/>
  <c r="AE47" i="1" s="1"/>
  <c r="AB50" i="1"/>
  <c r="AA50" i="1"/>
  <c r="AB35" i="1"/>
  <c r="AA35" i="1"/>
  <c r="AE35" i="1" s="1"/>
  <c r="AB48" i="1"/>
  <c r="AA48" i="1"/>
  <c r="AE48" i="1" s="1"/>
  <c r="AB31" i="1"/>
  <c r="AA31" i="1"/>
  <c r="AB53" i="1"/>
  <c r="AA53" i="1"/>
  <c r="AE53" i="1" s="1"/>
  <c r="AB51" i="1"/>
  <c r="AA51" i="1"/>
  <c r="AE51" i="1" s="1"/>
  <c r="AB59" i="1"/>
  <c r="AA59" i="1"/>
  <c r="AE59" i="1" s="1"/>
  <c r="AB55" i="1"/>
  <c r="AA55" i="1"/>
  <c r="AB42" i="1"/>
  <c r="AA42" i="1"/>
  <c r="AE42" i="1" s="1"/>
  <c r="AB49" i="1"/>
  <c r="AA49" i="1"/>
  <c r="AB40" i="1"/>
  <c r="AA40" i="1"/>
  <c r="AE40" i="1" s="1"/>
  <c r="AB45" i="1"/>
  <c r="AA45" i="1"/>
  <c r="AB38" i="1"/>
  <c r="AA38" i="1"/>
  <c r="AB41" i="1"/>
  <c r="AA41" i="1"/>
  <c r="AE41" i="1" s="1"/>
  <c r="AB34" i="1"/>
  <c r="AA34" i="1"/>
  <c r="AE34" i="1" s="1"/>
  <c r="AB37" i="1"/>
  <c r="AA37" i="1"/>
  <c r="M55" i="1" l="1"/>
  <c r="N55" i="1" s="1"/>
  <c r="M37" i="1"/>
  <c r="N37" i="1" s="1"/>
  <c r="M49" i="1"/>
  <c r="N49" i="1" s="1"/>
  <c r="M43" i="1"/>
  <c r="N43" i="1" s="1"/>
  <c r="M31" i="1"/>
  <c r="N31" i="1" s="1"/>
  <c r="O31" i="1" l="1"/>
  <c r="P31" i="1"/>
  <c r="O37" i="1"/>
  <c r="P37" i="1"/>
  <c r="O43" i="1"/>
  <c r="P43" i="1"/>
  <c r="O55" i="1"/>
  <c r="P55" i="1"/>
  <c r="O49" i="1"/>
  <c r="P49" i="1"/>
  <c r="AD49" i="1" l="1"/>
  <c r="AC49" i="1" s="1"/>
  <c r="AE49" i="1" s="1"/>
  <c r="AD50" i="1"/>
  <c r="AC50" i="1" s="1"/>
  <c r="AE50" i="1" s="1"/>
  <c r="AD55" i="1"/>
  <c r="AC55" i="1" s="1"/>
  <c r="AE55" i="1" s="1"/>
  <c r="AD56" i="1"/>
  <c r="AC56" i="1" s="1"/>
  <c r="AE56" i="1" s="1"/>
  <c r="AD43" i="1"/>
  <c r="AC43" i="1" s="1"/>
  <c r="AE43" i="1" s="1"/>
  <c r="AD45" i="1"/>
  <c r="AC45" i="1" s="1"/>
  <c r="AE45" i="1" s="1"/>
  <c r="AD44" i="1"/>
  <c r="AC44" i="1" s="1"/>
  <c r="AE44" i="1" s="1"/>
  <c r="AD37" i="1"/>
  <c r="AC37" i="1" s="1"/>
  <c r="AE37" i="1" s="1"/>
  <c r="AD38" i="1"/>
  <c r="AC38" i="1" s="1"/>
  <c r="AE38" i="1" s="1"/>
  <c r="AD32" i="1"/>
  <c r="AC32" i="1" s="1"/>
  <c r="AE32" i="1" s="1"/>
  <c r="AD31" i="1"/>
  <c r="AC31" i="1" s="1"/>
  <c r="AE31" i="1" s="1"/>
  <c r="AD33" i="1"/>
  <c r="AC33" i="1" s="1"/>
  <c r="AE33" i="1" s="1"/>
  <c r="V26" i="1" l="1"/>
  <c r="S26" i="1"/>
  <c r="V25" i="1"/>
  <c r="S25" i="1"/>
  <c r="J25" i="1"/>
  <c r="M26" i="1"/>
  <c r="M30" i="1"/>
  <c r="M29" i="1"/>
  <c r="M28" i="1"/>
  <c r="M27" i="1"/>
  <c r="K25" i="1" l="1"/>
  <c r="Z26" i="1" s="1"/>
  <c r="V20" i="1"/>
  <c r="S20" i="1"/>
  <c r="V19" i="1"/>
  <c r="S19" i="1"/>
  <c r="J19" i="1"/>
  <c r="M21" i="1"/>
  <c r="M20" i="1"/>
  <c r="M23" i="1"/>
  <c r="M24" i="1"/>
  <c r="M22" i="1"/>
  <c r="AA26" i="1" l="1"/>
  <c r="AB26" i="1"/>
  <c r="Z25" i="1"/>
  <c r="AA25" i="1" s="1"/>
  <c r="K19" i="1"/>
  <c r="Z20" i="1" s="1"/>
  <c r="S13" i="1"/>
  <c r="V13" i="1"/>
  <c r="S14" i="1"/>
  <c r="V14" i="1"/>
  <c r="AA20" i="1" l="1"/>
  <c r="AB20" i="1"/>
  <c r="AB25" i="1"/>
  <c r="Z19" i="1"/>
  <c r="J13" i="1"/>
  <c r="M17" i="1"/>
  <c r="M18" i="1"/>
  <c r="M14" i="1"/>
  <c r="M16" i="1"/>
  <c r="M15" i="1"/>
  <c r="AB19" i="1" l="1"/>
  <c r="AA19" i="1"/>
  <c r="K13" i="1"/>
  <c r="Z14" i="1" l="1"/>
  <c r="Z13" i="1"/>
  <c r="M25" i="1"/>
  <c r="N25" i="1" s="1"/>
  <c r="M19" i="1"/>
  <c r="N19" i="1" s="1"/>
  <c r="M13" i="1"/>
  <c r="N13" i="1" s="1"/>
  <c r="AA13" i="1" l="1"/>
  <c r="AB13" i="1"/>
  <c r="AB14" i="1"/>
  <c r="AA14" i="1"/>
  <c r="O25" i="1"/>
  <c r="P25" i="1"/>
  <c r="O19" i="1"/>
  <c r="P19" i="1"/>
  <c r="O13" i="1"/>
  <c r="P13" i="1"/>
  <c r="AD26" i="1" l="1"/>
  <c r="AC26" i="1" s="1"/>
  <c r="AE26" i="1" s="1"/>
  <c r="AD25" i="1"/>
  <c r="AC25" i="1" s="1"/>
  <c r="AE25" i="1" s="1"/>
  <c r="AD19" i="1"/>
  <c r="AC19" i="1" s="1"/>
  <c r="AE19" i="1" s="1"/>
  <c r="AD20" i="1"/>
  <c r="AC20" i="1" s="1"/>
  <c r="AE20" i="1" s="1"/>
  <c r="AD14" i="1"/>
  <c r="AC14" i="1" s="1"/>
  <c r="AE14" i="1" s="1"/>
  <c r="AD13" i="1"/>
  <c r="AC13" i="1" s="1"/>
  <c r="AE13" i="1" s="1"/>
  <c r="J12" i="22" l="1"/>
  <c r="B39" i="24" l="1"/>
  <c r="B36" i="24"/>
  <c r="B33" i="24"/>
  <c r="B30" i="24"/>
  <c r="B27" i="24"/>
  <c r="B24" i="24"/>
  <c r="B21" i="24"/>
  <c r="B18" i="24"/>
  <c r="B15" i="24"/>
  <c r="B12" i="24"/>
  <c r="B12" i="23"/>
  <c r="B39" i="23"/>
  <c r="B36" i="23"/>
  <c r="B33" i="23"/>
  <c r="B30" i="23"/>
  <c r="B27" i="23"/>
  <c r="B24" i="23"/>
  <c r="B21" i="23"/>
  <c r="B18" i="23"/>
  <c r="B15" i="23"/>
  <c r="B39" i="22"/>
  <c r="B36" i="22"/>
  <c r="B33" i="22"/>
  <c r="B30" i="22"/>
  <c r="B27" i="22"/>
  <c r="B24" i="22"/>
  <c r="B21" i="22"/>
  <c r="B18" i="22"/>
  <c r="B15" i="22"/>
  <c r="B12" i="22"/>
  <c r="G15" i="24" l="1"/>
  <c r="E18" i="24" l="1"/>
  <c r="I15" i="24"/>
  <c r="G12" i="24"/>
  <c r="E12" i="24"/>
  <c r="E39" i="24" l="1"/>
  <c r="D39" i="24"/>
  <c r="C39" i="24"/>
  <c r="E36" i="24"/>
  <c r="D36" i="24"/>
  <c r="C36" i="24"/>
  <c r="E33" i="24"/>
  <c r="D33" i="24"/>
  <c r="C33" i="24"/>
  <c r="E30" i="24"/>
  <c r="D30" i="24"/>
  <c r="C30" i="24"/>
  <c r="E27" i="24"/>
  <c r="D27" i="24"/>
  <c r="C27" i="24"/>
  <c r="E24" i="24"/>
  <c r="D24" i="24"/>
  <c r="C24" i="24"/>
  <c r="E21" i="24"/>
  <c r="D21" i="24"/>
  <c r="C21" i="24"/>
  <c r="D18" i="24"/>
  <c r="C18" i="24"/>
  <c r="E15" i="24"/>
  <c r="D15" i="24"/>
  <c r="C15" i="24"/>
  <c r="D12" i="24"/>
  <c r="C12" i="24"/>
  <c r="E39" i="23"/>
  <c r="D39" i="23"/>
  <c r="C39" i="23"/>
  <c r="E36" i="23"/>
  <c r="D36" i="23"/>
  <c r="C36" i="23"/>
  <c r="E33" i="23"/>
  <c r="D33" i="23"/>
  <c r="C33" i="23"/>
  <c r="E30" i="23"/>
  <c r="D30" i="23"/>
  <c r="C30" i="23"/>
  <c r="E27" i="23"/>
  <c r="D27" i="23"/>
  <c r="C27" i="23"/>
  <c r="E24" i="23"/>
  <c r="D24" i="23"/>
  <c r="C24" i="23"/>
  <c r="E21" i="23"/>
  <c r="D21" i="23"/>
  <c r="C21" i="23"/>
  <c r="E18" i="23"/>
  <c r="D18" i="23"/>
  <c r="C18" i="23"/>
  <c r="E15" i="23"/>
  <c r="D15" i="23"/>
  <c r="C15" i="23"/>
  <c r="E12" i="23"/>
  <c r="D12" i="23"/>
  <c r="C12" i="23"/>
  <c r="G12" i="23"/>
  <c r="H12" i="23"/>
  <c r="I12" i="23"/>
  <c r="J12" i="23"/>
  <c r="K12" i="23"/>
  <c r="L12" i="23"/>
  <c r="M12" i="23"/>
  <c r="N12" i="23"/>
  <c r="G15" i="23"/>
  <c r="H15" i="23"/>
  <c r="I15" i="23"/>
  <c r="J15" i="23"/>
  <c r="K15" i="23"/>
  <c r="L15" i="23"/>
  <c r="M15" i="23"/>
  <c r="N15" i="23"/>
  <c r="G18" i="23"/>
  <c r="H18" i="23"/>
  <c r="I18" i="23"/>
  <c r="J18" i="23"/>
  <c r="K18" i="23"/>
  <c r="L18" i="23"/>
  <c r="M18" i="23"/>
  <c r="N18" i="23"/>
  <c r="G21" i="23"/>
  <c r="H21" i="23"/>
  <c r="I21" i="23"/>
  <c r="J21" i="23"/>
  <c r="K21" i="23"/>
  <c r="L21" i="23"/>
  <c r="M21" i="23"/>
  <c r="N21" i="23"/>
  <c r="G24" i="23"/>
  <c r="H24" i="23"/>
  <c r="I24" i="23"/>
  <c r="J24" i="23"/>
  <c r="K24" i="23"/>
  <c r="L24" i="23"/>
  <c r="M24" i="23"/>
  <c r="N24" i="23"/>
  <c r="G27" i="23"/>
  <c r="H27" i="23"/>
  <c r="I27" i="23"/>
  <c r="J27" i="23"/>
  <c r="K27" i="23"/>
  <c r="L27" i="23"/>
  <c r="M27" i="23"/>
  <c r="N27" i="23"/>
  <c r="G30" i="23"/>
  <c r="H30" i="23"/>
  <c r="I30" i="23"/>
  <c r="J30" i="23"/>
  <c r="K30" i="23"/>
  <c r="L30" i="23"/>
  <c r="M30" i="23"/>
  <c r="N30" i="23"/>
  <c r="G33" i="23"/>
  <c r="H33" i="23"/>
  <c r="I33" i="23"/>
  <c r="J33" i="23"/>
  <c r="K33" i="23"/>
  <c r="L33" i="23"/>
  <c r="M33" i="23"/>
  <c r="N33" i="23"/>
  <c r="G36" i="23"/>
  <c r="H36" i="23"/>
  <c r="I36" i="23"/>
  <c r="J36" i="23"/>
  <c r="K36" i="23"/>
  <c r="L36" i="23"/>
  <c r="M36" i="23"/>
  <c r="N36" i="23"/>
  <c r="G39" i="23"/>
  <c r="H39" i="23"/>
  <c r="I39" i="23"/>
  <c r="J39" i="23"/>
  <c r="K39" i="23"/>
  <c r="L39" i="23"/>
  <c r="M39" i="23"/>
  <c r="N39" i="23"/>
  <c r="G15" i="22"/>
  <c r="H15" i="22"/>
  <c r="I15" i="22"/>
  <c r="J15" i="22"/>
  <c r="K15" i="22"/>
  <c r="L15" i="22"/>
  <c r="M15" i="22"/>
  <c r="N15" i="22"/>
  <c r="G18" i="22"/>
  <c r="H18" i="22"/>
  <c r="I18" i="22"/>
  <c r="J18" i="22"/>
  <c r="K18" i="22"/>
  <c r="L18" i="22"/>
  <c r="M18" i="22"/>
  <c r="N18" i="22"/>
  <c r="G21" i="22"/>
  <c r="H21" i="22"/>
  <c r="I21" i="22"/>
  <c r="J21" i="22"/>
  <c r="K21" i="22"/>
  <c r="L21" i="22"/>
  <c r="M21" i="22"/>
  <c r="N21" i="22"/>
  <c r="G24" i="22"/>
  <c r="H24" i="22"/>
  <c r="I24" i="22"/>
  <c r="J24" i="22"/>
  <c r="K24" i="22"/>
  <c r="L24" i="22"/>
  <c r="M24" i="22"/>
  <c r="N24" i="22"/>
  <c r="G27" i="22"/>
  <c r="H27" i="22"/>
  <c r="I27" i="22"/>
  <c r="J27" i="22"/>
  <c r="K27" i="22"/>
  <c r="L27" i="22"/>
  <c r="M27" i="22"/>
  <c r="N27" i="22"/>
  <c r="G30" i="22"/>
  <c r="H30" i="22"/>
  <c r="I30" i="22"/>
  <c r="J30" i="22"/>
  <c r="K30" i="22"/>
  <c r="L30" i="22"/>
  <c r="M30" i="22"/>
  <c r="N30" i="22"/>
  <c r="G33" i="22"/>
  <c r="H33" i="22"/>
  <c r="I33" i="22"/>
  <c r="J33" i="22"/>
  <c r="K33" i="22"/>
  <c r="L33" i="22"/>
  <c r="M33" i="22"/>
  <c r="N33" i="22"/>
  <c r="G36" i="22"/>
  <c r="H36" i="22"/>
  <c r="I36" i="22"/>
  <c r="J36" i="22"/>
  <c r="K36" i="22"/>
  <c r="L36" i="22"/>
  <c r="M36" i="22"/>
  <c r="N36" i="22"/>
  <c r="G39" i="22"/>
  <c r="H39" i="22"/>
  <c r="I39" i="22"/>
  <c r="J39" i="22"/>
  <c r="K39" i="22"/>
  <c r="L39" i="22"/>
  <c r="M39" i="22"/>
  <c r="N39" i="22"/>
  <c r="H12" i="22"/>
  <c r="I12" i="22"/>
  <c r="K12" i="22"/>
  <c r="L12" i="22"/>
  <c r="M12" i="22"/>
  <c r="N12" i="22"/>
  <c r="E39" i="22" l="1"/>
  <c r="E36" i="22"/>
  <c r="E33" i="22"/>
  <c r="E30" i="22"/>
  <c r="E27" i="22"/>
  <c r="D39" i="22"/>
  <c r="D36" i="22"/>
  <c r="D33" i="22"/>
  <c r="D30" i="22"/>
  <c r="D27" i="22"/>
  <c r="D24" i="22"/>
  <c r="D21" i="22"/>
  <c r="C39" i="22"/>
  <c r="C36" i="22"/>
  <c r="C33" i="22"/>
  <c r="C30" i="22"/>
  <c r="C27" i="22"/>
  <c r="C24" i="22"/>
  <c r="C21" i="22"/>
  <c r="E24" i="22"/>
  <c r="E21" i="22"/>
  <c r="E18" i="22"/>
  <c r="E15" i="22"/>
  <c r="D18" i="22" l="1"/>
  <c r="D15" i="22"/>
  <c r="D12" i="22"/>
  <c r="C18" i="22"/>
  <c r="C15" i="22"/>
  <c r="E12" i="22" l="1"/>
  <c r="C12" i="22"/>
  <c r="G12" i="22"/>
  <c r="N39" i="24"/>
  <c r="M39" i="24"/>
  <c r="L39" i="24"/>
  <c r="K39" i="24"/>
  <c r="J39" i="24"/>
  <c r="I39" i="24"/>
  <c r="H39" i="24"/>
  <c r="G39" i="24"/>
  <c r="N36" i="24"/>
  <c r="M36" i="24"/>
  <c r="L36" i="24"/>
  <c r="K36" i="24"/>
  <c r="J36" i="24"/>
  <c r="I36" i="24"/>
  <c r="H36" i="24"/>
  <c r="G36" i="24"/>
  <c r="N33" i="24"/>
  <c r="M33" i="24"/>
  <c r="L33" i="24"/>
  <c r="K33" i="24"/>
  <c r="J33" i="24"/>
  <c r="I33" i="24"/>
  <c r="H33" i="24"/>
  <c r="G33" i="24"/>
  <c r="N30" i="24"/>
  <c r="M30" i="24"/>
  <c r="L30" i="24"/>
  <c r="K30" i="24"/>
  <c r="J30" i="24"/>
  <c r="I30" i="24"/>
  <c r="H30" i="24"/>
  <c r="G30" i="24"/>
  <c r="N27" i="24"/>
  <c r="M27" i="24"/>
  <c r="L27" i="24"/>
  <c r="K27" i="24"/>
  <c r="J27" i="24"/>
  <c r="I27" i="24"/>
  <c r="H27" i="24"/>
  <c r="G27" i="24"/>
  <c r="N24" i="24"/>
  <c r="M24" i="24"/>
  <c r="L24" i="24"/>
  <c r="K24" i="24"/>
  <c r="J24" i="24"/>
  <c r="I24" i="24"/>
  <c r="H24" i="24"/>
  <c r="G24" i="24"/>
  <c r="N21" i="24"/>
  <c r="M21" i="24"/>
  <c r="L21" i="24"/>
  <c r="K21" i="24"/>
  <c r="J21" i="24"/>
  <c r="I21" i="24"/>
  <c r="H21" i="24"/>
  <c r="G21" i="24"/>
  <c r="N18" i="24"/>
  <c r="M18" i="24"/>
  <c r="L18" i="24"/>
  <c r="K18" i="24"/>
  <c r="J18" i="24"/>
  <c r="I18" i="24"/>
  <c r="H18" i="24"/>
  <c r="G18" i="24"/>
  <c r="N15" i="24"/>
  <c r="M15" i="24"/>
  <c r="L15" i="24"/>
  <c r="K15" i="24"/>
  <c r="J15" i="24"/>
  <c r="H15" i="24"/>
  <c r="N12" i="24"/>
  <c r="M12" i="24"/>
  <c r="L12" i="24"/>
  <c r="K12" i="24"/>
  <c r="J12" i="24"/>
  <c r="I12" i="24"/>
  <c r="H12" i="24"/>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B221" i="13" a="1"/>
  <c r="H210" i="13"/>
  <c r="AI49" i="19" l="1"/>
  <c r="Z45" i="19"/>
  <c r="N55" i="19"/>
  <c r="AF25" i="19"/>
  <c r="AL45" i="19"/>
  <c r="T15" i="19"/>
  <c r="Z35" i="19"/>
  <c r="AF45" i="19"/>
  <c r="T45" i="19"/>
  <c r="AL15" i="19"/>
  <c r="Z25" i="19"/>
  <c r="Z15" i="19"/>
  <c r="AL35" i="19"/>
  <c r="Y20" i="19"/>
  <c r="Z55" i="19"/>
  <c r="AF15" i="19"/>
  <c r="N45" i="19"/>
  <c r="N35" i="19"/>
  <c r="AL25" i="19"/>
  <c r="N15" i="19"/>
  <c r="AF55" i="19"/>
  <c r="AF35" i="19"/>
  <c r="T25" i="19"/>
  <c r="T55" i="19"/>
  <c r="T35" i="19"/>
  <c r="N25" i="19"/>
  <c r="N33" i="19"/>
  <c r="T43" i="19"/>
  <c r="AL33" i="19"/>
  <c r="AL53" i="19"/>
  <c r="AF43" i="19"/>
  <c r="AL13" i="19"/>
  <c r="Z13" i="19"/>
  <c r="N23" i="19"/>
  <c r="T53" i="19"/>
  <c r="Z33" i="19"/>
  <c r="Z43" i="19"/>
  <c r="Z53" i="19"/>
  <c r="T33" i="19"/>
  <c r="Z23" i="19"/>
  <c r="AL23" i="19"/>
  <c r="N53" i="19"/>
  <c r="AL43" i="19"/>
  <c r="T23" i="19"/>
  <c r="N13" i="19"/>
  <c r="N43" i="19"/>
  <c r="AF13" i="19"/>
  <c r="AF33" i="19"/>
  <c r="L15" i="19"/>
  <c r="AD35" i="19"/>
  <c r="AJ25" i="19"/>
  <c r="AJ55" i="19"/>
  <c r="AD55" i="19"/>
  <c r="R25" i="19"/>
  <c r="AJ35" i="19"/>
  <c r="L35" i="19"/>
  <c r="L45" i="19"/>
  <c r="X15" i="19"/>
  <c r="X25" i="19"/>
  <c r="AD45" i="19"/>
  <c r="X45" i="19"/>
  <c r="L25" i="19"/>
  <c r="R55" i="19"/>
  <c r="AD25" i="19"/>
  <c r="L55" i="19"/>
  <c r="X55" i="19"/>
  <c r="AD15" i="19"/>
  <c r="R35" i="19"/>
  <c r="X35" i="19"/>
  <c r="R15" i="19"/>
  <c r="R45" i="19"/>
  <c r="AJ15" i="19"/>
  <c r="AJ45" i="19"/>
  <c r="AF28" i="19"/>
  <c r="Z18" i="19"/>
  <c r="N38" i="19"/>
  <c r="AL18" i="19"/>
  <c r="AL48" i="19"/>
  <c r="T28" i="19"/>
  <c r="T18" i="19"/>
  <c r="AF48" i="19"/>
  <c r="Z38" i="19"/>
  <c r="T8" i="19"/>
  <c r="T48" i="19"/>
  <c r="T38" i="19"/>
  <c r="AL28" i="19"/>
  <c r="N18" i="19"/>
  <c r="AL38" i="19"/>
  <c r="Z48" i="19"/>
  <c r="N48" i="19"/>
  <c r="AJ30" i="19"/>
  <c r="L40" i="19"/>
  <c r="AD30" i="19"/>
  <c r="X20" i="19"/>
  <c r="X10" i="19"/>
  <c r="R10" i="19"/>
  <c r="AD20" i="19"/>
  <c r="X30" i="19"/>
  <c r="R30" i="19"/>
  <c r="R40" i="19"/>
  <c r="L50" i="19"/>
  <c r="X50" i="19"/>
  <c r="AD40" i="19"/>
  <c r="L10" i="19"/>
  <c r="L20" i="19"/>
  <c r="AJ50" i="19"/>
  <c r="L30" i="19"/>
  <c r="X40" i="19"/>
  <c r="AD50" i="19"/>
  <c r="AJ10" i="19"/>
  <c r="AJ40" i="19"/>
  <c r="AJ20" i="19"/>
  <c r="R50" i="19"/>
  <c r="R20" i="19"/>
  <c r="AD10" i="19"/>
  <c r="Q22" i="19"/>
  <c r="Q12" i="19"/>
  <c r="K42" i="19"/>
  <c r="W32" i="19"/>
  <c r="W52" i="19"/>
  <c r="W12" i="19"/>
  <c r="AC22" i="19"/>
  <c r="AI12" i="19"/>
  <c r="W22" i="19"/>
  <c r="AC42" i="19"/>
  <c r="Q42" i="19"/>
  <c r="AI42" i="19"/>
  <c r="AC12" i="19"/>
  <c r="K32" i="19"/>
  <c r="AC32" i="19"/>
  <c r="K12" i="19"/>
  <c r="AI52" i="19"/>
  <c r="W42" i="19"/>
  <c r="Q32" i="19"/>
  <c r="AI32" i="19"/>
  <c r="K22" i="19"/>
  <c r="AI22" i="19"/>
  <c r="AC52" i="19"/>
  <c r="K52" i="19"/>
  <c r="Q52" i="19"/>
  <c r="Y15" i="19"/>
  <c r="Y25" i="19"/>
  <c r="M45" i="19"/>
  <c r="AK45" i="19"/>
  <c r="AK15" i="19"/>
  <c r="S15" i="19"/>
  <c r="Y35" i="19"/>
  <c r="M55" i="19"/>
  <c r="Y45" i="19"/>
  <c r="S45" i="19"/>
  <c r="AE45" i="19"/>
  <c r="M25" i="19"/>
  <c r="AE25" i="19"/>
  <c r="S35" i="19"/>
  <c r="AE55" i="19"/>
  <c r="AK55" i="19"/>
  <c r="AE35" i="19"/>
  <c r="AK35" i="19"/>
  <c r="S25" i="19"/>
  <c r="M15" i="19"/>
  <c r="S55" i="19"/>
  <c r="M35" i="19"/>
  <c r="AK25" i="19"/>
  <c r="AE15" i="19"/>
  <c r="Y55" i="19"/>
  <c r="AG52" i="19"/>
  <c r="AA22" i="19"/>
  <c r="AG32" i="19"/>
  <c r="AA42" i="19"/>
  <c r="O42" i="19"/>
  <c r="O12" i="19"/>
  <c r="U22" i="19"/>
  <c r="AM22" i="19"/>
  <c r="AA52" i="19"/>
  <c r="O22" i="19"/>
  <c r="AG22" i="19"/>
  <c r="U32" i="19"/>
  <c r="O52" i="19"/>
  <c r="AM12" i="19"/>
  <c r="AM42" i="19"/>
  <c r="AM32" i="19"/>
  <c r="O32" i="19"/>
  <c r="AG12" i="19"/>
  <c r="U52" i="19"/>
  <c r="AA12" i="19"/>
  <c r="U12" i="19"/>
  <c r="AA32" i="19"/>
  <c r="AM52" i="19"/>
  <c r="AG42" i="19"/>
  <c r="AF20" i="19"/>
  <c r="N19" i="19"/>
  <c r="AF18" i="19"/>
  <c r="W31" i="19"/>
  <c r="Q31" i="19"/>
  <c r="AI51" i="19"/>
  <c r="Q21" i="19"/>
  <c r="W51" i="19"/>
  <c r="AI41" i="19"/>
  <c r="AI11" i="19"/>
  <c r="Q41" i="19"/>
  <c r="AI21" i="19"/>
  <c r="W11" i="19"/>
  <c r="AC31" i="19"/>
  <c r="AC11" i="19"/>
  <c r="Q51" i="19"/>
  <c r="W41" i="19"/>
  <c r="AC21" i="19"/>
  <c r="W21" i="19"/>
  <c r="Q11" i="19"/>
  <c r="K41" i="19"/>
  <c r="K11" i="19"/>
  <c r="K21" i="19"/>
  <c r="AL17" i="19"/>
  <c r="Z37" i="19"/>
  <c r="Z17" i="19"/>
  <c r="AL47" i="19"/>
  <c r="Z47" i="19"/>
  <c r="T37" i="19"/>
  <c r="AF27" i="19"/>
  <c r="Z7" i="19"/>
  <c r="T17" i="19"/>
  <c r="N27" i="19"/>
  <c r="AF47" i="19"/>
  <c r="N7" i="19"/>
  <c r="AL27" i="19"/>
  <c r="AL7" i="19"/>
  <c r="T47" i="19"/>
  <c r="Z27" i="19"/>
  <c r="T27" i="19"/>
  <c r="AF37" i="19"/>
  <c r="AF17" i="19"/>
  <c r="N47" i="19"/>
  <c r="AF7" i="19"/>
  <c r="N17" i="19"/>
  <c r="N37" i="19"/>
  <c r="T7" i="19"/>
  <c r="AL37" i="19"/>
  <c r="S9" i="19"/>
  <c r="M19" i="19"/>
  <c r="AM45" i="19"/>
  <c r="AG55" i="19"/>
  <c r="AA15" i="19"/>
  <c r="U35" i="19"/>
  <c r="O55" i="19"/>
  <c r="U45" i="19"/>
  <c r="AG15" i="19"/>
  <c r="AG35" i="19"/>
  <c r="U25" i="19"/>
  <c r="AA45" i="19"/>
  <c r="AM55" i="19"/>
  <c r="O35" i="19"/>
  <c r="AM35" i="19"/>
  <c r="AA25" i="19"/>
  <c r="O45" i="19"/>
  <c r="AM25" i="19"/>
  <c r="AA35" i="19"/>
  <c r="AG25" i="19"/>
  <c r="AM15" i="19"/>
  <c r="O15" i="19"/>
  <c r="AA55" i="19"/>
  <c r="O25" i="19"/>
  <c r="U15" i="19"/>
  <c r="U55" i="19"/>
  <c r="AG45" i="19"/>
  <c r="K53" i="19"/>
  <c r="W33" i="19"/>
  <c r="AI23" i="19"/>
  <c r="W43" i="19"/>
  <c r="K23" i="19"/>
  <c r="AC23" i="19"/>
  <c r="Q13" i="19"/>
  <c r="K13" i="19"/>
  <c r="AI43" i="19"/>
  <c r="AC33" i="19"/>
  <c r="W13" i="19"/>
  <c r="AI53" i="19"/>
  <c r="AI13" i="19"/>
  <c r="W53" i="19"/>
  <c r="AC53" i="19"/>
  <c r="Q23" i="19"/>
  <c r="K43" i="19"/>
  <c r="AC43" i="19"/>
  <c r="Q33" i="19"/>
  <c r="W23" i="19"/>
  <c r="AI33" i="19"/>
  <c r="Q53" i="19"/>
  <c r="AC13" i="19"/>
  <c r="Q43" i="19"/>
  <c r="K33" i="19"/>
  <c r="AK31" i="19"/>
  <c r="Y21" i="19"/>
  <c r="S31" i="19"/>
  <c r="S41" i="19"/>
  <c r="AE49" i="19"/>
  <c r="AE39" i="19"/>
  <c r="AK21" i="19"/>
  <c r="AE19" i="19"/>
  <c r="AL40" i="19"/>
  <c r="M31" i="19"/>
  <c r="S19" i="19"/>
  <c r="N50" i="19"/>
  <c r="AE11" i="19"/>
  <c r="AK39" i="19"/>
  <c r="AL50" i="19"/>
  <c r="S51" i="19"/>
  <c r="AE31" i="19"/>
  <c r="S11" i="19"/>
  <c r="AK29" i="19"/>
  <c r="Z28" i="19"/>
  <c r="M51" i="19"/>
  <c r="M21" i="19"/>
  <c r="S39" i="19"/>
  <c r="AK11" i="19"/>
  <c r="S21" i="19"/>
  <c r="AK49" i="19"/>
  <c r="M41" i="19"/>
  <c r="Y31" i="19"/>
  <c r="Y41" i="19"/>
  <c r="Y49" i="19"/>
  <c r="AK51" i="19"/>
  <c r="AE41" i="19"/>
  <c r="M29" i="19"/>
  <c r="Y39" i="19"/>
  <c r="AL55" i="19"/>
  <c r="AE21" i="19"/>
  <c r="S49" i="19"/>
  <c r="AE29" i="19"/>
  <c r="M11" i="19"/>
  <c r="S29" i="19"/>
  <c r="Y9" i="19"/>
  <c r="Y11" i="19"/>
  <c r="Y29" i="19"/>
  <c r="M49" i="19"/>
  <c r="AE51" i="19"/>
  <c r="Y19" i="19"/>
  <c r="M9" i="19"/>
  <c r="O17" i="19"/>
  <c r="AK41" i="19"/>
  <c r="Y51" i="19"/>
  <c r="AK9" i="19"/>
  <c r="AE9" i="19"/>
  <c r="M39" i="19"/>
  <c r="AK19" i="19"/>
  <c r="X8" i="19"/>
  <c r="R28" i="19"/>
  <c r="AJ28" i="19"/>
  <c r="R18" i="19"/>
  <c r="AD48" i="19"/>
  <c r="X38" i="19"/>
  <c r="L28" i="19"/>
  <c r="R48" i="19"/>
  <c r="X18" i="19"/>
  <c r="AJ8" i="19"/>
  <c r="X48" i="19"/>
  <c r="AJ38" i="19"/>
  <c r="AD18" i="19"/>
  <c r="L18" i="19"/>
  <c r="AD38" i="19"/>
  <c r="AJ18" i="19"/>
  <c r="X28" i="19"/>
  <c r="L38" i="19"/>
  <c r="L48" i="19"/>
  <c r="R38" i="19"/>
  <c r="AD8" i="19"/>
  <c r="R8" i="19"/>
  <c r="L8" i="19"/>
  <c r="AD28" i="19"/>
  <c r="AJ48" i="19"/>
  <c r="O30" i="19"/>
  <c r="U30" i="19"/>
  <c r="AM50" i="19"/>
  <c r="AA20" i="19"/>
  <c r="O20" i="19"/>
  <c r="O40" i="19"/>
  <c r="AM20" i="19"/>
  <c r="U40" i="19"/>
  <c r="O50" i="19"/>
  <c r="U20" i="19"/>
  <c r="AA30" i="19"/>
  <c r="AG20" i="19"/>
  <c r="AA40" i="19"/>
  <c r="AG50" i="19"/>
  <c r="AA10" i="19"/>
  <c r="AM30" i="19"/>
  <c r="O10" i="19"/>
  <c r="U50" i="19"/>
  <c r="AG30" i="19"/>
  <c r="U10" i="19"/>
  <c r="AM10" i="19"/>
  <c r="AM40" i="19"/>
  <c r="AG10" i="19"/>
  <c r="AA50" i="19"/>
  <c r="AG40" i="19"/>
  <c r="Z11" i="19"/>
  <c r="AL51" i="19"/>
  <c r="AF11" i="19"/>
  <c r="AL31" i="19"/>
  <c r="AF51" i="19"/>
  <c r="Z21" i="19"/>
  <c r="AF21" i="19"/>
  <c r="T11" i="19"/>
  <c r="AF41" i="19"/>
  <c r="AF31" i="19"/>
  <c r="Z41" i="19"/>
  <c r="N41" i="19"/>
  <c r="T51" i="19"/>
  <c r="Z51" i="19"/>
  <c r="AL41" i="19"/>
  <c r="T41" i="19"/>
  <c r="T21" i="19"/>
  <c r="Z31" i="19"/>
  <c r="AL11" i="19"/>
  <c r="N11" i="19"/>
  <c r="N51" i="19"/>
  <c r="T31" i="19"/>
  <c r="N31" i="19"/>
  <c r="N21" i="19"/>
  <c r="AL21" i="19"/>
  <c r="O19" i="19"/>
  <c r="U29" i="19"/>
  <c r="AA29" i="19"/>
  <c r="AA39" i="19"/>
  <c r="AI38" i="19"/>
  <c r="W8" i="19"/>
  <c r="AC18" i="19"/>
  <c r="AC38" i="19"/>
  <c r="W18" i="19"/>
  <c r="Q8" i="19"/>
  <c r="W28" i="19"/>
  <c r="K8" i="19"/>
  <c r="W38" i="19"/>
  <c r="AC28" i="19"/>
  <c r="AI28" i="19"/>
  <c r="Q28" i="19"/>
  <c r="AI8" i="19"/>
  <c r="K28" i="19"/>
  <c r="AI18" i="19"/>
  <c r="AC48" i="19"/>
  <c r="K18" i="19"/>
  <c r="AC8" i="19"/>
  <c r="Q18" i="19"/>
  <c r="W48" i="19"/>
  <c r="AI48" i="19"/>
  <c r="Q38" i="19"/>
  <c r="U51" i="19"/>
  <c r="O11" i="19"/>
  <c r="U11" i="19"/>
  <c r="AG41" i="19"/>
  <c r="AA11" i="19"/>
  <c r="AA21" i="19"/>
  <c r="AM31" i="19"/>
  <c r="U21" i="19"/>
  <c r="AG31" i="19"/>
  <c r="O41" i="19"/>
  <c r="AM51" i="19"/>
  <c r="AM41" i="19"/>
  <c r="U31" i="19"/>
  <c r="O31" i="19"/>
  <c r="AG21" i="19"/>
  <c r="AM21" i="19"/>
  <c r="AM11" i="19"/>
  <c r="AA31" i="19"/>
  <c r="U41" i="19"/>
  <c r="AA41" i="19"/>
  <c r="O21" i="19"/>
  <c r="AG11" i="19"/>
  <c r="AA51" i="19"/>
  <c r="AG51" i="19"/>
  <c r="O51" i="19"/>
  <c r="X41" i="19"/>
  <c r="AD11" i="19"/>
  <c r="R21" i="19"/>
  <c r="L31" i="19"/>
  <c r="R31" i="19"/>
  <c r="AD31" i="19"/>
  <c r="AJ51" i="19"/>
  <c r="L21" i="19"/>
  <c r="L11" i="19"/>
  <c r="R11" i="19"/>
  <c r="X31" i="19"/>
  <c r="AJ31" i="19"/>
  <c r="X11" i="19"/>
  <c r="AD41" i="19"/>
  <c r="AJ41" i="19"/>
  <c r="AJ11" i="19"/>
  <c r="AD51" i="19"/>
  <c r="R51" i="19"/>
  <c r="L41" i="19"/>
  <c r="X21" i="19"/>
  <c r="R41" i="19"/>
  <c r="L51" i="19"/>
  <c r="AJ21" i="19"/>
  <c r="X51" i="19"/>
  <c r="AD21" i="19"/>
  <c r="AJ23" i="19"/>
  <c r="AJ43" i="19"/>
  <c r="R53" i="19"/>
  <c r="L43" i="19"/>
  <c r="X53" i="19"/>
  <c r="X33" i="19"/>
  <c r="AD43" i="19"/>
  <c r="AD53" i="19"/>
  <c r="X13" i="19"/>
  <c r="L23" i="19"/>
  <c r="X23" i="19"/>
  <c r="AJ13" i="19"/>
  <c r="R13" i="19"/>
  <c r="AJ33" i="19"/>
  <c r="AD13" i="19"/>
  <c r="L13" i="19"/>
  <c r="R23" i="19"/>
  <c r="AJ53" i="19"/>
  <c r="R33" i="19"/>
  <c r="L33" i="19"/>
  <c r="AD33" i="19"/>
  <c r="R43" i="19"/>
  <c r="AD23" i="19"/>
  <c r="X43" i="19"/>
  <c r="L53" i="19"/>
  <c r="L29" i="19"/>
  <c r="R39" i="19"/>
  <c r="AJ19" i="19"/>
  <c r="AD19" i="19"/>
  <c r="X49" i="19"/>
  <c r="R29" i="19"/>
  <c r="AJ39" i="19"/>
  <c r="AD29" i="19"/>
  <c r="R49" i="19"/>
  <c r="X29" i="19"/>
  <c r="L49" i="19"/>
  <c r="L9" i="19"/>
  <c r="AJ9" i="19"/>
  <c r="AJ29" i="19"/>
  <c r="AJ49" i="19"/>
  <c r="R9" i="19"/>
  <c r="X19" i="19"/>
  <c r="X9" i="19"/>
  <c r="R19" i="19"/>
  <c r="L39" i="19"/>
  <c r="AD39" i="19"/>
  <c r="AD49" i="19"/>
  <c r="L19" i="19"/>
  <c r="AD9" i="19"/>
  <c r="X39" i="19"/>
  <c r="O53" i="19"/>
  <c r="AG33" i="19"/>
  <c r="U13" i="19"/>
  <c r="O43" i="19"/>
  <c r="AA13" i="19"/>
  <c r="AM33" i="19"/>
  <c r="AA43" i="19"/>
  <c r="U53" i="19"/>
  <c r="O13" i="19"/>
  <c r="U43" i="19"/>
  <c r="AG13" i="19"/>
  <c r="AA23" i="19"/>
  <c r="AM23" i="19"/>
  <c r="O33" i="19"/>
  <c r="AM53" i="19"/>
  <c r="AA53" i="19"/>
  <c r="AM43" i="19"/>
  <c r="U33" i="19"/>
  <c r="O23" i="19"/>
  <c r="AM13" i="19"/>
  <c r="AG23" i="19"/>
  <c r="AG43" i="19"/>
  <c r="AA33" i="19"/>
  <c r="U23" i="19"/>
  <c r="AG53" i="19"/>
  <c r="AL42" i="19"/>
  <c r="AF52" i="19"/>
  <c r="T52" i="19"/>
  <c r="N32" i="19"/>
  <c r="Z22" i="19"/>
  <c r="T12" i="19"/>
  <c r="Z52" i="19"/>
  <c r="T32" i="19"/>
  <c r="AL52" i="19"/>
  <c r="AF22" i="19"/>
  <c r="N22" i="19"/>
  <c r="Z12" i="19"/>
  <c r="AF32" i="19"/>
  <c r="N12" i="19"/>
  <c r="T22" i="19"/>
  <c r="AF12" i="19"/>
  <c r="AL22" i="19"/>
  <c r="AL12" i="19"/>
  <c r="N42" i="19"/>
  <c r="Z32" i="19"/>
  <c r="AL32" i="19"/>
  <c r="Z42" i="19"/>
  <c r="N52" i="19"/>
  <c r="AF42" i="19"/>
  <c r="T42" i="19"/>
  <c r="AC9" i="19"/>
  <c r="Q39" i="19"/>
  <c r="W9" i="19"/>
  <c r="AI9" i="19"/>
  <c r="AI29" i="19"/>
  <c r="AC49" i="19"/>
  <c r="AE17" i="19"/>
  <c r="AK7" i="19"/>
  <c r="AE27" i="19"/>
  <c r="Y7" i="19"/>
  <c r="Y47" i="19"/>
  <c r="M47" i="19"/>
  <c r="S7" i="19"/>
  <c r="M27" i="19"/>
  <c r="S47" i="19"/>
  <c r="Y37" i="19"/>
  <c r="AK47" i="19"/>
  <c r="Y27" i="19"/>
  <c r="S17" i="19"/>
  <c r="M17" i="19"/>
  <c r="M37" i="19"/>
  <c r="S27" i="19"/>
  <c r="AK37" i="19"/>
  <c r="AK27" i="19"/>
  <c r="M7" i="19"/>
  <c r="AE37" i="19"/>
  <c r="S37" i="19"/>
  <c r="AE7" i="19"/>
  <c r="AK17" i="19"/>
  <c r="AE47" i="19"/>
  <c r="Y17" i="19"/>
  <c r="AK20" i="19"/>
  <c r="AK40" i="19"/>
  <c r="Y30" i="19"/>
  <c r="S30" i="19"/>
  <c r="M30" i="19"/>
  <c r="AK30" i="19"/>
  <c r="Y50" i="19"/>
  <c r="AE30" i="19"/>
  <c r="AK10" i="19"/>
  <c r="S10" i="19"/>
  <c r="AE40" i="19"/>
  <c r="M10" i="19"/>
  <c r="Y40" i="19"/>
  <c r="S20" i="19"/>
  <c r="S40" i="19"/>
  <c r="AE50" i="19"/>
  <c r="M20" i="19"/>
  <c r="L17" i="19"/>
  <c r="AD7" i="19"/>
  <c r="L47" i="19"/>
  <c r="AJ37" i="19"/>
  <c r="X7" i="19"/>
  <c r="R47" i="19"/>
  <c r="L7" i="19"/>
  <c r="X47" i="19"/>
  <c r="AJ47" i="19"/>
  <c r="AD17" i="19"/>
  <c r="R37" i="19"/>
  <c r="X37" i="19"/>
  <c r="AD47" i="19"/>
  <c r="L27" i="19"/>
  <c r="AJ17" i="19"/>
  <c r="AD37" i="19"/>
  <c r="AD27" i="19"/>
  <c r="R7" i="19"/>
  <c r="R27" i="19"/>
  <c r="X27" i="19"/>
  <c r="R17" i="19"/>
  <c r="X17" i="19"/>
  <c r="L37" i="19"/>
  <c r="AJ27" i="19"/>
  <c r="AJ7" i="19"/>
  <c r="M32" i="19"/>
  <c r="AE52" i="19"/>
  <c r="AK12" i="19"/>
  <c r="M52" i="19"/>
  <c r="S22" i="19"/>
  <c r="S32" i="19"/>
  <c r="Y22" i="19"/>
  <c r="AE12" i="19"/>
  <c r="Y42" i="19"/>
  <c r="AE42" i="19"/>
  <c r="M12" i="19"/>
  <c r="Y12" i="19"/>
  <c r="M22" i="19"/>
  <c r="AE32" i="19"/>
  <c r="Y52" i="19"/>
  <c r="S52" i="19"/>
  <c r="AK32" i="19"/>
  <c r="S42" i="19"/>
  <c r="AK22" i="19"/>
  <c r="S12" i="19"/>
  <c r="M42" i="19"/>
  <c r="AE22" i="19"/>
  <c r="Y32" i="19"/>
  <c r="AK52" i="19"/>
  <c r="AK42" i="19"/>
  <c r="M43" i="19"/>
  <c r="S13" i="19"/>
  <c r="Y53" i="19"/>
  <c r="AK13" i="19"/>
  <c r="S43" i="19"/>
  <c r="M23" i="19"/>
  <c r="AK53" i="19"/>
  <c r="Y13" i="19"/>
  <c r="AK43" i="19"/>
  <c r="AE13" i="19"/>
  <c r="S23" i="19"/>
  <c r="AK33" i="19"/>
  <c r="Y33" i="19"/>
  <c r="M33" i="19"/>
  <c r="AE43" i="19"/>
  <c r="S53" i="19"/>
  <c r="M13" i="19"/>
  <c r="AE33" i="19"/>
  <c r="S33" i="19"/>
  <c r="Y23" i="19"/>
  <c r="Y43" i="19"/>
  <c r="AE23" i="19"/>
  <c r="AE53" i="19"/>
  <c r="AK23" i="19"/>
  <c r="M53" i="19"/>
  <c r="K38" i="19"/>
  <c r="R42" i="19"/>
  <c r="AD22" i="19"/>
  <c r="U18" i="19"/>
  <c r="AG28" i="19"/>
  <c r="AG38" i="19"/>
  <c r="AG8" i="19"/>
  <c r="U38" i="19"/>
  <c r="AM28" i="19"/>
  <c r="AA38" i="19"/>
  <c r="AM48" i="19"/>
  <c r="O8" i="19"/>
  <c r="U28" i="19"/>
  <c r="AM38" i="19"/>
  <c r="O18" i="19"/>
  <c r="AM18" i="19"/>
  <c r="O38" i="19"/>
  <c r="AG48" i="19"/>
  <c r="O28" i="19"/>
  <c r="U48" i="19"/>
  <c r="AA8" i="19"/>
  <c r="AA28" i="19"/>
  <c r="AA18" i="19"/>
  <c r="AG18" i="19"/>
  <c r="U8" i="19"/>
  <c r="AM8" i="19"/>
  <c r="AA48" i="19"/>
  <c r="O48" i="19"/>
  <c r="AC27" i="19"/>
  <c r="W17" i="19"/>
  <c r="K37" i="19"/>
  <c r="W37" i="19"/>
  <c r="Q37" i="19"/>
  <c r="Q7" i="19"/>
  <c r="K27" i="19"/>
  <c r="Q17" i="19"/>
  <c r="AC17" i="19"/>
  <c r="W7" i="19"/>
  <c r="Q47" i="19"/>
  <c r="K7" i="19"/>
  <c r="K47" i="19"/>
  <c r="AI7" i="19"/>
  <c r="Q27" i="19"/>
  <c r="AC7" i="19"/>
  <c r="AC37" i="19"/>
  <c r="AC47" i="19"/>
  <c r="W27" i="19"/>
  <c r="AI27" i="19"/>
  <c r="AI47" i="19"/>
  <c r="AI17" i="19"/>
  <c r="AI37" i="19"/>
  <c r="K17" i="19"/>
  <c r="W47" i="19"/>
  <c r="AI45" i="19"/>
  <c r="W35" i="19"/>
  <c r="Q15" i="19"/>
  <c r="Q55" i="19"/>
  <c r="AC25" i="19"/>
  <c r="AI15" i="19"/>
  <c r="K35" i="19"/>
  <c r="AC55" i="19"/>
  <c r="AC45" i="19"/>
  <c r="W25" i="19"/>
  <c r="AI35" i="19"/>
  <c r="Q45" i="19"/>
  <c r="W55" i="19"/>
  <c r="AC35" i="19"/>
  <c r="Q35" i="19"/>
  <c r="W15" i="19"/>
  <c r="K15" i="19"/>
  <c r="K25" i="19"/>
  <c r="AI25" i="19"/>
  <c r="AI55" i="19"/>
  <c r="K55" i="19"/>
  <c r="AC15" i="19"/>
  <c r="W45" i="19"/>
  <c r="Q25" i="19"/>
  <c r="K45" i="19"/>
  <c r="K30" i="19"/>
  <c r="W20" i="19"/>
  <c r="AI40" i="19"/>
  <c r="AI10" i="19"/>
  <c r="K50" i="19"/>
  <c r="AC10" i="19"/>
  <c r="W40" i="19"/>
  <c r="W30" i="19"/>
  <c r="Q40" i="19"/>
  <c r="AI50" i="19"/>
  <c r="K10" i="19"/>
  <c r="AC20" i="19"/>
  <c r="W50" i="19"/>
  <c r="AI20" i="19"/>
  <c r="AC30" i="19"/>
  <c r="Q30" i="19"/>
  <c r="K20" i="19"/>
  <c r="Q10" i="19"/>
  <c r="AC40" i="19"/>
  <c r="K40" i="19"/>
  <c r="Q50" i="19"/>
  <c r="W10" i="19"/>
  <c r="AI30" i="19"/>
  <c r="Q20" i="19"/>
  <c r="AC50" i="19"/>
  <c r="Y18" i="19"/>
  <c r="AK8" i="19"/>
  <c r="AE8" i="19"/>
  <c r="Y28" i="19"/>
  <c r="K48" i="19"/>
  <c r="K29" i="19"/>
  <c r="M40" i="19"/>
  <c r="U19" i="19"/>
  <c r="AI19" i="19"/>
  <c r="AC19" i="19"/>
  <c r="S50" i="19"/>
  <c r="AD52" i="19"/>
  <c r="N39" i="19"/>
  <c r="Q29" i="19"/>
  <c r="T13" i="19"/>
  <c r="AF50" i="19"/>
  <c r="W29" i="19"/>
  <c r="Z8" i="19"/>
  <c r="AF23" i="19"/>
  <c r="AC39" i="19"/>
  <c r="AL8" i="19"/>
  <c r="AF53" i="19"/>
  <c r="U42" i="19"/>
  <c r="W49" i="19"/>
  <c r="N8" i="19"/>
  <c r="Q9" i="19"/>
  <c r="N28" i="19"/>
  <c r="AF38" i="19"/>
  <c r="K49" i="19"/>
  <c r="AI39" i="19"/>
  <c r="M50" i="19"/>
  <c r="AF8" i="19"/>
  <c r="AC41" i="19"/>
  <c r="K31" i="19"/>
  <c r="S28" i="19"/>
  <c r="K39" i="19"/>
  <c r="W19" i="19"/>
  <c r="AE20" i="19"/>
  <c r="AC51" i="19"/>
  <c r="K51" i="19"/>
  <c r="AI31" i="19"/>
  <c r="AC29" i="19"/>
  <c r="K9" i="19"/>
  <c r="AE10" i="19"/>
  <c r="Q48" i="19"/>
  <c r="W39" i="19"/>
  <c r="K19" i="19"/>
  <c r="Y10" i="19"/>
  <c r="Q19" i="19"/>
  <c r="Q49" i="19"/>
  <c r="AK50" i="19"/>
  <c r="AM27" i="19"/>
  <c r="AG37" i="19"/>
  <c r="U7" i="19"/>
  <c r="M38" i="19"/>
  <c r="AK48" i="19"/>
  <c r="AF30" i="19"/>
  <c r="T30" i="19"/>
  <c r="AF19" i="19"/>
  <c r="AJ42" i="19"/>
  <c r="R22" i="19"/>
  <c r="AM29" i="19"/>
  <c r="O39" i="19"/>
  <c r="AG29" i="19"/>
  <c r="AM49" i="19"/>
  <c r="O37" i="19"/>
  <c r="AA37" i="19"/>
  <c r="AA27" i="19"/>
  <c r="S18" i="19"/>
  <c r="M8" i="19"/>
  <c r="AF40" i="19"/>
  <c r="Z20" i="19"/>
  <c r="Z49" i="19"/>
  <c r="L42" i="19"/>
  <c r="AJ22" i="19"/>
  <c r="AG49" i="19"/>
  <c r="AM19" i="19"/>
  <c r="U17" i="19"/>
  <c r="AA17" i="19"/>
  <c r="AK38" i="19"/>
  <c r="T40" i="19"/>
  <c r="Z10" i="19"/>
  <c r="Z9" i="19"/>
  <c r="X22" i="19"/>
  <c r="X42" i="19"/>
  <c r="AA49" i="19"/>
  <c r="AG9" i="19"/>
  <c r="AA47" i="19"/>
  <c r="AG27" i="19"/>
  <c r="M18" i="19"/>
  <c r="N20" i="19"/>
  <c r="N40" i="19"/>
  <c r="AL49" i="19"/>
  <c r="AL19" i="19"/>
  <c r="R32" i="19"/>
  <c r="X32" i="19"/>
  <c r="AM17" i="19"/>
  <c r="S48" i="19"/>
  <c r="AL30" i="19"/>
  <c r="Z40" i="19"/>
  <c r="Z19" i="19"/>
  <c r="AL29" i="19"/>
  <c r="L22" i="19"/>
  <c r="AD12" i="19"/>
  <c r="AA19" i="19"/>
  <c r="U37" i="19"/>
  <c r="AK18" i="19"/>
  <c r="Z50" i="19"/>
  <c r="N30" i="19"/>
  <c r="N49" i="19"/>
  <c r="N9" i="19"/>
  <c r="AD42" i="19"/>
  <c r="R12" i="19"/>
  <c r="AA9" i="19"/>
  <c r="AM39" i="19"/>
  <c r="AG7" i="19"/>
  <c r="AM47" i="19"/>
  <c r="AE28" i="19"/>
  <c r="AL10" i="19"/>
  <c r="T19" i="19"/>
  <c r="T29" i="19"/>
  <c r="X12" i="19"/>
  <c r="X52" i="19"/>
  <c r="U27" i="19"/>
  <c r="AA7" i="19"/>
  <c r="M28" i="19"/>
  <c r="AF10" i="19"/>
  <c r="T39" i="19"/>
  <c r="N29" i="19"/>
  <c r="AD32" i="19"/>
  <c r="AJ32" i="19"/>
  <c r="AM37" i="19"/>
  <c r="S38" i="19"/>
  <c r="T50" i="19"/>
  <c r="AF39" i="19"/>
  <c r="AJ12" i="19"/>
  <c r="O29" i="19"/>
  <c r="AG17" i="19"/>
  <c r="AL9" i="19"/>
  <c r="AE18" i="19"/>
  <c r="M48" i="19"/>
  <c r="N10" i="19"/>
  <c r="Z39" i="19"/>
  <c r="AF29" i="19"/>
  <c r="L52" i="19"/>
  <c r="AG39" i="19"/>
  <c r="O47" i="19"/>
  <c r="AL39" i="19"/>
  <c r="AE48" i="19"/>
  <c r="Y8" i="19"/>
  <c r="Z30" i="19"/>
  <c r="Z29" i="19"/>
  <c r="L32" i="19"/>
  <c r="L12" i="19"/>
  <c r="AM7" i="19"/>
  <c r="AK28" i="19"/>
  <c r="S8" i="19"/>
  <c r="T20" i="19"/>
  <c r="T9" i="19"/>
  <c r="AJ52" i="19"/>
  <c r="T49" i="19"/>
  <c r="U9" i="19"/>
  <c r="O9" i="19"/>
  <c r="U39" i="19"/>
  <c r="AG19" i="19"/>
  <c r="O27" i="19"/>
  <c r="AG47" i="19"/>
  <c r="Y48" i="19"/>
  <c r="Y38" i="19"/>
  <c r="T10" i="19"/>
  <c r="AF49" i="19"/>
  <c r="R52" i="19"/>
  <c r="O7" i="19"/>
  <c r="AM9" i="19"/>
  <c r="O49" i="19"/>
  <c r="U49" i="19"/>
  <c r="U47" i="19"/>
  <c r="AF9" i="19"/>
  <c r="AE38" i="19"/>
  <c r="AL20" i="19"/>
  <c r="B221" i="13"/>
  <c r="B223" i="13"/>
  <c r="B222" i="13"/>
  <c r="L44" i="19" l="1"/>
  <c r="X24" i="19"/>
  <c r="X44" i="19"/>
  <c r="AD34" i="19"/>
  <c r="L54" i="19"/>
  <c r="AJ14" i="19"/>
  <c r="L14" i="19"/>
  <c r="AJ44" i="19"/>
  <c r="R44" i="19"/>
  <c r="L34" i="19"/>
  <c r="AD44" i="19"/>
  <c r="AJ24" i="19"/>
  <c r="R54" i="19"/>
  <c r="AD54" i="19"/>
  <c r="AD14" i="19"/>
  <c r="R14" i="19"/>
  <c r="L24" i="19"/>
  <c r="R24" i="19"/>
  <c r="X34" i="19"/>
  <c r="X54" i="19"/>
  <c r="R34" i="19"/>
  <c r="AJ34" i="19"/>
  <c r="AJ54" i="19"/>
  <c r="X14" i="19"/>
  <c r="AD24" i="19"/>
  <c r="T44" i="19"/>
  <c r="AF34" i="19"/>
  <c r="AL24" i="19"/>
  <c r="Z44" i="19"/>
  <c r="N34" i="19"/>
  <c r="AL14" i="19"/>
  <c r="AF54" i="19"/>
  <c r="N14" i="19"/>
  <c r="AL54" i="19"/>
  <c r="AF14" i="19"/>
  <c r="T24" i="19"/>
  <c r="Z24" i="19"/>
  <c r="AF24" i="19"/>
  <c r="AL44" i="19"/>
  <c r="N24" i="19"/>
  <c r="T34" i="19"/>
  <c r="T54" i="19"/>
  <c r="Z34" i="19"/>
  <c r="AF44" i="19"/>
  <c r="AL34" i="19"/>
  <c r="N44" i="19"/>
  <c r="Z14" i="19"/>
  <c r="T14" i="19"/>
  <c r="Z54" i="19"/>
  <c r="N54" i="19"/>
  <c r="S24" i="19"/>
  <c r="AK24" i="19"/>
  <c r="S34" i="19"/>
  <c r="M24" i="19"/>
  <c r="AE14" i="19"/>
  <c r="Y34" i="19"/>
  <c r="M34" i="19"/>
  <c r="AE54" i="19"/>
  <c r="S54" i="19"/>
  <c r="S14" i="19"/>
  <c r="AE34" i="19"/>
  <c r="Y24" i="19"/>
  <c r="AE44" i="19"/>
  <c r="Y14" i="19"/>
  <c r="AK54" i="19"/>
  <c r="AK14" i="19"/>
  <c r="Y54" i="19"/>
  <c r="AK34" i="19"/>
  <c r="S44" i="19"/>
  <c r="AK44" i="19"/>
  <c r="M44" i="19"/>
  <c r="M54" i="19"/>
  <c r="M14" i="19"/>
  <c r="Y44" i="19"/>
  <c r="AE24" i="19"/>
  <c r="K24" i="19"/>
  <c r="AC54" i="19"/>
  <c r="Q54" i="19"/>
  <c r="AI34" i="19"/>
  <c r="Q24" i="19"/>
  <c r="W14" i="19"/>
  <c r="K34" i="19"/>
  <c r="AI44" i="19"/>
  <c r="AC24" i="19"/>
  <c r="W34" i="19"/>
  <c r="K54" i="19"/>
  <c r="W44" i="19"/>
  <c r="AC14" i="19"/>
  <c r="Q44" i="19"/>
  <c r="AC34" i="19"/>
  <c r="W54" i="19"/>
  <c r="W24" i="19"/>
  <c r="AC44" i="19"/>
  <c r="AI24" i="19"/>
  <c r="Q14" i="19"/>
  <c r="K44" i="19"/>
  <c r="Q34" i="19"/>
  <c r="K14" i="19"/>
  <c r="AI14" i="19"/>
  <c r="AI54" i="19"/>
  <c r="O24" i="19"/>
  <c r="AG34" i="19"/>
  <c r="AA34" i="19"/>
  <c r="AM34" i="19"/>
  <c r="O44" i="19"/>
  <c r="AM24" i="19"/>
  <c r="U54" i="19"/>
  <c r="AM54" i="19"/>
  <c r="AA14" i="19"/>
  <c r="AM44" i="19"/>
  <c r="U14" i="19"/>
  <c r="O34" i="19"/>
  <c r="AG24" i="19"/>
  <c r="AG14" i="19"/>
  <c r="AM14" i="19"/>
  <c r="AG54" i="19"/>
  <c r="U34" i="19"/>
  <c r="AG44" i="19"/>
  <c r="U24" i="19"/>
  <c r="U44" i="19"/>
  <c r="AA54" i="19"/>
  <c r="AA24" i="19"/>
  <c r="AA44" i="19"/>
  <c r="O14" i="19"/>
  <c r="O54" i="19"/>
  <c r="O16" i="19"/>
  <c r="AM46" i="19"/>
  <c r="U16" i="19"/>
  <c r="AM6" i="19"/>
  <c r="AA6" i="19"/>
  <c r="U26" i="19"/>
  <c r="AM36" i="19"/>
  <c r="U6" i="19"/>
  <c r="U46" i="19"/>
  <c r="AG36" i="19"/>
  <c r="AA36" i="19"/>
  <c r="AM16" i="19"/>
  <c r="AA26" i="19"/>
  <c r="O46" i="19"/>
  <c r="AG46" i="19"/>
  <c r="AG26" i="19"/>
  <c r="AM26" i="19"/>
  <c r="AG6" i="19"/>
  <c r="O26" i="19"/>
  <c r="AA16" i="19"/>
  <c r="AA46" i="19"/>
  <c r="O36" i="19"/>
  <c r="O6" i="19"/>
  <c r="U36" i="19"/>
  <c r="AG16" i="19"/>
  <c r="N16" i="19"/>
  <c r="AF46" i="19"/>
  <c r="AL26" i="19"/>
  <c r="N26" i="19"/>
  <c r="Z36" i="19"/>
  <c r="Z26" i="19"/>
  <c r="AF36" i="19"/>
  <c r="AL36" i="19"/>
  <c r="N6" i="19"/>
  <c r="AL6" i="19"/>
  <c r="T36" i="19"/>
  <c r="AL46" i="19"/>
  <c r="N46" i="19"/>
  <c r="T26" i="19"/>
  <c r="AF6" i="19"/>
  <c r="N36" i="19"/>
  <c r="AF26" i="19"/>
  <c r="Z16" i="19"/>
  <c r="T6" i="19"/>
  <c r="T46" i="19"/>
  <c r="AL16" i="19"/>
  <c r="Z46" i="19"/>
  <c r="Z6" i="19"/>
  <c r="AF16" i="19"/>
  <c r="T16" i="19"/>
  <c r="AK26" i="19"/>
  <c r="AK36" i="19"/>
  <c r="AE16" i="19"/>
  <c r="S36" i="19"/>
  <c r="AK46" i="19"/>
  <c r="S6" i="19"/>
  <c r="AK6" i="19"/>
  <c r="AE26" i="19"/>
  <c r="S16" i="19"/>
  <c r="AE46" i="19"/>
  <c r="Y6" i="19"/>
  <c r="M6" i="19"/>
  <c r="S46" i="19"/>
  <c r="Y36" i="19"/>
  <c r="M36" i="19"/>
  <c r="S26" i="19"/>
  <c r="AE6" i="19"/>
  <c r="AE36" i="19"/>
  <c r="M26" i="19"/>
  <c r="Y46" i="19"/>
  <c r="M16" i="19"/>
  <c r="AK16" i="19"/>
  <c r="M46" i="19"/>
  <c r="Y26" i="19"/>
  <c r="Y16" i="19"/>
  <c r="X16" i="19"/>
  <c r="L6" i="19"/>
  <c r="AD36" i="19"/>
  <c r="X26" i="19"/>
  <c r="AD6" i="19"/>
  <c r="AJ36" i="19"/>
  <c r="X6" i="19"/>
  <c r="AD16" i="19"/>
  <c r="R36" i="19"/>
  <c r="AJ6" i="19"/>
  <c r="AJ26" i="19"/>
  <c r="R46" i="19"/>
  <c r="L36" i="19"/>
  <c r="AJ16" i="19"/>
  <c r="AD26" i="19"/>
  <c r="AD46" i="19"/>
  <c r="R6" i="19"/>
  <c r="L16" i="19"/>
  <c r="AJ46" i="19"/>
  <c r="X36" i="19"/>
  <c r="L26" i="19"/>
  <c r="L46" i="19"/>
  <c r="R16" i="19"/>
  <c r="R26" i="19"/>
  <c r="X46" i="19"/>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J34" i="19" l="1"/>
  <c r="AH44" i="19"/>
  <c r="AH34" i="19"/>
  <c r="V44" i="19"/>
  <c r="AB54" i="19"/>
  <c r="AH54" i="19"/>
  <c r="AB44" i="19"/>
  <c r="J54" i="19"/>
  <c r="J14" i="19"/>
  <c r="P54" i="19"/>
  <c r="P34" i="19"/>
  <c r="V24" i="19"/>
  <c r="AB24" i="19"/>
  <c r="P44" i="19"/>
  <c r="J44" i="19"/>
  <c r="V54" i="19"/>
  <c r="AH14" i="19"/>
  <c r="AB34" i="19"/>
  <c r="P24" i="19"/>
  <c r="P14" i="19"/>
  <c r="V14" i="19"/>
  <c r="AH24" i="19"/>
  <c r="V34" i="19"/>
  <c r="AB14" i="19"/>
  <c r="J24" i="19"/>
  <c r="V53" i="19"/>
  <c r="AB13" i="19"/>
  <c r="AB33" i="19"/>
  <c r="P33" i="19"/>
  <c r="P23" i="19"/>
  <c r="P43" i="19"/>
  <c r="AH33" i="19"/>
  <c r="J23" i="19"/>
  <c r="J13" i="19"/>
  <c r="AH13" i="19"/>
  <c r="V33" i="19"/>
  <c r="AH43" i="19"/>
  <c r="V23" i="19"/>
  <c r="V43" i="19"/>
  <c r="P53" i="19"/>
  <c r="AB23" i="19"/>
  <c r="V13" i="19"/>
  <c r="AH23" i="19"/>
  <c r="P13" i="19"/>
  <c r="J53" i="19"/>
  <c r="AB53" i="19"/>
  <c r="J43" i="19"/>
  <c r="AH53" i="19"/>
  <c r="J33" i="19"/>
  <c r="AB43" i="19"/>
  <c r="AB28" i="19"/>
  <c r="AB8" i="19"/>
  <c r="P18" i="19"/>
  <c r="AH38" i="19"/>
  <c r="V18" i="19"/>
  <c r="J38" i="19"/>
  <c r="J8" i="19"/>
  <c r="V8" i="19"/>
  <c r="P28" i="19"/>
  <c r="J28" i="19"/>
  <c r="J48" i="19"/>
  <c r="AH28" i="19"/>
  <c r="AB18" i="19"/>
  <c r="AB48" i="19"/>
  <c r="AH8" i="19"/>
  <c r="V38" i="19"/>
  <c r="P48" i="19"/>
  <c r="AB38" i="19"/>
  <c r="J18" i="19"/>
  <c r="AH18" i="19"/>
  <c r="V28" i="19"/>
  <c r="P8" i="19"/>
  <c r="AH48" i="19"/>
  <c r="V48" i="19"/>
  <c r="P38" i="19"/>
  <c r="J40" i="19"/>
  <c r="AB40" i="19"/>
  <c r="AH40" i="19"/>
  <c r="J30" i="19"/>
  <c r="AB30" i="19"/>
  <c r="AH30" i="19"/>
  <c r="V40" i="19"/>
  <c r="V10" i="19"/>
  <c r="J20" i="19"/>
  <c r="P30" i="19"/>
  <c r="AH50" i="19"/>
  <c r="J50" i="19"/>
  <c r="AB50" i="19"/>
  <c r="V50" i="19"/>
  <c r="P50" i="19"/>
  <c r="V30" i="19"/>
  <c r="AH10" i="19"/>
  <c r="AH20" i="19"/>
  <c r="V20" i="19"/>
  <c r="AB20" i="19"/>
  <c r="J10" i="19"/>
  <c r="P10" i="19"/>
  <c r="P20" i="19"/>
  <c r="P40" i="19"/>
  <c r="AB10" i="19"/>
  <c r="P12" i="19"/>
  <c r="AB12" i="19"/>
  <c r="AB52" i="19"/>
  <c r="J42" i="19"/>
  <c r="P42" i="19"/>
  <c r="AH22" i="19"/>
  <c r="V32" i="19"/>
  <c r="AB32" i="19"/>
  <c r="V12" i="19"/>
  <c r="P32" i="19"/>
  <c r="J32" i="19"/>
  <c r="J12" i="19"/>
  <c r="J52" i="19"/>
  <c r="AB22" i="19"/>
  <c r="AH42" i="19"/>
  <c r="AH12" i="19"/>
  <c r="P22" i="19"/>
  <c r="AH32" i="19"/>
  <c r="V42" i="19"/>
  <c r="V22" i="19"/>
  <c r="AH52" i="19"/>
  <c r="P52" i="19"/>
  <c r="J22" i="19"/>
  <c r="V52" i="19"/>
  <c r="AB42" i="19"/>
  <c r="AH11" i="19"/>
  <c r="AB31" i="19"/>
  <c r="AH41" i="19"/>
  <c r="P21" i="19"/>
  <c r="J41" i="19"/>
  <c r="J51" i="19"/>
  <c r="V51" i="19"/>
  <c r="AB21" i="19"/>
  <c r="P11" i="19"/>
  <c r="V41" i="19"/>
  <c r="J31" i="19"/>
  <c r="V11" i="19"/>
  <c r="V31" i="19"/>
  <c r="V21" i="19"/>
  <c r="AH31" i="19"/>
  <c r="P31" i="19"/>
  <c r="AB11" i="19"/>
  <c r="AH51" i="19"/>
  <c r="J11" i="19"/>
  <c r="P51" i="19"/>
  <c r="AH21" i="19"/>
  <c r="P41" i="19"/>
  <c r="AB41" i="19"/>
  <c r="AB51" i="19"/>
  <c r="J21" i="19"/>
  <c r="V37" i="19"/>
  <c r="P7" i="19"/>
  <c r="AH47" i="19"/>
  <c r="J7" i="19"/>
  <c r="P47" i="19"/>
  <c r="AB47" i="19"/>
  <c r="J47" i="19"/>
  <c r="AB27" i="19"/>
  <c r="P37" i="19"/>
  <c r="P27" i="19"/>
  <c r="J27" i="19"/>
  <c r="V17" i="19"/>
  <c r="AB37" i="19"/>
  <c r="AB7" i="19"/>
  <c r="J37" i="19"/>
  <c r="AH17" i="19"/>
  <c r="AH7" i="19"/>
  <c r="AH27" i="19"/>
  <c r="AH37" i="19"/>
  <c r="V7" i="19"/>
  <c r="AB17" i="19"/>
  <c r="J17" i="19"/>
  <c r="V27" i="19"/>
  <c r="P17" i="19"/>
  <c r="V47" i="19"/>
  <c r="J19" i="19"/>
  <c r="AB39" i="19"/>
  <c r="J49" i="19"/>
  <c r="AB9" i="19"/>
  <c r="V39" i="19"/>
  <c r="AH39" i="19"/>
  <c r="AH49" i="19"/>
  <c r="V29" i="19"/>
  <c r="P29" i="19"/>
  <c r="V49" i="19"/>
  <c r="P9" i="19"/>
  <c r="AB29" i="19"/>
  <c r="AH29" i="19"/>
  <c r="J9" i="19"/>
  <c r="J39" i="19"/>
  <c r="P49" i="19"/>
  <c r="V19" i="19"/>
  <c r="J29" i="19"/>
  <c r="AB49" i="19"/>
  <c r="P19" i="19"/>
  <c r="AH19" i="19"/>
  <c r="P39" i="19"/>
  <c r="AH9" i="19"/>
  <c r="V9" i="19"/>
  <c r="AB19" i="19"/>
  <c r="V15" i="19"/>
  <c r="J25" i="19"/>
  <c r="V45" i="19"/>
  <c r="AH35" i="19"/>
  <c r="J45" i="19"/>
  <c r="AH55" i="19"/>
  <c r="AB45" i="19"/>
  <c r="P25" i="19"/>
  <c r="AH15" i="19"/>
  <c r="P55" i="19"/>
  <c r="V35" i="19"/>
  <c r="AB15" i="19"/>
  <c r="J35" i="19"/>
  <c r="V55" i="19"/>
  <c r="P35" i="19"/>
  <c r="AB35" i="19"/>
  <c r="AB25" i="19"/>
  <c r="P15" i="19"/>
  <c r="AB55" i="19"/>
  <c r="V25" i="19"/>
  <c r="AH45" i="19"/>
  <c r="P45" i="19"/>
  <c r="AH25" i="19"/>
  <c r="J55" i="19"/>
  <c r="J15" i="19"/>
  <c r="AB6" i="19" l="1"/>
  <c r="AI16" i="19"/>
  <c r="AC46" i="19"/>
  <c r="Q16" i="19"/>
  <c r="K16" i="19"/>
  <c r="AC6" i="19"/>
  <c r="AI46" i="19"/>
  <c r="AI6" i="19"/>
  <c r="AC16" i="19"/>
  <c r="AI36" i="19"/>
  <c r="K46" i="19"/>
  <c r="W6" i="19"/>
  <c r="W16" i="19"/>
  <c r="Q36" i="19"/>
  <c r="AC36" i="19"/>
  <c r="K36" i="19"/>
  <c r="K6" i="19"/>
  <c r="AI26" i="19"/>
  <c r="W26" i="19"/>
  <c r="Q6" i="19"/>
  <c r="Q26" i="19"/>
  <c r="W36" i="19"/>
  <c r="W46" i="19"/>
  <c r="Q46" i="19"/>
  <c r="AC26" i="19"/>
  <c r="K26" i="19"/>
  <c r="J36" i="19"/>
  <c r="P26" i="19"/>
  <c r="J6" i="19"/>
  <c r="AB16" i="19"/>
  <c r="V16" i="19"/>
  <c r="P46" i="19"/>
  <c r="AB26" i="19"/>
  <c r="AH16" i="19"/>
  <c r="P6" i="19"/>
  <c r="V36" i="19"/>
  <c r="AH36" i="19"/>
  <c r="P16" i="19"/>
  <c r="J16" i="19"/>
  <c r="V46" i="19"/>
  <c r="V26" i="19"/>
  <c r="AB46" i="19"/>
  <c r="J26" i="19"/>
  <c r="P36" i="19"/>
  <c r="AH6" i="19"/>
  <c r="V6" i="19"/>
  <c r="AB36" i="19"/>
  <c r="J46" i="19"/>
  <c r="AH26" i="19"/>
  <c r="AH46" i="19"/>
  <c r="M439" i="1" l="1"/>
  <c r="N439" i="1" s="1"/>
  <c r="M433" i="1"/>
  <c r="N433" i="1" s="1"/>
  <c r="M427" i="1"/>
  <c r="N427" i="1" s="1"/>
  <c r="O427" i="1" l="1"/>
  <c r="P427" i="1"/>
  <c r="O433" i="1"/>
  <c r="P433" i="1"/>
  <c r="O439" i="1"/>
  <c r="P439" i="1"/>
  <c r="AD439" i="1" l="1"/>
  <c r="AC439" i="1" s="1"/>
  <c r="AE439" i="1" s="1"/>
  <c r="AD440" i="1"/>
  <c r="AC440" i="1" s="1"/>
  <c r="AE440" i="1" s="1"/>
  <c r="AD441" i="1"/>
  <c r="AC441" i="1" s="1"/>
  <c r="AE441" i="1" s="1"/>
  <c r="AD434" i="1"/>
  <c r="AC434" i="1" s="1"/>
  <c r="AE434" i="1" s="1"/>
  <c r="AD435" i="1"/>
  <c r="AC435" i="1" s="1"/>
  <c r="AE435" i="1" s="1"/>
  <c r="AD438" i="1"/>
  <c r="AC438" i="1" s="1"/>
  <c r="AE438" i="1" s="1"/>
  <c r="AD437" i="1"/>
  <c r="AC437" i="1" s="1"/>
  <c r="AE437" i="1" s="1"/>
  <c r="AD433" i="1"/>
  <c r="AC433" i="1" s="1"/>
  <c r="AE433" i="1" s="1"/>
  <c r="AD436" i="1"/>
  <c r="AC436" i="1" s="1"/>
  <c r="AE436" i="1" s="1"/>
  <c r="AD430" i="1"/>
  <c r="AC430" i="1" s="1"/>
  <c r="AE430" i="1" s="1"/>
  <c r="AD427" i="1"/>
  <c r="AC427" i="1" s="1"/>
  <c r="AE427" i="1" s="1"/>
  <c r="AD428" i="1"/>
  <c r="AC428" i="1" s="1"/>
  <c r="AE428" i="1" s="1"/>
  <c r="AD429" i="1"/>
  <c r="AC429" i="1" s="1"/>
  <c r="AE429" i="1" s="1"/>
</calcChain>
</file>

<file path=xl/comments1.xml><?xml version="1.0" encoding="utf-8"?>
<comments xmlns="http://schemas.openxmlformats.org/spreadsheetml/2006/main">
  <authors>
    <author>Nicolas Corredor</author>
  </authors>
  <commentList>
    <comment ref="D11" authorId="0" shapeId="0">
      <text>
        <r>
          <rPr>
            <b/>
            <sz val="9"/>
            <color indexed="81"/>
            <rFont val="Tahoma"/>
            <family val="2"/>
          </rPr>
          <t>¿QUÉ?</t>
        </r>
      </text>
    </comment>
    <comment ref="E11" authorId="0" shapeId="0">
      <text>
        <r>
          <rPr>
            <b/>
            <sz val="9"/>
            <color indexed="81"/>
            <rFont val="Tahoma"/>
            <family val="2"/>
          </rPr>
          <t>¿CÓMO?</t>
        </r>
      </text>
    </comment>
    <comment ref="F11" authorId="0" shapeId="0">
      <text>
        <r>
          <rPr>
            <b/>
            <sz val="9"/>
            <color indexed="81"/>
            <rFont val="Tahoma"/>
            <family val="2"/>
          </rPr>
          <t>¿POR QUÉ?</t>
        </r>
        <r>
          <rPr>
            <sz val="9"/>
            <color indexed="81"/>
            <rFont val="Tahoma"/>
            <family val="2"/>
          </rPr>
          <t xml:space="preserve">
</t>
        </r>
      </text>
    </comment>
  </commentList>
</comments>
</file>

<file path=xl/sharedStrings.xml><?xml version="1.0" encoding="utf-8"?>
<sst xmlns="http://schemas.openxmlformats.org/spreadsheetml/2006/main" count="2777" uniqueCount="956">
  <si>
    <t xml:space="preserve">Referencia </t>
  </si>
  <si>
    <t>Descripción del Riesgo</t>
  </si>
  <si>
    <t>Impacto</t>
  </si>
  <si>
    <t>Causa Inmediata</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</si>
  <si>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</si>
  <si>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</si>
  <si>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</si>
  <si>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</si>
  <si>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</si>
  <si>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</si>
  <si>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</si>
  <si>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</si>
  <si>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</si>
  <si>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</si>
  <si>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</si>
  <si>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</si>
  <si>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</si>
  <si>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</si>
  <si>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</si>
  <si>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</si>
  <si>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</si>
  <si>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</si>
  <si>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</si>
  <si>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</si>
  <si>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</si>
  <si>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</si>
  <si>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</si>
  <si>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</si>
  <si>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</si>
  <si>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</si>
  <si>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</si>
  <si>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</si>
  <si>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</si>
  <si>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</si>
  <si>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</si>
  <si>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</si>
  <si>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</si>
  <si>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</si>
  <si>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</si>
  <si>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</si>
  <si>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</si>
  <si>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</si>
  <si>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Causa Raíz</t>
  </si>
  <si>
    <t>Proceso:</t>
  </si>
  <si>
    <t>Alcance:</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</si>
  <si>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</si>
  <si>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</si>
  <si>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</si>
  <si>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</si>
  <si>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</si>
  <si>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</si>
  <si>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</si>
  <si>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</si>
  <si>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</si>
  <si>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</si>
  <si>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</si>
  <si>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</si>
  <si>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</si>
  <si>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</si>
  <si>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</si>
  <si>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</si>
  <si>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</si>
  <si>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</si>
  <si>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</si>
  <si>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</si>
  <si>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</si>
  <si>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</si>
  <si>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</si>
  <si>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</si>
  <si>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</si>
  <si>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</si>
  <si>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</si>
  <si>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</si>
  <si>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</si>
  <si>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</si>
  <si>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</si>
  <si>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</si>
  <si>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</si>
  <si>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</si>
  <si>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</si>
  <si>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</si>
  <si>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</si>
  <si>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</si>
  <si>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</si>
  <si>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</si>
  <si>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</si>
  <si>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</si>
  <si>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 de impacto</t>
  </si>
  <si>
    <t>Criterios</t>
  </si>
  <si>
    <t>Afectación Económica o 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</si>
  <si>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</si>
  <si>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</si>
  <si>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</si>
  <si>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</si>
  <si>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</si>
  <si>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</si>
  <si>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</si>
  <si>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</si>
  <si>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</si>
  <si>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</si>
  <si>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</si>
  <si>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</si>
  <si>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</si>
  <si>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</si>
  <si>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</si>
  <si>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</si>
  <si>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</si>
  <si>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</si>
  <si>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</si>
  <si>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</si>
  <si>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</si>
  <si>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</si>
  <si>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</si>
  <si>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</si>
  <si>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</si>
  <si>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</si>
  <si>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</si>
  <si>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</si>
  <si>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</si>
  <si>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</si>
  <si>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</si>
  <si>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</si>
  <si>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</si>
  <si>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</si>
  <si>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</si>
  <si>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</si>
  <si>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</si>
  <si>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</si>
  <si>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t>Objetivo:</t>
  </si>
  <si>
    <r>
      <rPr>
        <b/>
        <sz val="11"/>
        <color indexed="53"/>
        <rFont val="Arial Narrow"/>
        <family val="2"/>
      </rPr>
      <t xml:space="preserve">*Nota: </t>
    </r>
    <r>
      <rPr>
        <sz val="11"/>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</si>
  <si>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</si>
  <si>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</si>
  <si>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</si>
  <si>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Frecuencia con la cual se realiza la actividad</t>
  </si>
  <si>
    <t>Reducir (mitigar)</t>
  </si>
  <si>
    <t>Reducir (compartir)</t>
  </si>
  <si>
    <t>Probabilidad Residual</t>
  </si>
  <si>
    <t>Identificación del riesgo</t>
  </si>
  <si>
    <t>Análisis del riesgo inherente</t>
  </si>
  <si>
    <t>Evaluación del riesgo - Valoración de los controles</t>
  </si>
  <si>
    <t>Evaluación del riesgo - Nivel del riesgo residual</t>
  </si>
  <si>
    <t>Fuente:  Adaptado de Curso Riesgo Operativo Universidad del Rosario por Dirección de Gestión y Desempeño Institucional de Función Pública,  2020.</t>
  </si>
  <si>
    <t>Subcriterios</t>
  </si>
  <si>
    <t>❌</t>
  </si>
  <si>
    <t>✔</t>
  </si>
  <si>
    <t xml:space="preserve">Afectación menor a 10 SMLMV </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</si>
  <si>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</si>
  <si>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 xml:space="preserve"> Matriz de Calor Residual</t>
  </si>
  <si>
    <t>Matriz de Calor Inherente</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</si>
  <si>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</si>
  <si>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Descripción del Control</t>
  </si>
  <si>
    <t>Orientaciones Generales</t>
  </si>
  <si>
    <t>Columna</t>
  </si>
  <si>
    <t>Matriz Mapa de Riesgos</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</si>
  <si>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</si>
  <si>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</si>
  <si>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</si>
  <si>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t>Frecuencia con la cual se lleva a cabo la actividad</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</si>
  <si>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</si>
  <si>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</si>
  <si>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</si>
  <si>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</si>
  <si>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</si>
  <si>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</si>
  <si>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Esta casilla no se diligencia, depende de la selección en la columna R.</t>
  </si>
  <si>
    <t>Utilice la lista de despligue que se encuentra parametrizada, le aparecerán las opciones: i)Preventivo, ii)Detectivo, iii)Correctivo.</t>
  </si>
  <si>
    <t>Utilice la lista de despligue que se encuentra parametrizada, le aparecerán las opciones: i)Automático, ii)Manual.</t>
  </si>
  <si>
    <t xml:space="preserve">La matriz automáticamente hará el cálculo para el control analizado (Columna T) </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</si>
  <si>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</si>
  <si>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</si>
  <si>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</si>
  <si>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</si>
  <si>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</si>
  <si>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</si>
  <si>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</si>
  <si>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</si>
  <si>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</si>
  <si>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</si>
  <si>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</si>
  <si>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</si>
  <si>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</si>
  <si>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</si>
  <si>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</si>
  <si>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t>Proceso</t>
  </si>
  <si>
    <t>Objetivo</t>
  </si>
  <si>
    <t>Alcance</t>
  </si>
  <si>
    <t>Diligencie el objetivo del proceso.</t>
  </si>
  <si>
    <t>Diligencie el alcance del proceso.</t>
  </si>
  <si>
    <t>Diligencie el nombre del proceso al cual se le identificarán y valorarán los riesgos.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</si>
  <si>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</si>
  <si>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</si>
  <si>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</si>
  <si>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</si>
  <si>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</si>
  <si>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</si>
  <si>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</si>
  <si>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</si>
  <si>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</si>
  <si>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</si>
  <si>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</si>
  <si>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</si>
  <si>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IMPACTO</t>
  </si>
  <si>
    <t>CALIFICACIÓN DEL RIESGO</t>
  </si>
  <si>
    <t>CRITERIOS DE IMPACTO</t>
  </si>
  <si>
    <t>OPCIONES DE TRATAMIENTO</t>
  </si>
  <si>
    <t>PLAN DE ACCIÓN (SOLO PARA LA OPCIÓN DE REDUCIR)</t>
  </si>
  <si>
    <t>Área responsable</t>
  </si>
  <si>
    <t>PROCESOS</t>
  </si>
  <si>
    <t>Gerencia y Buen Gobierno</t>
  </si>
  <si>
    <t>Planeación</t>
  </si>
  <si>
    <t>Tecnologías de la Información</t>
  </si>
  <si>
    <t>Comunicaciones y Atención al Usuario</t>
  </si>
  <si>
    <t>Gestión Apoyo Asistencial y Farmacéutico</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</si>
  <si>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</si>
  <si>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</si>
  <si>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</si>
  <si>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</si>
  <si>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</si>
  <si>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</si>
  <si>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</si>
  <si>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</si>
  <si>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</si>
  <si>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</si>
  <si>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</si>
  <si>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</si>
  <si>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</si>
  <si>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</si>
  <si>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</si>
  <si>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</si>
  <si>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</si>
  <si>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</si>
  <si>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</si>
  <si>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</si>
  <si>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</si>
  <si>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</si>
  <si>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</si>
  <si>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</si>
  <si>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</si>
  <si>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</si>
  <si>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</si>
  <si>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</si>
  <si>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</si>
  <si>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</si>
  <si>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</si>
  <si>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</si>
  <si>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</si>
  <si>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</si>
  <si>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</si>
  <si>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</si>
  <si>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</si>
  <si>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</si>
  <si>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</si>
  <si>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</si>
  <si>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</si>
  <si>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</si>
  <si>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</si>
  <si>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</si>
  <si>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</si>
  <si>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</si>
  <si>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</si>
  <si>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</si>
  <si>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</si>
  <si>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</si>
  <si>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</si>
  <si>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</si>
  <si>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</si>
  <si>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</si>
  <si>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</si>
  <si>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</si>
  <si>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</si>
  <si>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</si>
  <si>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</si>
  <si>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</si>
  <si>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</si>
  <si>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</si>
  <si>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</si>
  <si>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</si>
  <si>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</si>
  <si>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</si>
  <si>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</si>
  <si>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</si>
  <si>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</si>
  <si>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</si>
  <si>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</si>
  <si>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</si>
  <si>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</si>
  <si>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</si>
  <si>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</si>
  <si>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</si>
  <si>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</si>
  <si>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</si>
  <si>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</si>
  <si>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</si>
  <si>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</si>
  <si>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</si>
  <si>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</si>
  <si>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</si>
  <si>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</si>
  <si>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</si>
  <si>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</si>
  <si>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</si>
  <si>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</si>
  <si>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</si>
  <si>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</si>
  <si>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</si>
  <si>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</si>
  <si>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</si>
  <si>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</si>
  <si>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</si>
  <si>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</si>
  <si>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</si>
  <si>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</si>
  <si>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</si>
  <si>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</si>
  <si>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</si>
  <si>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</si>
  <si>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</si>
  <si>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</si>
  <si>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</si>
  <si>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</si>
  <si>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</si>
  <si>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</si>
  <si>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</si>
  <si>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</si>
  <si>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</si>
  <si>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</si>
  <si>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</si>
  <si>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</si>
  <si>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</si>
  <si>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</si>
  <si>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</si>
  <si>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</si>
  <si>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</si>
  <si>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</si>
  <si>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</si>
  <si>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</si>
  <si>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</si>
  <si>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</si>
  <si>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</si>
  <si>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</si>
  <si>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</si>
  <si>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</si>
  <si>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</si>
  <si>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</si>
  <si>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</si>
  <si>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</si>
  <si>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</si>
  <si>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</si>
  <si>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</si>
  <si>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</si>
  <si>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Excel 97-2003</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</si>
  <si>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</si>
  <si>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</si>
  <si>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</si>
  <si>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</si>
  <si>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</si>
  <si>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</si>
  <si>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</si>
  <si>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</si>
  <si>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</si>
  <si>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</si>
  <si>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</si>
  <si>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</si>
  <si>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</si>
  <si>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</si>
  <si>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</si>
  <si>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</si>
  <si>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</si>
  <si>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</si>
  <si>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</si>
  <si>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</si>
  <si>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</si>
  <si>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</si>
  <si>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</si>
  <si>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</si>
  <si>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</si>
  <si>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</si>
  <si>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</si>
  <si>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</si>
  <si>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</si>
  <si>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</si>
  <si>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</si>
  <si>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</si>
  <si>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</si>
  <si>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</si>
  <si>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</si>
  <si>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</si>
  <si>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</si>
  <si>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</si>
  <si>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</si>
  <si>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</si>
  <si>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</si>
  <si>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</si>
  <si>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</si>
  <si>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</si>
  <si>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</si>
  <si>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</si>
  <si>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</si>
  <si>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</si>
  <si>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</si>
  <si>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</si>
  <si>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</si>
  <si>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</si>
  <si>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FORMATO: MAPA DE RIESGOS POR PROCESO</t>
  </si>
  <si>
    <t>OFICINA: ASESORA DE PLANEACION</t>
  </si>
  <si>
    <t>HOSPITAL MILITAR CENTRAL</t>
  </si>
  <si>
    <t>FORMATO: SEGUIMIENTOS Y MONITOREO MAPA DE RIESGOS</t>
  </si>
  <si>
    <t>PROCESO: PLANEACION</t>
  </si>
  <si>
    <t>SISTEMA DE GESTION INTEGRADO SGI</t>
  </si>
  <si>
    <t>Página 1 de 1</t>
  </si>
  <si>
    <t>MATRIZ DE MONITOREO DE RIESGOS 1 CORTE (ENERO - ABRIL)</t>
  </si>
  <si>
    <t>FECHA DEL REPORTE DEL MONITOREO</t>
  </si>
  <si>
    <t>IDENTIFICACIÓN DEL RIESGO</t>
  </si>
  <si>
    <t>¿SE MATERIALIZO EL RIESGO?</t>
  </si>
  <si>
    <t>PLAN DE MANEJO Y/O MITIGACIÓN DEL RIESGO 
(Diligencie en caso de haberse materializado el riesgo)</t>
  </si>
  <si>
    <t>No</t>
  </si>
  <si>
    <t>Si se materializo el riesgo
 Describa brevemente el hecho y especifique el área y/o servicio en donde tuvo lugar</t>
  </si>
  <si>
    <t>Descripción numericamente 
¿Cuántos hechos se presentaron?</t>
  </si>
  <si>
    <t>Realizó Análisis Causa -Raiz</t>
  </si>
  <si>
    <t xml:space="preserve">Describa el Análisis </t>
  </si>
  <si>
    <t>Acciones desarrolladas para mitigar el riesgo</t>
  </si>
  <si>
    <t xml:space="preserve">Plazo de ejecución </t>
  </si>
  <si>
    <t>Registros / Evidencias</t>
  </si>
  <si>
    <t>EL RIESGO SE MATERIALIZÓ</t>
  </si>
  <si>
    <t>SI</t>
  </si>
  <si>
    <t>NO</t>
  </si>
  <si>
    <t xml:space="preserve">Descripción del Control
(Propósito, forma como se realiza, responsable, periodicidad,  </t>
  </si>
  <si>
    <t>MATRIZ DE MONITOREO DE RIESGOS 2 CORTE (MAYO - AGOSTO)</t>
  </si>
  <si>
    <t>CÓDIGO: PL-OAPL-PO-FT-01</t>
  </si>
  <si>
    <t>FECHA DE EMISIÓN: 07-09-2021</t>
  </si>
  <si>
    <t>VERSIÓN: 04</t>
  </si>
  <si>
    <t>CÓDIGO: PL-OAPL-PO-FT-02</t>
  </si>
  <si>
    <t>VERSIÓN: 05</t>
  </si>
  <si>
    <t>MAPA DE RIEGOS INSTITUCIONAL V.1 - CONSOLIDADO.</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</si>
  <si>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</si>
  <si>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 xml:space="preserve">Establecer un marco de referencia general que involucre a todos los servidores públicos y contratistas del HOSPITAL MILITAR CENTRAL para la adecuada gestión del riesgo, por medio de la identificación de acciones de control, respuestas oportunas y estrategias institucionales frente a las diferentes situaciones que puedan afectar el cumplimiento de la misionalidad y el logro de los objetivos institucionales. </t>
  </si>
  <si>
    <t>Daños Activos Físicos</t>
  </si>
  <si>
    <t>Ejecución y Administración de procesos</t>
  </si>
  <si>
    <t>Fallas Tecnológicas</t>
  </si>
  <si>
    <t>El riesgo afecta la imagen de la entidad a nivel nacional, con efecto publicitarios sostenible a nivel país.</t>
  </si>
  <si>
    <t>El riesgo afecta la imagen de de la entidad con efecto publicitario sostenido a nivel de sector administrativo, nivel departamental o municipal.</t>
  </si>
  <si>
    <t>El riesgo afecta la imagen de la entidad con algunos usuarios de relevancia frente al logro de los objetivos.</t>
  </si>
  <si>
    <t>El riesgo afecta la imagen de la entidad internamente, de conocimiento general, nivel interno, de junta directiva y accionistas y/o de provedores.</t>
  </si>
  <si>
    <t>El riesgo afecta la imagen de algun área de la organización.</t>
  </si>
  <si>
    <t>Pérdida Reputacional.</t>
  </si>
  <si>
    <t>El responsable del área de gestión ética y buen gobierno gestiona de manera mensual actividades de incorporación y apropiación de los Códigos de Ética, Integridad, buen gobierno, deontológicos, por medio de presentaciones y difusión de correos electrónicos.</t>
  </si>
  <si>
    <t>El responsable del área de gestión ética y buen gobierno coordina de manera mensual los grupos gestores para el desarrollo y seguimiento de las políticas de integridad y humanización.</t>
  </si>
  <si>
    <t>Gestión Ética y Buen Gobierno</t>
  </si>
  <si>
    <t xml:space="preserve">Por pérdida de confianza y credibilidad por parte de la comunidad </t>
  </si>
  <si>
    <t>Incumplimiento de lineamientos de integridad, ética, bioética, humanización  y buen gobierno.</t>
  </si>
  <si>
    <t>Posibilidad de afectación reputacional por pérdida de confianza y credibilidad por parte de la comunidad, debido a Incumplimiento de lineamientos de integridad, ética, bioética, humanización  y buen gobierno.</t>
  </si>
  <si>
    <t>Gestión Ética y Buen Gobierno
Administración de Personal
Selección y Contratación
Gestión Contratos</t>
  </si>
  <si>
    <t>Multas y sanciones.</t>
  </si>
  <si>
    <t>Vinculación de personas naturales y/o jurídicas, sin considerar los lineamientos contemplados relacionado con conflictos de interés. (Política de Integridad)</t>
  </si>
  <si>
    <t>Posibilidad de afectación económica y reputacional por multas y sanciones, debido a la vinculación de personas naturales y/o jurídicas, sin considerar los lineamientos contemplados relacionado con conflictos de interés. (Política de Integridad).</t>
  </si>
  <si>
    <t xml:space="preserve">El profesional del área de Administración de personal, junto con el responsable de Selección y contratación de personal y el profesional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</si>
  <si>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</si>
  <si>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</si>
  <si>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</si>
  <si>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</si>
  <si>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t>Posibilidad de afectación económica y reputacional por demandas legales y sanciones, debido a 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</si>
  <si>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</si>
  <si>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 xml:space="preserve">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 </t>
  </si>
  <si>
    <t>Oficina Asesora de Planeación</t>
  </si>
  <si>
    <t>No prestación en la atención integral de los servicios de salud a los usuarios del subsistema de las fuerzas militares.</t>
  </si>
  <si>
    <t>Inedecuada identificación de necesidades para la adquisición de bienes y/o servicios.</t>
  </si>
  <si>
    <t>Posibilidad de afectación económica por la no prestación integral de los servicios de salud a los usuarios del subsistema de las fuerzas militares, debido a la inedecuada identificación de necesidades para la adquisición de bienes y/o servicios.</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</si>
  <si>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</si>
  <si>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</si>
  <si>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</si>
  <si>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Pérdida de credibilidad y desconfianza por parte de la ciudadanía, grupos de valor y usuarios internos y externos.</t>
  </si>
  <si>
    <t xml:space="preserve">Respuestas inadecuadas o sin soportes del Formulario Único de Avances de la Gestión - FURAG, por parte de las áreas y servicios de la entidad.  </t>
  </si>
  <si>
    <t>Posibilidad de afectación reputacional por pérdida de credibilidad y desconfianza por parte de la ciudadanía, grupos de valor, usuarios internos y externos, debido a respuestas inadecuadas o sin soportes en el Formulario Único de Avances de la Gestión - FURAG, por parte de las áreas y servicios de la entidad.</t>
  </si>
  <si>
    <t>Gestión de Calidad</t>
  </si>
  <si>
    <t>Desarticulación de las partes interesadas en el desarrollo e implementacion del sistema de gestión basado en procesos</t>
  </si>
  <si>
    <t>No implantación de  los sistemas de gestión de calidad en la organización.
Planificación  de los procesos.</t>
  </si>
  <si>
    <t>Posibilidad de afectación económica y reputacional por desarticulación de las partes interesadas en el desarrollo e implementacion del sistema de gestión basado en procesos, debido a la no implantación de  los sistemas de gestión de calidad en la organización.
Planificación  de los procesos.</t>
  </si>
  <si>
    <t>Incumplimiento normativo, multas y sanciones por parte de entes de control.</t>
  </si>
  <si>
    <t>Atenciones inseguras que generan percepción desfavorable de la entidad a los usuarios y los entes reguladores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</si>
  <si>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</si>
  <si>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Infraestructura y comunicaciones.
Gestión de Movilidad y Aplicaciones.
Mesa de Servicio de Tecnologías de la Información.</t>
  </si>
  <si>
    <t>No registro oportuno del estado de salud y la atención brindada en la historia clínica.</t>
  </si>
  <si>
    <t xml:space="preserve">Interrupción en la prestación de los servicios tecnológicos de la entidad </t>
  </si>
  <si>
    <t xml:space="preserve">
Posibilidad de afectación económica y reputacional por la no disponibilidad del registro oportuno del estado de salud y la atención brindada en la historia clínica, debido a la interrupción en la prestación de los servicios tecnológicos de la entidad.</t>
  </si>
  <si>
    <t>Gestión de Seguridad Informática</t>
  </si>
  <si>
    <t>Divulgación de información clasificada o reservada de los usuarios del subsistema de salud de las fuerzas militares</t>
  </si>
  <si>
    <t>Falta de control del ciclo de vida de las credenciales de acceso a la infraestructura tecnológica de la entidad.</t>
  </si>
  <si>
    <t xml:space="preserve">
Posibilidad de afectación reputacional y perdida de la confidencialidad por la divulgación de información clasificada o reservada de los usuarios del subsistema de salud de las fuerzas militares, debido a falta de control del ciclo de vida de las credenciales de acceso a la infraestructura tecnológica de la entidad. </t>
  </si>
  <si>
    <t>Infraestructura y comunicaciones</t>
  </si>
  <si>
    <t>No disponibilidad de la información clínica  de los usuarios del subsistema de salud de las fuerzas militares</t>
  </si>
  <si>
    <t>Falta de respaldo (copias de seguridad) de la información.</t>
  </si>
  <si>
    <t xml:space="preserve">
Posibilidad de afectación económica por no disponer de la información clínica  de los usuarios del subsistema de salud de las fuerzas militares, debido a falta de respaldo (copias de seguridad) de la información.</t>
  </si>
  <si>
    <t>Gestión de Movilidad y Aplicaciones</t>
  </si>
  <si>
    <t>Fallas en el funcionamiento del sistema de información clínico Dinamica Gerencial Hospitlaria</t>
  </si>
  <si>
    <t>Indebido control de cambios en nuevas versiones del aplicativo.</t>
  </si>
  <si>
    <t xml:space="preserve">
Posibilidad de afectación económica y reputacional por perdida de la integridad de la Historia Clínica por fallas en el funcionamiento del sistema de información clínico Dinámica Gerencial Hospitalaria por el Indebido control de cambios en nuevas versiones del aplicativo.</t>
  </si>
  <si>
    <t>El profesional de la Oficina Asesora de Planeación elabora la directiva y envía formato del Plan de Adquisiciones de manera anual, con el fin de emitir los lineamientos para identificación y consolidación de necesidades de bienes y/o servicios a contratar en la siguiente vigencia.</t>
  </si>
  <si>
    <t>El profesional de la Oficina Asesora de Planeación desarrolla de manera anual mesas de trabajo con subdirectores, jefes de unidad, jefes de oficina y demás responsables de áreas, según cronograma establecido en la directiva del Plan anual de Adquisiciones para realizar divulgación de los lineamientos definidos y brindar acompañamiento en la identificación y diligenciamiento de los formatos solicitados.</t>
  </si>
  <si>
    <t>El profesional de la Oficina Asesora de Planeación realiza mesas de trabajo de manera anual con cada uno de los subdirectores para la validación y aprobación de las necesidades proyectadas por cada una de sus unidades.</t>
  </si>
  <si>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</si>
  <si>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</si>
  <si>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</si>
  <si>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</si>
  <si>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</si>
  <si>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 xml:space="preserve">El profesional del área de Calidad verifica cada vez que se requiera el estado de los docuemntos, nivel de implementación y las acciones de mejora generadas en el sistema de gestión y socializar los resultados en la inducción y re-inducción del personal asistencial y administrativo, con el proposito de mantener articulado el sistema de getión de calida. </t>
  </si>
  <si>
    <t xml:space="preserve">El profesional del área de Calidad realiza mensulamente capacitaciones y socializaciones a las diferentes áreas de la entidad, con el fin de fortalecer el acompañamiento metodologíco  requerido por las áreas. </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</si>
  <si>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</si>
  <si>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</si>
  <si>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El lider del área de Infraestructura y Comunicaciones - INCO realiza el  monitoreo 7*24*365  a través de las herramientas de monitoreo (NOC) con el fin de verificar  el funcionamiento y el estado general de la infraestructura de redes y comunicaciones de la entidad para tomar acciones preventivas y/o correctivas.</t>
  </si>
  <si>
    <t>El líder del área de gestión de requerimientos e incidentes - GERE coordina y lidera el comité de cambios cada vez que se requiere un cambio, se proyecta el minutograma y las actividades relacionadas con la ejecución de un cambio en la infraestructura que soporta los servicios tecnologicos, a través de los formatos establecidos. Con el fin de planear e identificar los impactos que se puedan llegar a generar durante la implementación de un cambio.</t>
  </si>
  <si>
    <t>El líder de la Mesa de Servicio de TI - MSTI, al menos una vez al año realiza un mantenimiento preventivo a los activos de TI que soportan los servicios, con el fin de asegurar el funcionamiento adecuado de los mismos.</t>
  </si>
  <si>
    <t>El líder de la Mesa de Servicio de TI - MSTI, cada vez que se requiera realiza los mantenimientos  correctivos a los activos de TI que soportan los servicios, con el fin de asegurar el funcionamiento adecuado de los mismos.</t>
  </si>
  <si>
    <t>Diseñar y Documentar un proceso de Gestión de problemas de TI.</t>
  </si>
  <si>
    <t>Jefe Unidad de Informática</t>
  </si>
  <si>
    <t>Marzo de 2022</t>
  </si>
  <si>
    <t>Marzo de 2023</t>
  </si>
  <si>
    <t>Marzo de 2024</t>
  </si>
  <si>
    <t xml:space="preserve">El lider del área de gestión de seguridad informática - GESU, mensualmente realiza campañas de sensibilización en temas de ciber seguridad. Con el fin de concientizar a los usuarios de los riesgos realcionados con el uso seguro de la infraestructura tecnológica que soporta la prestación de los servicios tecnológicos. </t>
  </si>
  <si>
    <t>Campañas de concientización, simulacros sobre ataques cibernéticos</t>
  </si>
  <si>
    <t>Diciembre de 2022</t>
  </si>
  <si>
    <t>Tritemtral</t>
  </si>
  <si>
    <t>El líder del área de gestión de requerimientos e incidentes - GERE solicita semanalmente  a la Unidad de Talento Humano, a la Subdirección Médica, Subdirección de Apoyo. subdirección administrativa, subdirección financiera y la Subdirección de docencia el reporte de ingresos y salidas del personal de planta, contratistas, personal médico , médicos residentes y profesionales de la salud que prestan servcios en el HOMIL.</t>
  </si>
  <si>
    <t>Implementar dentro del proceso de pago de la última cuenta, factura o liquidación el paz y salvo de la Unidad Informática</t>
  </si>
  <si>
    <t>El lider del área de Infraestructura y Comunicaciones - INCO realiza el  monitoreo 7*24*365  a través de las herramientas de monitoreo (NOC) con el fin de verificar  el funcionamiento y el estado general de los activos de TI que soportan el servicio de backup de la entidad para tomar acciones preventivas y/o correctivas.</t>
  </si>
  <si>
    <t>Probar la consistencia y efectividad de las copias de datos</t>
  </si>
  <si>
    <t>El administrador de la base de datos del área de infraestructura y comunicaciones diariamente verifica la realizacion de copias de datos. Con el fin de asegurarse de que se tiene una copia de respaldo para cuando se necesite.</t>
  </si>
  <si>
    <t>Los líderes de módulos del aplicativo Dinamica Gerencial Hospitalaria cada vez que exista una versión nueva del aplicativo, revisan el funcionamiento de las opciones de los diferentes modulos antes de montar compilacion nueva. Con el fin de validar si estas tuvieron cambios de funcionamiento y/o funcionan de manera adecuada.</t>
  </si>
  <si>
    <t>Realizar pruebas con los lideres funcionales de cada módulo del aplicativo Dinámica Gerencial</t>
  </si>
  <si>
    <t>Lideres de Módulos del aplicativo Dinámica gerencial</t>
  </si>
  <si>
    <t>Mensual</t>
  </si>
  <si>
    <t>El líder del área de gestión de requerimientos e incidentes - GERE coordina y lidera el comité de cambios cada vez que se requiere un cambio en el aplicativo Dinamica Gerencial Hospitalaria, se proyecta el minutograma y las actividades relacionadas con la ejecución del cambio, a través de los formatos establecidos. Con el fin de planear e identificar los impactos que se puedan llegar a generar durante la implementación de un cambio.</t>
  </si>
  <si>
    <t>Comunicaciones y Relaciones Públicas</t>
  </si>
  <si>
    <t>Pérdida de credibilidad e impacto negativo en la imagen externa de la entidad</t>
  </si>
  <si>
    <t>Confusión y errores en los procesos en los que los usuarios externos interactúan con la entidad</t>
  </si>
  <si>
    <t>Posibilidad de afectación reputacional por pérdida de credibilidad e impacto negativo en la imagen externa de la entidad debido a confusión y errores en los procesos como consecuencia de información errada, no verás o susceptible de mala interpretación</t>
  </si>
  <si>
    <t>Pérdida de credibilidad e impacto negativo en la imagen interna de la entidad</t>
  </si>
  <si>
    <t>Confusión y errores en los procesos en los que los usuarios internos interactúan con la entidad</t>
  </si>
  <si>
    <t>Posibilidad de afectación reputacional por pérdida de credibilidad e impacto negativo en la imagen interna de la entidad debido a confusión y errores en los procesos como consecuencia de información errada, no verás o susceptible de mala interpretación</t>
  </si>
  <si>
    <t>Atención al Usuario</t>
  </si>
  <si>
    <t xml:space="preserve">Incumplimiento de los periodos de tiempo de respuesta establecidos en la ley a las PQRS y posibles tutelas </t>
  </si>
  <si>
    <t>Demoras en las proyecciones de respuesta y/o respuesta superficiales por parte de los servicios, errores en el direccionamiento interno y recepcion de peticiones incompletas o con falta de soportes para tramitarlas</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</si>
  <si>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recepcion de peticiones incompletas o con falta de soportes para tramitarlas</t>
  </si>
  <si>
    <t>Insatisfacción de los usuarios del subsistema de salud de las Fuerzas Militares</t>
  </si>
  <si>
    <t>Inadecuada asignación de citas en el  Contac Center</t>
  </si>
  <si>
    <t>Posibilidad de afectación reputaciónal por insatisfacción de los usuarios del subsistema de salud de las Fuerzas Militares, debido a la inadecuada asignación de citas en el  Contac Center.</t>
  </si>
  <si>
    <t>Cada vez que se requiera el responsable del Área de Comunicaciones y Relaciones Púlicas envía a la fuente primaria (área solicitante) el producto comunicativo para validar su veracidad y claridad, posterior a ello envia al Subdirector de Docencia e Investigación Científica para su aprobación quien de acuerdo al nivel de complejidad del mismo envía a la Dirección General para obtener un tercer aval, posterior a este proceso se realiza la publicación de la información.</t>
  </si>
  <si>
    <t>El responsable del área de Atención al Usuario, realiza apertura en el formato ficha de seguimiento PQRSDF  Cod. CA-AUIS-PR-03-FT-02, y a su vez se enviarán los requeriemitnos por Control Doc a los jefes de servicio. De forma semanal esta ficha es revisada con el objetvo de generar segundos y terceros requerimientos a los servicios  para obtener respuesta y así evitar el vencimiento de los tiempos de ley.</t>
  </si>
  <si>
    <t>El responsable del área de Atención al Usuario, realiza el proceso de inducción cada vez que se requiera al personal de agentes para el Contac Center y semestralmente se realiza capacitación de adherencia de protocolos y procedimientos de asignación de citas, con el fin de fortalecer conocimientos y capacidades de los agentes encargados de la asignación de citas.</t>
  </si>
  <si>
    <t>Farmacia Producción y Adecuación de Medicamentos
Farmacia Salas  de Cirugía.
Farmacia de Salas de Maternidad.
Farmacia Tecnologías en Salud
(Medicamentos, Insumos Médico Quirúrgicos
de diagnóstico y reactivos)</t>
  </si>
  <si>
    <t>Diferencias en los inventarios de medicamentos, dispositivos médicos, reactivos e insumos asociadas a pérdidas, sobrantes y faltantes.</t>
  </si>
  <si>
    <t>Fallas en los procesos (Recepción de medicamentos y control de inventarios)</t>
  </si>
  <si>
    <t>Posibilidad de afectación económica por diferencias en los inventarios de medicamentos, dispositivos médicos, reactivos e insumos asociadas a pérdidas, sobrantes y faltantes debido a posibles fallas en los procesos (Recepción de medicamentos y control de inventarios)</t>
  </si>
  <si>
    <t>Desactualización en los inventarios de medicamentos, dispositivos médicos, reactivos e insumos.</t>
  </si>
  <si>
    <t xml:space="preserve">Registros tardíos y/o extemporáneos de la salida de tecnologías en salud a pacientes y otras áreas de servicio. </t>
  </si>
  <si>
    <t>Posibilidad de afectación económica por desactualización en los inventarios de medicamentos, dispositivos médicos, reactivos e insumos, debido a registros tardíos y/o extemporáneos de la salida de tecnologías en salud a pacientes y otras áreas de servicio.</t>
  </si>
  <si>
    <t>Farmacia Producción y Adecuación de Medicamentos
Farmacia Salas  de Cirugía.
Farmacia de Salas de Maternidad.</t>
  </si>
  <si>
    <t>Retraso en el inicio o continuidad de la farmacoterapia o procedimientos de los usuarios del subsitema de las fuerzas militares.</t>
  </si>
  <si>
    <t>No disponibilidad de medicamentos en el mercado o la solicitud inoportuna de los mismos.</t>
  </si>
  <si>
    <t>Posibilidad de afectación reputacional por el retraso en el inicio o continuidad de la farmacoterapia de los usuarios del subsistema de las Fuerzas Militares, debido a la no disponibilidad de medicamentos en el mercado o la solicitud inoportuna de los mismos.</t>
  </si>
  <si>
    <t>Gases Medicinales y Producción Aire Medicinal</t>
  </si>
  <si>
    <t>Retraso en el inicio o continuidad de la farmacoterapia de los usuarios del subsitema de las Fuerzas Militares.</t>
  </si>
  <si>
    <t>No disponibilidad de gases medicinales por incumplimiento del contrato que provee el insumo a la entidad.</t>
  </si>
  <si>
    <t>Posibilidad de aefctación reputacional por retraso en el inicio o continuidad de la farmacoterapia de los usuarios del subsitema de las Fuerzas Militares, debido a la no disponibilidad de gases medicinales por incumplimiento del contrato que provee el insumo a la entidad.</t>
  </si>
  <si>
    <t>El personal designado por el jefe de la Unidad de Farmacia realiza mensualmente un reporte de acceso a las áreas de Farmacia Producción y Adecuación de Medicamentos, con el fin de monitorear y controlar los ingresos del personal a las mismas.</t>
  </si>
  <si>
    <t>El personal designado de cada farmacia dispensa a áreas o servicios cada vez que lo requieran, medicamentos e insumos para consumo, los cuales son entregados y soportados por medio de un documento que describe las característcas técnicas y orden de despacho, con el fin de garantizar la trazabilidad y control de inventarios de las farmacias.</t>
  </si>
  <si>
    <t>El personal desigando de la Farmacia Producción y Adecuación de Medicamentos realiza mensualmente auditoria a la información digitada en el sistema de informacion DGH con el fin de detectar y corregir posibles errores humanos.</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</si>
  <si>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</si>
  <si>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El responsable de cada farmacia realiza de acuerdo a la necesidad la solicitud de suministros con el fin de mantener los niveles de stock suficientes para cada farmacia. Estos soportes son enviados mensualmente al jefe de la unidad de farmacia.</t>
  </si>
  <si>
    <t>El supervisor del contrato de gases medicinales hace seguimiento mensual del mismo, con el fin de dar cumplimiento y garantizar la disponibilidad de gases medicinales en el Hospital Militar Central.</t>
  </si>
  <si>
    <t xml:space="preserve">El personal designado de cada farmacia realiza la recepción técnica en el momento del ingreso de medicamentos, reactivos e insumos mediante del formato AA-UNFA-PR-15-FT-01, respectivamente, con el fin de verificar que las cantidades y la información registrada coincidan con lo físico. </t>
  </si>
  <si>
    <t>El personal desigando de cada farmacia realiza seguimiento semanal del inventario, con el fin de validar las cantidades físicas contra lo registrado en el sistema (Dinámica Gerencial Hospitalaria); dando cumplimiento al procedimiento Ajuste de Inventarios luego de un inventario físico en una farmacia Cod. FR-UNFA-PR-01.</t>
  </si>
  <si>
    <t>El personal desigando de la Farmacia Producción y Adecuación de Medicamentos realiza seguimiento semanal del inventario, con el fin de validar las cantidades físicas contra lo registrado en el sistema (Dinámica Gerencial Hospitalaria); dando cumplimiento al procedimiento Ajuste de Inventarios luego de un inventario físico en una farmacia Cod. FR-UNFA-PR-01.</t>
  </si>
  <si>
    <t>Farmacia Producción y Adecuación de Medicamentos
Farmacia Salas  de Cirugía.
Farmacia de Salas de Maternidad.
Farmacia Médico Quirúrgica</t>
  </si>
  <si>
    <t>Aumento del riesgo en la seguridad del paciente.</t>
  </si>
  <si>
    <t>Dispensación de medicamentos vencidos o diferentes a los prescritos</t>
  </si>
  <si>
    <t>Posibilidad de afectación reputacional por  aumento del riesgo en la seguridad del paciente debido a dispensación de medicamentos vencidos o diferentes a los prescritos.</t>
  </si>
  <si>
    <t>Dispensación de gases medicinales vencidos.</t>
  </si>
  <si>
    <t>Posibilidad de afectación reputacional por  aumento del riesgo en la seguridad del paciente debido a dispensación de gases medicinales vencidos.</t>
  </si>
  <si>
    <t>Farmacia Producción y Adecuación de Medicamentos</t>
  </si>
  <si>
    <t>Suspención de la producción en la Central de Adecuación de Medicamentos - CAM</t>
  </si>
  <si>
    <t>Fallas en equipos críticos necesarios para la producción de adecuación de medicamentos.</t>
  </si>
  <si>
    <t>Posibilidad de afectación económica por suspensión de la producción en la Central de Adecuación de Medicamentos - CAM, debido a fallas en  equipos críticos necesarios para la producción, lo que puede llevar a generar sobrecostos por la necesidad de producción de adecuaciones de medicamentos en otra entidad.</t>
  </si>
  <si>
    <t>Aumento del riesgo en la seguridad del paciente, por liberación de un medicamento adecuado que no corresponde con lo prescrito.</t>
  </si>
  <si>
    <t>Errores del personal en la interpretación-digitación, acondicionamiento, elaboración y liberacion de los productos adecuados en la Central de Adecuación de Medicamentos.</t>
  </si>
  <si>
    <t>Posibilidad de afectación reputacional por aumento del riesgo en la seguridad del paciente, por liberación de un medicamento adecuado que no corresponde con lo prescrito, debido a errores del personal en la interpretación de orden médica, procesos de producción, control de calidad de productos adecuados en la Central de Adecuación de Medicamentos.</t>
  </si>
  <si>
    <t>Farmacia Producción y Adecuación de
Medicamentos</t>
  </si>
  <si>
    <t xml:space="preserve">
Contaminacion microbilógica en el área de producción de la Central de Adecuación de Medicamentos.</t>
  </si>
  <si>
    <t>Falta de adherencia a protocolos de limpieza y desinfección de la Central de Adecuación de Medicamentos.</t>
  </si>
  <si>
    <t>Posibilidad de afectación económica y reputacional por contaminación microbiológica en el área de producción de la Central de Adecuación de Medicamentos, debido a falta de adherencia a protocolos de limpieza y desinfección de la CAM.</t>
  </si>
  <si>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</si>
  <si>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t>El personal designado del área de planta de producción de aire medicinal realiza la recepción técnica en el momento del ingreso de los gases medicinales mediante del formato AA-UNFA-PR-15-FT-03, con el fin de verificar fechas de vencimiento.</t>
  </si>
  <si>
    <t xml:space="preserve">El coordinador de producción realiza capacitación anual y medición de adherencia semestral en temas de operación de equipos a todo el personal involucrado con la producción de adecuación de medicamentos. </t>
  </si>
  <si>
    <t>El químico farmacéutico de control de calidad, realiza cada vez que se requiera la verificación de la información de las etiquetas de identificación de adecuaciones, con la solicitud y/o la fórmula médica para las producciones que aplique.</t>
  </si>
  <si>
    <t>El químico facmacéutico de aseguramiento de calidad, realiza seguimiento trimestral al cronograma de capacitaciones en el cual se incluyen temas de interpretación de la órden médica, procesos de producción, control de calidad de productos adecuados en la Central de Adecuación de Medicamentos.</t>
  </si>
  <si>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</si>
  <si>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t>El responsable de cada farmacia realiza verificación mensual de la correcta identificación LASA (Look alike sound alike) y semaforización (Marcación de medicamentos próximos a vencer) para los medicamentos que así lo requieren, con el fin de realizar una dispensación segura de los mismos. (Evidencia fotográfica enviada vía correo electrónico).</t>
  </si>
  <si>
    <t xml:space="preserve">El químico farmacéutico de garantia de calidad hace seguimiento trimestral del cronograma de mantenimiento y calibración de equipo industrial Cod. GL-EQIN-PR-01-FT-02, de la Central de Adecuación de Medicamentos, con el fin de verificar su cumplimiento. </t>
  </si>
  <si>
    <t xml:space="preserve">El Químico Farmacéutico de aseguramiento de calidad realiza y garantiza el cumplimiento del programa anual de capacitación al personal que labora en la CAM, donde se incluye protocolo de Limpieza y desinfeccón de áreas críticas, semicríticas y no críticas (CAM) CÓDIGO: AH-CLME-PT-03 e Ingreso y egreso de las áreas de producción, desinfección personal y flujo de materiales CAM CÓDIGO: Cód. AA-UNFA-PT-19, con el fin dar cumplimiento a la normatividad y garantizar la adherencia a protocolos. </t>
  </si>
  <si>
    <t xml:space="preserve">El auxiliar de farmacia designado, realiza seguimiento quincenal al estado de insumos utilizados para la limpieza y verificación de puntos críticos de limpieza mediante el formato Lista de verificación y desinfección CAM CÓDIGO: AH-CLME-PT-26-FT-03. </t>
  </si>
  <si>
    <t>Imágenes Diágnosticas
Laboratorio clínico
Patología</t>
  </si>
  <si>
    <t>Error en el diagnostico y tratamiento de los usuarios del subsitema de las fuerzas militares.</t>
  </si>
  <si>
    <t>No cumplimiento de protocolos, errores de interpretación, lectura, transcripción y validación de los resultados y/o estudios.</t>
  </si>
  <si>
    <t>Posibilidad de afectación reputacional por error en el diagnostico y tratamiento de los usuarios del subsitema de las fuerzas militares, debido al no cumplimiento de protocolos, errores de interpretación, lectura, transcripción y validación de los resultados y/o estudios.</t>
  </si>
  <si>
    <t>El líder de sección y/o área realiza socialización y evaluación anual de los protocolos del servicio y el líder de calidad realiza una adherencia semestral de acuerdo al cronograma de cada servicio.</t>
  </si>
  <si>
    <t>El profesional designado de la sección y/o área realiza cada vez que se requiera la revisión de los resultados históricos de los pacientes en los sistemas de información.</t>
  </si>
  <si>
    <t>Pérdida de muestras sanguineas, fluidos, biopsias, especímenes, citologias.</t>
  </si>
  <si>
    <t xml:space="preserve">Incumplimiento de protocolos de toma, transporte y recepción de muestras. </t>
  </si>
  <si>
    <t>Posibilidad de afectación reputacional por pérdida de muestras sanguineas, fluidos, biopsias, especímenes, citologias, debido al incumplimiento de protocolos de toma, transporte y recepción.</t>
  </si>
  <si>
    <t>El jefe del servicio realiza de manera semanal el seguimiento de la no pérdida de muestras en el formato Cod. AA-PATL-PR-01-FT-.01 (Imágenes Diágnosticas y Patología)</t>
  </si>
  <si>
    <t>El jefe del servicio realiza de manera semanal el seguimiento de la no pérdida de muestras en el formato Cod. AD-LABO-PT-03-FT-03. (Laboratorio Clínico)</t>
  </si>
  <si>
    <t>Desabastecimiento de insumos   para la realización y procesamiento de estudios y muestras.</t>
  </si>
  <si>
    <t>Falta de planeación, aumento o disminución en la demanda de los pacientes y falta de control a las existencias de insumos.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</si>
  <si>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</si>
  <si>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Imágenes Diágnosticas</t>
  </si>
  <si>
    <t>Aparición de efectos nocivos para la salud de los trabajadores expuestos a radiación ionizante.</t>
  </si>
  <si>
    <t>Falta de calibraciòn de los equipos emisores de radiación ionizante, no uso del dosimetro y de los elementos de radioprotecciòn personal y desconocimiento del estado de salud del personal ocupacionalmente expuesto</t>
  </si>
  <si>
    <t>Posibilidad de afectación reputacional por aparición de efectos nocivos para la salud de los trabajadores expuestos a radiación ionizante, debido a falta de calibraciòn de los equipos emisores, no uso del dosimetro y de los elementos de radioprotecciòn personal.</t>
  </si>
  <si>
    <t>Farmacia Tecnologías en Salud
(Medicamentos, Insumos Médico Quirúrgicos
de diagnóstico y reactivos)</t>
  </si>
  <si>
    <t>Avería de las tecnologías en salud durante el proceso de recepción técnica y almacenamiento</t>
  </si>
  <si>
    <t xml:space="preserve">Condiciones locativas y maniobra que se hace a los productos. </t>
  </si>
  <si>
    <t>Posible afectación económica por avería de las tecnologías en salud durante el proceso de recepción técnica y almacenamiento, debido a las condiciones locativas y maniobra que se hace a los productos.</t>
  </si>
  <si>
    <t xml:space="preserve">El jefe del servicio realiza la planeación anual de los insumos, de acuerdo a las necesidades y comportamiento histórico de años anteriores mediante formato establecido por medio del Plan Anual de Adquisiciones. </t>
  </si>
  <si>
    <t xml:space="preserve">El responsable de cada área y/o sección, realiza mensualmente la solicitud de necesidad de insumos con el visto bueno del supervisor del contrato de los diferentes insumos de cuerdo a necesidad. </t>
  </si>
  <si>
    <t xml:space="preserve">El líder de calidad y/o encargado de cada servicio, realiza de manera mensual revista selectiva a los inventarios, con el fin de verificar las existencias  y que coincida lo físico con lo reportado en Dinámica Gerencial Hospitalaria. </t>
  </si>
  <si>
    <t>El líder del servicio garantiza la existencia del cronograma de mantenientos preventivos y correctivos, los cuales son enviados anualmente por los proveedores de los diferentes equipos emisores de radiación.</t>
  </si>
  <si>
    <t>El líder de calidad del servicio verifica de manera periodica el uso del dosimetro y los elementos de radioprotección personal del personal ocupacionalmente expuerto.</t>
  </si>
  <si>
    <t>El personal desigando de la Farmacia Tecnologías en Salud realiza seguimiento mensual del inventario, con el fin de validar las características de calidad del producto; dando cumplimiento al procedimiento TOMA FISICA DE INVENTARIO DE MEDICAMENTOS Y DISPOSITIVOS MEDICOS Cod. FR-UNFA-PR-22</t>
  </si>
  <si>
    <t>El Químico Farmacéutico de la Farmacia de Tecnologías en Salud, realiza trimestralemente la medición de adherencia al PROCEDIMIENTO: RECEPCIÓN TÉCNICA DE MEDICAMENTOS, DISPOSITIVOS MÉDICO QUIRÚRGICOS (DMQ), REACTIVOS Y DEMAS INSUMOS RELACIONADOS CON EL CUIDADO DE LA SALUD COD AA-UNFA-PR-15 mediante FT EVALUACIÓN DE ADHERENCIA  COD EM-CLDD-PR-01-FT-05, con el fin de mitigar las averías en productos.</t>
  </si>
  <si>
    <t>Urgencias</t>
  </si>
  <si>
    <t>No atención oportuna en la prestación del servicio de salud a los usuarios del sistema de salud general y a los usuarios del subsistema de las Fuerzas Militares.</t>
  </si>
  <si>
    <t>Clasificación equivocada en la atención médica inmediata (triage), falta de adherencia al procedimiento de clasificación y valoración y fallas en la clasificación por demanda de pacientes que solicitan la atención médica en el servicio de urgencias.</t>
  </si>
  <si>
    <t>Posibilidad de afectación económica y reputacional por no atención oportuna en la prestación del servicio de salud a los usuarios del sistema de salud general y a los usuarios del subsistema de las Fuerzas Militares, debido a Clasificación equivocada en la atención médica inmediata (triage), falta de adherencia al procedimiento de clasificación y valoración y fallas en la clasificación por demanda de pacientes que solicitan la atención médica en el servicio de urgencias.</t>
  </si>
  <si>
    <t>No cierre del ciclo de atención de los pacientes etendidos en el servicio de urgencias (asistencial y administrativo)</t>
  </si>
  <si>
    <t xml:space="preserve">Salida de pacientes sin autorización medica, ausencia de identificación de los pacientes y múltiples vías de ingreso y salidas no controladas en el servicio de urgencias. </t>
  </si>
  <si>
    <t>Posibilidad de afectación económica y reputacional por no cierre del ciclo de atención de los pacientes atendidos en el servicio de urgencias (asistencial y administrativo), debido a salida de pacientes sin autorización médica, ausencia de identificación de los pacientes y múltiples vías de ingreso y salidas no controladas en el servicio de urgencias.</t>
  </si>
  <si>
    <t>Consulta Externa</t>
  </si>
  <si>
    <t>Insatisfacción de los usuarios del subsistema de salud de las Fuerzas Militares y otros (Soat)</t>
  </si>
  <si>
    <t>Asignación de citas con servicios que no correspondan a la orden médica y a la autorización y falta de adherencia al procedimiento de asignación de citas médicas.</t>
  </si>
  <si>
    <t>Posibilidad de afectación económica y reputacional por Insatisfacción de los usuarios del subsistema de salud de las Fuerzas Militares y otros (Soat), debido a la asignación de citas con servicios que no correspondan a la orden médica y a la autorización y falta de adherencia al procedimiento de asignación de citas médicas.</t>
  </si>
  <si>
    <t>Lesión o daño en el paciente durante la prestación del servicio</t>
  </si>
  <si>
    <t>Evento adverso en la atención del paciente del servicio de consulta externa, por fallas en el manejo y adherencia a las guías, protocolos, procedimientos de gestión ambulatoria por el personal de salud en el sitio de trabajo.</t>
  </si>
  <si>
    <t>Posibilidad de afectación reputacional por lesión o daño en el paciente durante la prestación del servicio, debido a  evento adverso en la atención del paciente del servicio de consulta externa, por fallas en la manejo y adherencia a las guías, protocolos, procedimientos de gestión ambulatoria por el personal de salud en el sitio de trabajo.</t>
  </si>
  <si>
    <t>Multa, sanción y pérdida de confianza por parte de los usuarios del subsistema de salud de las Fuerzas Militares.</t>
  </si>
  <si>
    <t>Manejo de influencias en la asignación de citas médicas y falla en adherencia a los protocolos institucionales por parte de los funcionarios de asignación de citas.</t>
  </si>
  <si>
    <t>Posibilidad de afectación económica y reputacional, por multa, sanción y pérdida de confianza por parte de los usuarios del subsistema de salud de las Fuerzas Militares, debido al manejo de influencias en la asignación de citas médicas y falla en adherencia a los protocolos institucionales por parte de los funcionarios de asignación de citas.</t>
  </si>
  <si>
    <t>Enfermería</t>
  </si>
  <si>
    <t>Multas, sanciones, PQRSD, glosas y eventos adversos.</t>
  </si>
  <si>
    <t xml:space="preserve">Falta de adherencia a las guías, procedimientos y protocolos del servicio de enfermería. </t>
  </si>
  <si>
    <t xml:space="preserve">Posibilidad de afectación económica y reputacional por multas, sanciones, PQRSD, glosas y eventos adversos, debido a la falta de adherencia a las guías, procedimientos y protocolos del servicio de enfermería. </t>
  </si>
  <si>
    <t>Pérdida de medicamentos e insumos hospitalarios en custoria del servicio de enfermería.</t>
  </si>
  <si>
    <t>Posibilidad de afectación económica y reputacional por no atención oportuna en la prestación del servicio de salud a los usuarios del sistema de salud general y a los usuarios del subsistema de las Fuerzas Militares, debido a la pérdida de medicamentos e insumos hospitalarios en custoria del servicio de enfermería.</t>
  </si>
  <si>
    <t xml:space="preserve">El responsable del servicio de urgencias, verifica permanentemente el cumplimiento de Clasificación y valoración en triage Cod. UR-URGN-PR-14, Tabla de clasificación de triage Cod. UR-URGN-PR-14-FT-01 y Hoja de triage Cod. AM-URGN-PR-14-FT-02, con el fin de garantizar la atención integral, oportuna, segura y humanizada en la atención del paciente que consulta el servicio de urgencias. </t>
  </si>
  <si>
    <t xml:space="preserve">El responsable del servicio de urgencias, coordina según cronograma la actualización, socialización, evaluación y medición de adherencia de los documentos asociados al servicio de urgencias (Clasificación y valoración en triage Cod. UR-URGN-PR-14, Tabla de clasificación de triage Cod. UR-URGN-PR-14-FT-01 y Hoja de triage Cod. AM-URGN-PR-14-FT-02), con el fin de garantizar la atención integral, oportuna, segura y humanizada en la atención del paciente que consulta el servicio de urgencias. </t>
  </si>
  <si>
    <t>El responsable del servicio de urgencias coordina permanente el cumplimiento del procedimiento de Admisión y egreso administrativo del paciente de urgencias, hospitalrios y ambulatorio Cod. GF-ADMI-PR-01, con el fin de dar cumplimiento al cierre del ciclo de atención del paciente en el servicio de urgencias.</t>
  </si>
  <si>
    <t xml:space="preserve">El responsable del servicio de urgencias coordina cada vez que se requiera con el personal de seguridad, el cubrimiento de guardas de seguridad, cámaras y puertas electrónicas en las diferentes salidas del servicio de urgencias, con el fin de mitigar la materialización del riesgo de salida de pacientes sin autorización médica. </t>
  </si>
  <si>
    <t>El responsable del servicio de consulta externa, realiza el proceso de inducción cada vez que se requiera al personal de agentes para la central de citas y trimestralmente se realiza capacitación de adherencia de protocolos y procedimientos de asignación de citas, Asignación de citas médicas y procedimientos Cod. AM-COEX-PR-01-IN-02, con el fin de fortalecer conocimientos y capacidades de los agentes encargados de la asignación de citas.</t>
  </si>
  <si>
    <t xml:space="preserve">El responsable del servicio de consulta externa y de los servicios que prestan atención en esta área, deben garantizar y articular con los diferentes servicios y el responsable del área de gestión de calidad, el cumplimiento del proceso asistencial, con el fin de mitigar el riesgo de posibles eventos adversos. </t>
  </si>
  <si>
    <t>El responsable del servicio de consulta externa, verifica cada vez que se requiera el cumplimiento de los procedimientos y estándares definidos para la asignación de citas y trimestralmente capacita y retroalimenta el proceso por medio de medición de adherencia Cod. AM-COEX-PR-01-IN-02, dando cumpliemto al código de ética y buen gobierno de la entidad.</t>
  </si>
  <si>
    <t>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Cod. AM-ENFE-PP-01 de 2018, cuyo objetivo es fortalecer las destrezas, habilidades, valores, competencias y el desarrollo integral del personal profesional y técnico del Servicio de Enfermería, para responder de manera oportuna, segura y con calidad a las necesidades presentadas en el servicio.</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</si>
  <si>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proposito de evaluar la aplicación de lasguías, procedimientos, protocolos y Plan de Atención de enfermería (propios y transversales) e identificar oportunidades de mejora en el servicio de enfermería. </t>
  </si>
  <si>
    <t>El responsable del servicio de enfermería con su equipo de trabajo, verifica trimestralmente mendiante la socialización y medición de adherencia al protocolo de administración segura de medicamentos  CÓDIGO: PM-ENFE-PT-01, 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</si>
  <si>
    <t>Clínica Médica
(Epidemiología)</t>
  </si>
  <si>
    <t>Cierre de áreas debido brotes o enfermedades infeccionsas que puedan limitar la prestación del servicio a los usuarios del Subsistema de las Fuerzas Militares</t>
  </si>
  <si>
    <t>Fallas de adherencia a la guías protocolos, procedimientos, alta rotación del personal de salud en áreas de hospitalización.</t>
  </si>
  <si>
    <t>Posibilidad de afectación reputacional debido cierre de áreas por brotes o enfermedades infecciosas que puedan limitar la prestación del servicio a los usuarios del Subsistema de las Fuerzas Militares, debido a fallas de adherencia a guías, protocolos, procedimientos y a la alta rotación del personal de salud en áreas de hospitalización.</t>
  </si>
  <si>
    <t>Hospitalización</t>
  </si>
  <si>
    <t>Error en el manejo y adherencia a las guías, protocolos, procedimientos de hospitalización por el personal de salud en el sitio de trabajo.</t>
  </si>
  <si>
    <t>Posibilidad de afectación reputacional por lesión o daño en el paciente durante la prestación del servicio, debido a  errores en el manejo y adherencia a las guías, protocolos, procedimientos de hospitalización por el personal de salud en el sitio de trabajo.</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</si>
  <si>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</si>
  <si>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Escuela de Aúxiliares de Enfermería</t>
  </si>
  <si>
    <t>Incumplimiento en el desarrollo del programa académico de la Escuela de Auxiliares de Enfermería.</t>
  </si>
  <si>
    <t>Rotación del personal docente, mejores ofertas laborales en el mercado y modalidad  de contratación con mejores garantias para los docentes.</t>
  </si>
  <si>
    <t xml:space="preserve">Posibilidad de afectación económica y reputacional por incumplimiento en el desarrollo del programa académico de la Escuela de Auxiliares de Enfermería, debido a la rotación del personal docente por mejores ofertas laborales en el mercado y modalidad de contratación con mejores garantías para los docentes.  </t>
  </si>
  <si>
    <t>Disminución en los ingresos de la Escuela de Auxiliares de Enfermería.</t>
  </si>
  <si>
    <t>Baja captación de los aspitantes al programa académico de acuerdo a la capacidad instalada y posible deserción estudiantil.</t>
  </si>
  <si>
    <t>Posibilidad de afectación económica por disminución en los ingresos de la Escuela de Auxiliares de Enfermería, debido a la baja captación de los aspirantes al programa académico de acuerdo a la capacidad instalada y posible deserción estudiantil.</t>
  </si>
  <si>
    <t>Formación en Salud</t>
  </si>
  <si>
    <t>Incumplimeinto a la normatividad y sanciones del ente regulador llevando a la cancelación  del escenario de práctica.</t>
  </si>
  <si>
    <t>Autorizar practicas formativas sin convenio docencia servicio.</t>
  </si>
  <si>
    <t>Posibilidad de afectación reputacional por incumplimiento a la normatividad y sanciones del ente regulador llevando a la cancelación del escenario de práctica, debido a autorización de prácticas formativas sin convenio docencia servicio.</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</si>
  <si>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</si>
  <si>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</si>
  <si>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Hospital Militar Central</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</si>
  <si>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Hospital Militar Central.</t>
  </si>
  <si>
    <t>El Director de la ESAE verifica y define de manera anual las obligaciones contractuales a desarrollar por parte del personal docente, por medio de los estudios previos, con fin de validar su experiencia y continuidad laboral.</t>
  </si>
  <si>
    <t>El Director de la ESAE realiza convocatorioas de manera trimestral a través de la divulgación del calendario académico en página web y redes sociales del HOMIL, con el fin de promover la inscripción y admisión de aspirantes.</t>
  </si>
  <si>
    <t>La coordinadora académica con colaboración docente, realiza semanalmente el seguimiento de retención, por medio de resultados académicos y ausentismo de los estudiantes. (listados de asistencias y reportes de calificaciones)</t>
  </si>
  <si>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</si>
  <si>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</si>
  <si>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La jefe de la Unidad de Investigaciones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</si>
  <si>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Investigaciones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</si>
  <si>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Administración de Personal / Selección y Contratación.</t>
  </si>
  <si>
    <t>Sanciones, multas y demandas</t>
  </si>
  <si>
    <t>Incumplimiento de los requisitos legales y/o propios del empleo u objeto del contrato  en los procesos de selección y vinculación de la entidad.</t>
  </si>
  <si>
    <t>Posibilidad de afectación económica y reputacional por sanciones, multas y demandas debido al incumplimiento de los requisitos legales y/o propios del empleo u objeto del contrato en los procesos de selección y vinculación de la entidad.</t>
  </si>
  <si>
    <t>Administración de Personal</t>
  </si>
  <si>
    <t>Sanciones , multas y demandas</t>
  </si>
  <si>
    <t>Traslado de personal sin verificar idoneidad y/o condiciones de salud para desempeñar el empleo.</t>
  </si>
  <si>
    <t>Posibilidad de afectación económica y reputacional por sanciones, multas y demandas, debido al traslado de personal sin verificar idoneidad y/o condiciones de salud para desempeñar el empleo.</t>
  </si>
  <si>
    <t>Oficina Control Disciplinario Interno</t>
  </si>
  <si>
    <t>Multas y demandas</t>
  </si>
  <si>
    <t>Ausencia de conservación de la confidencialidad del proceso disciplinarios en la etapa de instrucción.</t>
  </si>
  <si>
    <t>Posibilidad de afectación económica y reputacional por multas y demandas, debido a la ausencia de conservación de la confidencialidad del proceso disciplinarios en la etapa de instrucción.</t>
  </si>
  <si>
    <t>Pérdida de la competencia por parte de la administración, para ejercer la acción disciplinaria por el paso del tiempo.</t>
  </si>
  <si>
    <t xml:space="preserve">Falta de diligencia para gestionar el proceso disciplinario en los términos otorgados por la ley. </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</si>
  <si>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</si>
  <si>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Nómina y Prestaciones Sociales</t>
  </si>
  <si>
    <t>Pérdida de recursos, sanciones disciplinarias, fiscales y reclamaciones de los usuarios.</t>
  </si>
  <si>
    <t>Falta de control en las novedades de personal , fallas en el sistema de Información y falta de verificación de supervivencia del personal pensionado.</t>
  </si>
  <si>
    <t>Posibilidad de afectación económica y reputacional por pérdida de recursos, sanciones disciplinarias, fiscales y reclamaciones de los usuarios, debido a falta de control en las novedades de personal , fallas en el sistema de Información y falta de verificación de supervivencia del personal pensionado.</t>
  </si>
  <si>
    <t>Capacitación y Bienestar</t>
  </si>
  <si>
    <t>Falta de fortalecimiento de  las competencias y habilidades necesarias para ejecutar los cargos y desmotivación de los colaboradores.</t>
  </si>
  <si>
    <t xml:space="preserve">Ausencia de identificación de necesidades de capacitación y/o bienestar de los diferentes servicios y áreas del Hospital y ausencia de seguimiento a las actividades de capacitación y bienestar.
</t>
  </si>
  <si>
    <t>Posibilidad de afectación económica y reputacional por falta de fortalecimiento de  las competencias y habilidades necesarias para ejecutar los cargos y desmotivación de los colaboradores, debido a ausencia de identificación de necesidades de capacitación y/o bienestar de los diferentes servicios y áreas del Hospital y ausencia de seguimiento a las actividades de capacitación y bienestar.</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</si>
  <si>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</si>
  <si>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</si>
  <si>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</si>
  <si>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</si>
  <si>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Daños a activos fijos/ eventos externos</t>
  </si>
  <si>
    <t>Los auxiliares del Área de Administración de Personal de la Unidad de Talento Humano, verifican cada vez que se requiera la idoneidad del aspirante dando cumplimiento a lo establecido en el procedimiento integral del área de administración de personal para la selección - ingreso - permanencia y retiro de servidores públicos, Cód. GH-ADPE-PR-01, con el fin de dar cumplimiento a la normatividad vigente.</t>
  </si>
  <si>
    <t>Los auxiliares del Área de Selección y Contratación de la entidad de la Unidad de Talento Humano, verifican cada vez que se requiera la idoneidad del aspirante dando cumplimiento a lo establecido en el procedimiento Selección de contratista por prestación de servicios, Cód. GH-SECO-PR-03 y Contratación por prestación de servicios con personas naturales, Cod. GH-SECO-PR-01, con el fin de dar cumplimiento a la normatividad vigente.</t>
  </si>
  <si>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GH-SUAD-CP-03, con el fin de llevar una adecuada administración del recurso humano y salvaguardar los derechos de los servidores públicos. </t>
  </si>
  <si>
    <t>Los funcionarios de la Oficina de Control Disciplinario Interno, suscriben anualmente acuerdos de confidencialidad, con el fin de garantizar la reserva del proceso disciplinario en la etapa de instrucción.</t>
  </si>
  <si>
    <t xml:space="preserve">El jefe de la Oficina de Control Disciplinario Interno, gestiona mensualmente la verificación y cumplimiento de los términos procesales con la actualización de la base de datos de los procesos disciplinarios y el requerimiento a los funcionarios instructores de los procesos disciplnarios. </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</si>
  <si>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 emolumentos salarias y prestacionales sean liquidados en debida forma, posteriormemnte el Profesional de Defensa revisa   y verifica las novedades que fueron ajustadas.</t>
  </si>
  <si>
    <t>El auxiliar para Apoyo de Seguridad y Defensa - Técnico de Servicios  verifica el certificado de supervivencia y el archivo de la consulta masiva del estado de cédula del personal pensionado (Aplicativo del Ministerio de Salud - Pisis), con el propósito de efectuar el pago de la mesada pensional a quien tiene el derecho.</t>
  </si>
  <si>
    <t xml:space="preserve">El Jefe de Unidad de Seguridad y Defensa de la Unidad de Talento Humano y el Subdirector del Sector Defensa - Subdirección Administrativa, firman mensualmente la nómina para su aprobación y realizar el pago por parte de la Subdirección de Finanzas, </t>
  </si>
  <si>
    <t xml:space="preserve">El responsable del área de Capacitación y Bienestar, elabora anualmente encuesta que permita identificar las necesidades de capacitación y bienestar, garantizando un alto porcentaje de participación de los colaboradores. </t>
  </si>
  <si>
    <t xml:space="preserve">El responsable del área de Capacitación y Bienestar, elabora 
anualemente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</si>
  <si>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</si>
  <si>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</si>
  <si>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</si>
  <si>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</si>
  <si>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</si>
  <si>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 la matriz de peligros que se encuentran en las diferentes áreas y servicios de la entidad, con el fin de reducir la probabilidad de ocurrencia de un posible evento. </t>
  </si>
  <si>
    <t>Oficina Asesora Jurídica</t>
  </si>
  <si>
    <t>Fallos judiciales en contra del Hospital Militar Central</t>
  </si>
  <si>
    <t>Contestación extemporanea en las demandas interpuestas en contra de la entidad.</t>
  </si>
  <si>
    <t>Posibilidad de afectación económica y reputacional por fallos judiciales en contra del Hospital Militar Central, debido a la contestación extemporanea en las demandas interpuestas en contra de la entidad.</t>
  </si>
  <si>
    <t>Con el fin de evitar una materialización del riesgo relacionado con la contestación extemporanea de las demandas, el Funcionario de la oficina asesora jurídica revisa diariamente el corrreo electronico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</si>
  <si>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</si>
  <si>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Equipo Biomédico</t>
  </si>
  <si>
    <t>Ausencia de mantenimientos oportunos e inadecuada manipulación de los equipos biomédicos por parte del personal asistencial.</t>
  </si>
  <si>
    <t>Posibilidad de afectación económica y reputacional, por la no prestación en la atención integral de los servicios de salud a los usuarios del subsistema de las fuerzas militares, debido a la ausencia de mantenimientos oportunos e inadecuada manipulación de los equipos biomédicos por parte del personal asistencial.</t>
  </si>
  <si>
    <t>Mantenimiento, Talleres y Gestión Ambiental.</t>
  </si>
  <si>
    <t>Suspensión parcial o total de áreas o servicios vitales para la atención en salud a los usuarios del subsistema de las fuerzas militares.</t>
  </si>
  <si>
    <t>Incumplimiento normativo en el lavado de tanques de agua potable y alteraciones en el análisis físico - químico y microbiológico de la calidad del agua.</t>
  </si>
  <si>
    <t>Posibilidad de afectación económica y reputacional, por suspensión parcial o total de áreas o servicios vitales para la atención en salud a los usuarios del subsistema de las fuerzas militares, debido al incumplimiento normativo en el lavado de tanques de agua potable y alteraciones en el análisis físico - químico y microbiológico de la calidad del agua.</t>
  </si>
  <si>
    <t>Presencia y falta de continuidad en el proceso de control de vectores de plagas.</t>
  </si>
  <si>
    <t>Posibilidad de afectación económica y reputacional, por la suspensión parcial o total de áreas o servicios vitales para la atención en salud a los usuarios del subsistema de las fuerzas militares, debido a presencia y falta de continuidad en el proceso de control de vectores de plagas.</t>
  </si>
  <si>
    <t>Sanciones y multas de los diferentes entes de control.</t>
  </si>
  <si>
    <t>Inadecuada segregación y disposición final de residuos hospitarios.</t>
  </si>
  <si>
    <t>Posibilidad de afectación económica y reputacional por sanciones y multas de los diferentes entes de control, debido a la inadecuada segregación y disposición final de residuos hospitarios.</t>
  </si>
  <si>
    <t>Equipo Industrial</t>
  </si>
  <si>
    <t>Fallas en la red del suministro de gases medicinales (oxígeno, aire medicinal y vacio)</t>
  </si>
  <si>
    <t>Posibilidad de afectación económica y reputacional por la no prestación en la atención integral de los servicios de salud a los usuarios del subsistema de las fuerzas militares, debido a fallas en la red del suministro de gases medicinales (oxígeno, aire medicinal y vacío).</t>
  </si>
  <si>
    <t xml:space="preserve">No prestación en la atención integral de los servicios de salud a los usuarios del subsistema de las fuerzas militares y daños en equipos médicos y de computo. </t>
  </si>
  <si>
    <t xml:space="preserve">Fallas en el suministro de la red eléctrica de la entidad. </t>
  </si>
  <si>
    <t xml:space="preserve">Posibilidad de afectación económica y reputacional, por la no prestación en la atención integral de los servicios de salud a los usuarios del subsistema de las fuerzas militares y daños en equipos médicos y de computo, debido a fallas en el suministro de la red eléctrica de la entidad. </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</si>
  <si>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</si>
  <si>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</si>
  <si>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</si>
  <si>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Cierre de áreas, servicios y sanciones disciplinarias.</t>
  </si>
  <si>
    <t>Pérdida de materiales y herramientas necesarias para el mantenimiento de las instalaciones de la entidad.</t>
  </si>
  <si>
    <t>Posibilidad de afectación económica y reputacional por el cierre de áreas, servicios y sanciones disciplinarias, debido a la pérdida de materiales y herramientas necesarias para el mantenimiento de las instalaciones de la entidad.</t>
  </si>
  <si>
    <t>Hotelería</t>
  </si>
  <si>
    <t xml:space="preserve">Demandas, multas y no prestación en la atención integral de los servicios de salud a los usuarios del subsistema de las fuerzas militares y médicos residentes. </t>
  </si>
  <si>
    <t>Suministro inoportuno de alimentación de acuerdo con los requerimientos nutricionales.</t>
  </si>
  <si>
    <t>Posibilidad de afectación económica y reputacional por demandas, multas y no prestación en la atención integral de los servicios de salud a los usuarios del subsistema de las fuerzas militares y médicos residentes, debido al suministro inoportuno de alimentación de acuerdo con los requerimientos nutricionales.</t>
  </si>
  <si>
    <t>Quejas, reclamos y no prestación en la atención integral de los servicios de salud a los usuarios del subsistema de las fuerzas militares.</t>
  </si>
  <si>
    <t xml:space="preserve">Incumplimiento en el suministro oportuno de ropa hospitalaria para la prestación del servicio en los diferentes procedimientos que requieren los pacientes. </t>
  </si>
  <si>
    <t xml:space="preserve">Posibilidad de afectación reputacional por quejas, reclamos y no prestación en la atención integral de los servicios de salud a los usuarios del subsistema de las fuerzas militares, debido al incumplimiento en el suministro oportuno de ropa hospitalaria para la prestación del servicio en los diferentes procedimientos que requieren los pacientes. </t>
  </si>
  <si>
    <t>Quejas, reclamos y complicaciones en la salud del paciente y usuarios.</t>
  </si>
  <si>
    <t>Incumplimiento al procedimiento de limpieza y desinfección en la entidad.</t>
  </si>
  <si>
    <t>Posibilidad de afectación reputacional por quejas, reclamos y complicaciones en la salud del paciente y usuarios, debido al incumplimiento al procedimiento de limpieza y desinfección en la entidad.</t>
  </si>
  <si>
    <t>Bioestadística e Historias Clínicas</t>
  </si>
  <si>
    <t>Sanciones disciplinarias, administrativas, penales, incumplimiento normativo y pérdida del patrimonio documental.</t>
  </si>
  <si>
    <t>Inadecuada administración de los documentos por parte del personal e inadecuada adherencia al procedimienrto para el préstamo de la documentación.</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</si>
  <si>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</si>
  <si>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t>Imprenta</t>
  </si>
  <si>
    <t xml:space="preserve">Traumatismos en la atención de los pacientes por ausencia de los formatos institucionales </t>
  </si>
  <si>
    <t>Falta de insumos, materia prima y daño en equipos (Impresoras litográficas y maquinas de corte.</t>
  </si>
  <si>
    <t>Posibilidad de afectación económica y reputacional por traumatismos en la atención de los pacientes por ausencia de los formatos institucionales, debido a falta de insumos, materia prima y daño en equipos (Impresoras litográficas y maquinas de corte.</t>
  </si>
  <si>
    <t>Infraestructura</t>
  </si>
  <si>
    <t>Cierre de áreas por parte de organismos de vigilancia y control.</t>
  </si>
  <si>
    <t>Fallas en la planificación de los proyectos de infraestructura, incumplimiento contractual por parte de los proveedores o ausencia de verificación de los requisitos de habilitación.</t>
  </si>
  <si>
    <t>Posibilidad de afectación económica y reputacional por el cierre de áreas por parte de organismos de vigilancia y control, debido a fallas en la planificación de los proyectos de infraestructura, incumplimiento contractual por parte de los proveedores o ausencia de verificación de los requisitos de habilitación.</t>
  </si>
  <si>
    <t>Seguridad</t>
  </si>
  <si>
    <t>Hurto de medicamentos, insumos hospitalarios y equipos médicos.</t>
  </si>
  <si>
    <t>Posibilidad de afectación económica y reputacional por No atención oportuna en la prestación del servicio de salud a los usuarios del sistema de salud general y a los usuarios del subsistema de las Fuerzas Militares, debido al hurto de medicamentos, insumos hospitalarios y equipos médicos.</t>
  </si>
  <si>
    <t>Talento Humano (Posibles comportamientos no éticos de los funcionarios)</t>
  </si>
  <si>
    <t xml:space="preserve">Pérdida y hurto de recursos (dinero) de la caja manual (ventanilla) y para el manejo del dinero con el que se surte el cajero electrónico del parqueadero público. </t>
  </si>
  <si>
    <t xml:space="preserve">Posibilidad de afectación económica por multas y sanciones debido a la pérdida y hurto de recursos (dinero) de la caja manual (ventanilla) y para el manejo del dinero con el que se surte el cajero electrónico del parqueadero público. </t>
  </si>
  <si>
    <t>Transporte</t>
  </si>
  <si>
    <t>Multas, sanciones, demandas y no prestación en la atención integral de los servicios de salud a los usuarios del subsistema de las Fuerzas Militares.</t>
  </si>
  <si>
    <t>Falta de planeación en el adecuado funcionamiento y prestación del servicio de ambulancias (medicalizadas y básicas)</t>
  </si>
  <si>
    <t>Posibilidad de afectación económica y reputacional por multas, sanciones, demandas y no prestación en la atención integral de los servicios de salud a los usuarios del subsistema de las Fuerzas Militares, debido a la falta de planeación para el adecuado funcionamiento y prestación del servicio de ambulancias (medicalizadas y básicas).</t>
  </si>
  <si>
    <t>El jefe del área de equipo biomédico establece cronograma mensual de mantenimiento preventivo, el cual es asignado al tecnologo biomédico encargado de cada servicio, con el fin de coordinar los mantenimientos preventivos realizado por  personal propio y por terceros.</t>
  </si>
  <si>
    <t>El jefe del área de equipo biomédico establece cronograma anual de capacitaciones, con el fin de educar al personal asistencial, sobre el adecuado uso de los equipos biomédicos para mitigar el daño de los mismos.</t>
  </si>
  <si>
    <t>El líder de gestión ambiental realiza el Plan Institucional de Gestión Ambiental - PIGA para la vigencia, en el cual plasma la periodicidad del lavado de tanques de manera semestral, según resolución 738 de 2018.</t>
  </si>
  <si>
    <t xml:space="preserve">El líder de gestión ambiental solicita semestralmemente la toma de muestra de agua potable al laboratorio subcontratato por la entidad, con el fin de conocer y garantizar la calidad del agua que suministra a los cliente interno y externo. </t>
  </si>
  <si>
    <t xml:space="preserve">El líder de gestión ambiental, verifica, supervisa y garantiza trimestralmente el control de vectores de plagas en la entidad, con el fin de dar cumplimiento normativo y sanitario en la prestación del servicio. </t>
  </si>
  <si>
    <t>El líder de gestión ambiental, realiza capacitaciones mensuales al personal asistencial y administrativo, con el fin de conocer la adherencia al Plan de Gestión Integral de Residuos Hopitalarios - PGIRH.</t>
  </si>
  <si>
    <t>El líder de gestión ambiental, realiza inspecciones mensuales a los servicios asistenciales que generan residuos hospitalarios, con el fin de medir la adherencia al Plan de Gestión Integral de Residuos Hopitalarios - PGIRH.</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</si>
  <si>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</si>
  <si>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</si>
  <si>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coordina de manera mensual con el proveedor el oportuno mantenimiento preventivo y correctivo de la planta eléctrica del edificio principal, con el fin de garantizar el suministro eléctrico a la entidad. (Reporte técnico por parte del proveedor)</t>
  </si>
  <si>
    <t>El supervisor del contrato, coordina de manera bimensual con el proveedor, el oportuno mantenimiento preventivo y correctivo de las UPS, con el fin de garantizar el continuo suministro eléctrico a las áreas críticas de la entidad. (Reporte técnico por parte del proveedor)</t>
  </si>
  <si>
    <t>El supervisor del contrato, gestiona según cronograma el mantenimiento preventivo de los equipos industriales (Neveras, Unidad Manejadora de Aire - UMAS, ventiladores, aire acondicionado y chiller), con el fin de garanizar el correcto funcionamiento de los mismos. (Reporte técnico de mantenimiento preventivo)</t>
  </si>
  <si>
    <t>El supervisor del contrato, gestiona cada vez que se requiera el mantenimiento correctivo de los equipos industriales (Neveras, Unidad Manejadora de Aire - UMAS, ventiladores, aire acondicionado y chiller), con el fin de garanizar el correcto funcionamiento de los mismos. (Reporte técnico de mantenimiento correctivo)</t>
  </si>
  <si>
    <t>El jefe del área de mantenimiento, talleres y gestión ambiental, gestiona semanalmente con los almaceces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</si>
  <si>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</si>
  <si>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asginación de materiales, herramientas y el correcto uso y disposición final de los mismos, con el fin de cumplir con los mantenimientos solicitados por las áreas o servicios de la entidad.</t>
  </si>
  <si>
    <t xml:space="preserve">El supervisor del contrato de alimentos, verifica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</si>
  <si>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supervisa diariamente en pisos y comedores el cumplimiento de las dietas establecidas por nutrición clínica, con el fin de garantizar los tiempos oportunos de entrega y dieta correspondiente a los pacientes y médicos residentes. </t>
  </si>
  <si>
    <t>El operario del área de lavanderia entrega diariamente el suministro de ropa hospitalaría al área de hotelería, mediante planillas de recolección y distribución de ropa, con el fin de dar cumplimiento al stock mínimo de ropa por servicio.</t>
  </si>
  <si>
    <t>El operario del área de hotelería entrega diariamente el suministro de ropa hospitalaría al área de enfermería, mediante planillas de recolección y distribución de ropa, con el fin de garantizar las condiciones de bienestar y confort del paciente.</t>
  </si>
  <si>
    <t>El coordinador se aseo se encarga de supervisar diariamente mediante la planilla de control de limpieza y desinfección,  la limpieza y desinfección de las áreas de la entidad, con el fin de garantizar el una adecuada presentación y limpieza de las diferentes áreas de la entidad.</t>
  </si>
  <si>
    <t xml:space="preserve">El responsable del área de Bioestadística, revisa cada vez que se requiera el cumplimiento de los requisitos establecidos en el procedimiento de Respuesta a solicitudes de fotocopias de historias clínicas y constancias, cod, GD-BAHC-PR-04 para la entrega de la copia de historia clínica, con el fin garantizar la autenticidad de la persona natural o jurídica que la solicita y de dar cumplimiento a lo solicitado. </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</si>
  <si>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Aserosa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</si>
  <si>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</si>
  <si>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anualmente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</si>
  <si>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</si>
  <si>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 xml:space="preserve">El jefe del área de infraestructura, verifica semestralmente la estructuración de los proyectos de infraestructura, con el fin de determinar el cumplimiento de la normatividad vigente, por medio de comités realizados con el acompañamiento del área gestión de calidad. </t>
  </si>
  <si>
    <t>Cada supervisor de los conratos de obra, verifican semanalmente el estado de avance de los contratos, mediante comités de obra, con el fin de controlar la ejecución y complimiento de las obligaciones contractuales.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</si>
  <si>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escanner.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</si>
  <si>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</si>
  <si>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</si>
  <si>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 xml:space="preserve">El responsable del área de Seguridad verifica en cada cierre de turno (24 horas) mediante el recibo que emite la caja manual  vs el dinero recaudado vs el recibo de consignación al área de tesoreria, con el fin de garantizar el adecuado manejo de los recursos que ingresan por el servicio de parqueo. </t>
  </si>
  <si>
    <t>El responsable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tesoreria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</si>
  <si>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</si>
  <si>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área de Seguridad, registra diariamente en base de datos, en la cual se relaciona el número de recibo que emite el área de tesorería, recibo de caja y recibo de ingresos y egresos, con el fin llevar trazabilidad del dinero manejado por el servicio del parqueadero. </t>
  </si>
  <si>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</si>
  <si>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subsitema de salud de las Fuermas Militares.</t>
  </si>
  <si>
    <t>Gestión de contratos</t>
  </si>
  <si>
    <t xml:space="preserve">No prestación en la atención integral de los servicios de salud a los usuarios del subsistema de las fuerzas militares, multas, sanciones de entes de control y percepción negativa por parte de los usuarios internos y externos de la entidad. </t>
  </si>
  <si>
    <t xml:space="preserve">Incumplimiento de especificaciones técnicas del objeto contractual, celebración indebida de contratos e incumplimiento de procedimiento interno y demás normatividad aplicable al proceso de adquisiciones. </t>
  </si>
  <si>
    <t>Posibilidad de afectación económica y reputacional por la no prestación integral de los servicios de salud a los usuarios del Subsistema de las Fuerzas Militares, multas, sanciones de entes de control y percepción negativa por parte de los usuarios internos y externos de la entidad, debido al incumplimiento de especificaciones técnicas del objeto contractual, celebración indebida de contratos, e incumplimiento de los procedimientos internos y demás normatividad aplicable al proceso de contratación.</t>
  </si>
  <si>
    <t>Almacenes Bienes Activos</t>
  </si>
  <si>
    <t>Limitación en la prestación de los servicios de salud a los usuarios del subsistema de las fuerzas militares.</t>
  </si>
  <si>
    <t xml:space="preserve">Pérdida de los bienes activos y bienes de consumo, necesarios para la ejecucioón de las actividades propias de la entidad. </t>
  </si>
  <si>
    <t xml:space="preserve">Posibilidad de afectación económica y reputacional por limitación en la prestación de los servicios de salud a los usuarios del subsistema de las fuerzas militares, debido a la pérdida de los bienes activos y bienes de consumo, necesarios para la ejecución de las actividades propias de la entidad. </t>
  </si>
  <si>
    <t xml:space="preserve">Daño intencional de los bienes activos, necesarios para la ejecución de las actividades propias de la entidad. </t>
  </si>
  <si>
    <t xml:space="preserve">Posibilidad de afectación económica por limitación en la prestación de los servicios de salud a los usuarios del subsistema de las fuerzas militares, debido al daño intencional de los bienes activos, necesarios para la ejecución de las actividades propias de la entidad. </t>
  </si>
  <si>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</si>
  <si>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 xml:space="preserve">El profesional designado del Área de Gestión Contratos - GECO, cada vez que se realiza un proceso de contratación, se efectua la verificación y evaluación de los requisitos habilitantes técnicos, económicos y jurídicos, con el fin de seleccionar el proveedor que cumpla con las caracteristicas técnicas, económicas y jurídicas requeridas. </t>
  </si>
  <si>
    <t>El profesional designado del Área de Gestión Contratos - GECO, cada vez que se realiza la publicación del resultado del oferente adjudicado, con el fin de realizar el perfeccionamiento y legalización del contrato.</t>
  </si>
  <si>
    <t xml:space="preserve">El profesional designado como supervisor del contrato, realiza el seguimiento mensual de la ejecución del contrato, con el fin de garantizar el cumplimiento del contrato. </t>
  </si>
  <si>
    <t>El profesional o técnico contable del área de almacenes bienes activos - ALBA, realiza cada vez que se requiera el registro de los bienes adquiridos por la entidad, diligenciando la información de cada bien en el aplicativo Dinámica Gerencial Hospitalaria, con el fin de controlar y asignar placas de identificación.</t>
  </si>
  <si>
    <t>Los supervisores de los contratos aportan al área de almacenes bienes activos - ALBA la lista de distribución cada vez que sea requerida, con el fin de realizar la asignación de los bienes a los responsables de los inventarios según corresponda.</t>
  </si>
  <si>
    <t>El responsable de activos fijos realiza la distribución de los inventarios de manera anual a los auxiliares del área de almacenes bienes activos - ALBA, quienes se encargan de verificar fisicamente los bienes en compañía de los responsables de los inventarios, realizar el levantamiento del acta y firma del inventario en el formato de Dinámica Gerencial Hospitalaria.</t>
  </si>
  <si>
    <t xml:space="preserve">El responsable del almacén de bienes de consumo No. 1, realiza en el momento que se requiera el registro en Dinámica Gerencial de acuerdo a la codificación correspondiente a los bienes de consumo, con el fin de controlar las existencias y niveles de stock en el almacén. </t>
  </si>
  <si>
    <t xml:space="preserve">El responsable designado del almacén de bienes de consumo No. 1, realiza cada vez que sea necesario, el despacho de acuerdo a la solicitud realizada por las áreas de la entidad. </t>
  </si>
  <si>
    <t>El responsable del almacén de bienes de consumo No. 1, programa de manera mensual la selectiva con el equipo de trabajo, a fin de determinar existencias físicas Vs lo reportado en  Dinámica Gerencial Hospitalaria.</t>
  </si>
  <si>
    <t>Presupuesto</t>
  </si>
  <si>
    <t>Limitación en la prestación de servicios de salud por falta de recursos.</t>
  </si>
  <si>
    <t>Fallas en la planeación y seguimiento presupuestal.</t>
  </si>
  <si>
    <t xml:space="preserve">Posibilidad de afectación económica y reputacional por limitación en la prestación de servicios de salud por falta de recursos, debido a fallas en la planeación y seguimiento presupuestal.
</t>
  </si>
  <si>
    <t>Contabilidad</t>
  </si>
  <si>
    <t>Sanción y no fenecimiento de la cuenta fiscal.</t>
  </si>
  <si>
    <t>Inoportunidad o no registro de las transacciones económicas e incumplimiento a la normatividad.</t>
  </si>
  <si>
    <t>Posibilidad de afectación económica y reputacional por sanción y no fenecimiento de la cuenta fiscal, debido a inoportunidad o no registro de las transacciones económicas e incumplimiento a normatividad contable vigente.</t>
  </si>
  <si>
    <t>Contabilidad
(Áreas fuente de la información contable)</t>
  </si>
  <si>
    <t>Incluir u omitir datos en el sistema de información que no respondan a la realidad con respecto a la transacción realizada.</t>
  </si>
  <si>
    <t>Posibilidad de afectación económica y reputacional por sanción y no fenecimiento de la cuenta fiscal, debido a incluir u omitir datos en el sistema de información, que no respondan a la realidad con respecto a la transacción realizada.</t>
  </si>
  <si>
    <t>Tesorería</t>
  </si>
  <si>
    <t>Sanciones económicas y penales.</t>
  </si>
  <si>
    <t>Realizar dobles pagos frente a una misma obligación, pagos sin cumplimiento de requisitos e incumplimiento en el pago a terceros.</t>
  </si>
  <si>
    <t>Posibilidad de afectación económica, por sanciones económicas y penales, debido realizar dobles pagos frente a una misma obligación, pagos sin cumplimiento de requisitos e incumplimiento en el pago a terceros.</t>
  </si>
  <si>
    <t>Costos</t>
  </si>
  <si>
    <t>Inadecuada toma de decisiones frente al comportamiento de un centro de costo o un servicio.</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</si>
  <si>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</si>
  <si>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Facturación</t>
  </si>
  <si>
    <t>No facturación de los servicios prestados.</t>
  </si>
  <si>
    <t xml:space="preserve">Inoportunidad o no registro de las atenciones en salud prestadas a los pacientes </t>
  </si>
  <si>
    <t>Posibilidad de afectación económica por   no facturación de los servicios prestados, debido a inoportunidad o no registro de las atenciones en salud prestadas a los pacientes.</t>
  </si>
  <si>
    <t>Cartera</t>
  </si>
  <si>
    <t>Inoportunidad en el recaudo de las cuentas por cobrar por prestación de servicios de salud, con los diferentes pagadores del sistema general de seguridad social en salud.</t>
  </si>
  <si>
    <t>Agotamiento en el cobro persuasivo.</t>
  </si>
  <si>
    <t>Posibilidad de afectación económica por inoportunidad en el recaudo de las cuentas por cobrar por prestación de servicios de salud, con los diferentes pagadores del sistema general de seguridad social en salud, debido al agotamiento en el cobro persiasivo.</t>
  </si>
  <si>
    <t xml:space="preserve">El profesional o técnico responsable del área de presupuesto, valida anualmente el cargue inicial del presupuesto en los sistemas de información (Dinámica Gerencial Hospitalaria y SIIF Nación), de acuerdo con la resolución interna de presupuesto, con el fin de identificar las apropiaciones establecidas en el decreto y ley de presupuesto y su distribución interna de acuerdo al plan de compras. </t>
  </si>
  <si>
    <t>Segunda validación y verificación de la información financiera en el momento del cargue.</t>
  </si>
  <si>
    <t>Jefe de Unidad Financiera</t>
  </si>
  <si>
    <t>El profesional o técnico responsable del área de presupuesto, expide anualmente los CDP (Certificado de Disponibilidad Presupuestal) y registros de los contratos suscritos con vigencias futuras, con el fin de dar respaldo presupuestal.</t>
  </si>
  <si>
    <t>Segunda validación con la Oficina Asesora de Planeación por medio del plan de compras.</t>
  </si>
  <si>
    <t>Unidad Financiera
Oficina Asesora de Planeación</t>
  </si>
  <si>
    <t>El profesional o técnico responsable del área de presupuesto, realiza de manera mensual la verificación y seguimiento de la ejecución del presupuesto en sistemas de información (Dinámica Gerencial Hospitalaria y SIIF Nación), genera y socializa informe.</t>
  </si>
  <si>
    <t>Segunda validación y socilización</t>
  </si>
  <si>
    <t>Subdirectores
Jefes de Oficina</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</si>
  <si>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</si>
  <si>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trazabailidad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</si>
  <si>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</si>
  <si>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realien oportumanente.</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</si>
  <si>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</si>
  <si>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trazabailidad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</si>
  <si>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</si>
  <si>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</si>
  <si>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mensualmene el cruce de ordenes de pago en SIIF y Dinámica Gerencial, con el fin de detectar diferencias. </t>
  </si>
  <si>
    <t>Los Auxiliares de Apoyo de Seguridad y Defensa del Área de Tesorería, registran diariamente en base de datos las fechas de vencimiento de acuerdo a cada contrato, el cual sirve como herramienta de programacion de pagos, con el fin de dar cumplimiento a la clausula.</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</si>
  <si>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</si>
  <si>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</si>
  <si>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</si>
  <si>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</si>
  <si>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</si>
  <si>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</si>
  <si>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mensulamnete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</si>
  <si>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</si>
  <si>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</si>
  <si>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</si>
  <si>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Registro de   Correspondencia y Archivo.</t>
  </si>
  <si>
    <t>Pérdida del patrimonio documental.</t>
  </si>
  <si>
    <t>Inadecuada administración de los documentos por parte del personal y/o incumplimiento de los procedimientos de la gestión documental en la entidad.</t>
  </si>
  <si>
    <t>Posibilidad de afectación reputacional por pérdida del patrimonio documental, debido a la inadecuada administración de los documentos por parte del personal y/o incumplimiento de los procedimientos de la gestión documental en la entidad.</t>
  </si>
  <si>
    <t>Multas y sanciones por el ente regulador</t>
  </si>
  <si>
    <t>Incumplimiento normativo, a causa de desgregación, deterioro y pérdida del patrimonio documental.</t>
  </si>
  <si>
    <t>Posibilidad de afectación reputacional por multas y sanciones por el ente regulador, debido a incumplimiento normativo, a causa de desgregación, deterioro y pérdida del patrimonio documental del archivo central de la entidad.</t>
  </si>
  <si>
    <t>Demandas y tutelas por divulgación de información clasificada o reservada de los usuarios del subsistema de salud de las fuerzas militares.</t>
  </si>
  <si>
    <t>Falta en el compromiso de confidencialidad y reserva de la información por parte del personal que cusodia la información del archivo central</t>
  </si>
  <si>
    <t>Posibilidad de afectación económica y reputacional por demandas y tutelas por divulgación de información clasificada o reservada de los usuarios del subsistema de salud de las fuerzas militares, debido a falta en el compromiso de confidencialidad y reserva de la información por parte del personal que custodia la información del archivo central.</t>
  </si>
  <si>
    <t>Pérdida de correspondencia que ingresa y sale de la entidad.</t>
  </si>
  <si>
    <t>Incumplimiento al procedimiento establecido para el control de la correspondencia recibida y enviada, no diligenciamiento de las plantillas de control de envio de la documentación externa y fallas en la radicación a terceros.</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</si>
  <si>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plantillas de control de envío de la documentación externa y fallas en la radicación a terceros.</t>
  </si>
  <si>
    <t>El auxiliar administrativo del área de Registro de Correspondencia y Archivo, atiende cada vez que se requiera la consulta de solicitud de expediente o documento conforme al procedimiento establecido CÓDIGO: GD-RECO-PR-05 con el fin de llevar un control de préstamos documentales del archivo central.</t>
  </si>
  <si>
    <t>El jefe del área de Registro de Correspondencia y Archivo, realiza capacitaciones mensualmente entorno a los procesos de la gestión (planeación, producción, gestión y trámite, organización, transferencia, disposición, preservación y valoración), con el fin de dar cumplimiento al articulo 13 y 16 de la Ley 594 de 2000</t>
  </si>
  <si>
    <t>El jefe del área de Registro de Correspondencia y Archivo, garantiza cuatrimestralmente el cumplimiento de la conservacion documental por medio del SIC (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t>
  </si>
  <si>
    <t>El jefe del Área de Registro de Correspondencia y archivo garantiza que se realice una vez al año, el cronograma de transferencias documentales primarias, permitiendo controlar la documentacion que las depedencias envían a custodia al archivo central conforme al procedimiento CÓDIGO: GL-RECO-PR-03</t>
  </si>
  <si>
    <t>Cada refrente documental de las diferentes dependencias de la entidad, debe realizar el inventario documental del archivo de gestion una vez finalice su vigencia, para llevar un control de la documentación que se genera en cada una de ellas.</t>
  </si>
  <si>
    <t>El auxiliar de apoyo de seguridad y defensa realiza de manera diaria el control y diligenciamiento de planillas de entrada y salida de comunicaciones externas de la entidad, por medio de base de datos conforme a los procedimientos CÓDIGO: GD-RECO-PR-01 y CÓDIGO: GD-RECO-PR-02</t>
  </si>
  <si>
    <t>El auxiliar de gestión documental se encarga de la radicacion de documentacion de los usuarios  externos por medio del sistema CONTROL DOC diariamente para continuar con la asignacion del radicado a la dependencias correspondiente.</t>
  </si>
  <si>
    <t>Oficina de Control Interno</t>
  </si>
  <si>
    <t>Hallazgos por entes de control.</t>
  </si>
  <si>
    <t>Selección inadecuada de procesos a evaluar, sin tener encuenta los de mayor exposición al riesgo y ausencia de verificación de los resultados de las auditorias y seguimientos.</t>
  </si>
  <si>
    <t>Posibilidad de afectación reputacional por hallazgos por entes de control, debido a  la selección inadecuada de procesos a evaluar, sin tener en cuenta los de mayor exposición al riesgo y ausencia de verificación de los resultados de las auditorias y seguimientos.</t>
  </si>
  <si>
    <t>Falencias en la asesoria a los líderes de procesos, en relación con la pertinencia, oportunidad, integridad y coherencia en la repuesta entregada por las diferentes dependencias, de acuerdo con el requerimiento efectuado.</t>
  </si>
  <si>
    <t>Posibilidad de afectación reputacional por hallazgos de entes de control, debido a falencias en la asesoría a los líderes de procesos, en relación con la pertinencia, oportunidad, integridad y coherencia en la repuesta entregada por las diferentes dependencias, de acuerdo con el requerimiento efectuado.</t>
  </si>
  <si>
    <t>Pérdida de credibilidad y confianza en la  Oficina de Control Interno</t>
  </si>
  <si>
    <t>Inexistencia de información que sustente y respalde el hallazgo de auditoría, deficiencias e interpretación errada de los soportes o ausencia de los mismos.</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</si>
  <si>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</si>
  <si>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t>Sanciones y multas de entes de control y pérdida de credibilidad y confianza en la  Oficina de Control Interno.</t>
  </si>
  <si>
    <t xml:space="preserve">Personal con falta de ética y conflicto de intereses por parte de los funcionarios y contratista de la entidad. </t>
  </si>
  <si>
    <t xml:space="preserve">Posibilidad de afectación económica y reputacional por sanciones y multas de entes de control y pérdida de credibilidad y confianza en la Oficina de Control Interno, debido a personal con falta de ética y conflicto de intereses por parte de los funcionarios y contratista de la entidad. </t>
  </si>
  <si>
    <t>El Jefe de la Oficina de Control Interno, realiza al inicio de cada vigencia el Programa Anual de auditorias CÓD.: EMOCIN- PR-01-FT- 01, teniendo en cuenta los resultados de las auditorias y seguimientos  y los procesos que se encuentran con mayor exposición al riesgo, con el fin de realizar una selección adecuada de las actividades a auditar.</t>
  </si>
  <si>
    <t xml:space="preserve">El Profesional de la Oficina de Control Interno, redirecciona al área o servicio responsable cada vez que se presente un requerimiento de algún ente de control, con el objetivo de dar respuesta de acuerdo con lo solicitado. </t>
  </si>
  <si>
    <t>El profesional de la Oficina de Control Interno, revisa cada de vez que se requiera, la respuesta remitida por el área o servicio responsable, con el propósito de verificar la pertinencia, oportunidad, integridad y coherencia frente al requerimieto efectuado por el ente de control</t>
  </si>
  <si>
    <t>El Profesional de la Oficina de Control Interno, en caso de identificar que la información remitida no esté acorde o presente inconsistencias frente a la solicitud de los organismos de control, este genera alertas vía correo electrónico a las áreas o servicios responsables.</t>
  </si>
  <si>
    <t>El profesional de la Oficina de Control Interno, consolida y proyecta respuesta definitiva al ente de control cada vez que se requiera, con el propósito de facilitar la información y dar cumplimiento en los terminos establecidos.</t>
  </si>
  <si>
    <t>El profesional de la Oficina de Control Interno, realiza mensulamente auditorias, seguimientos y selectivas, con el objetivo de evaluar el sistema de control interno de manera independiente, dando cumplimeinto al procedimiento "auditorías internas "CÓDIGO: EM-OCIN-PR-01" y procedimiento "Seguimientos y arqueos de caja" CÓDIGO: EM-OCIN-PR-05.</t>
  </si>
  <si>
    <t>El profesional de la Oficina de Control Interno, realiza mensualmente informes de auditorías, seguimientos y selectivas, con el propósito de presentar a la Dirección General y líderes de proceso  los resultados de la evaluación realizada.</t>
  </si>
  <si>
    <t>El Jefe de la Oficina de Control Interno, socializa con su equipo auditor cada vez que se requiera, "Código de Ética del Auditor Interno" CÓDIGO EM-OCIN-PR-01-DI-01, con fin de promover el adecuado comportamiento de los auditores internos, así como de funcionarios o particulares que presten sus servicios a la Oficina
de Control Interno, bajo cualquier modalidad, con los parámetros de las normas internacionales para la práctica de auditoría interna.</t>
  </si>
  <si>
    <t>El profesional de la Oficina de Control Interno, diligencia el formato Declaración de Independencia "CÓDIGO: EM-OCIN-PR-01-FT-04", con el propósito de no aceptar regalos o dadivas para favorecer a terceros con el trabajo realizado, no retardar injustificadamente el trabajo encomendado, no modificar injustificadamente los resultados de las auditorías a realizar, no recibir influencia externa en el trabajo a ejecutar einformar de no participar en actividades cuando no tengan la independencia exigida  en el transcurso del trabajo a efectuar.</t>
  </si>
  <si>
    <t>APROBADO MEDIANTE ACTA No. 7 DE COMITÉ INSTITUCIONAL DE GESTIÓN Y DESEMPEÑO DEL 29 DE DICIEMBRE DE 2021</t>
  </si>
  <si>
    <t>Salas de Curugía</t>
  </si>
  <si>
    <t>El jefe de la oficina de programación de cirugias verifica cada vez que se requiera la disponibilidad de insumos médico quirurgicos, con el fin de garantizar la realización de los procedimientos programados.</t>
  </si>
  <si>
    <t>El jefe de la oficina de programación de cirugías garantiza diariamente el cumplimiento de los requisitos de los pacientes para la programación de cirugia, con el fin de optimizar el uso de las salas de cirugía.</t>
  </si>
  <si>
    <t>Falta de insumos médico quirurgicos e inadecuada programación de cirugías.</t>
  </si>
  <si>
    <t>Posibilidad de afectación económica y reputacional por no atención oportuna en la prestación del servicio de salud a los usuarios del sistema de salud general y a los usuarios del subsistema de las Fuerzas Militares, debido a falta de insumos médico quirúrgicos e inadecuada programación de cirugías.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</si>
</sst>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76" x14ac:knownFonts="1">
    <font>
      <sz val="11"/>
      <color theme="1"/>
      <name val="Calibri"/>
      <family val="2"/>
      <scheme val="minor"/>
    </font>
    <font>
      <sz val="11"/>
      <color indexed="8"/>
      <name val="Arial Narrow"/>
      <family val="2"/>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sz val="14"/>
      <color theme="1"/>
      <name val="Arial Narrow"/>
      <family val="2"/>
    </font>
    <font>
      <b/>
      <sz val="14"/>
      <color theme="1"/>
      <name val="Arial Narrow"/>
      <family val="2"/>
    </font>
    <font>
      <sz val="10"/>
      <color theme="1"/>
      <name val="Arial Narrow"/>
      <family val="2"/>
    </font>
    <font>
      <b/>
      <sz val="12"/>
      <color theme="1"/>
      <name val="Arial Narrow"/>
      <family val="2"/>
    </font>
    <font>
      <u/>
      <sz val="11"/>
      <color theme="10"/>
      <name val="Calibri"/>
      <family val="2"/>
      <scheme val="minor"/>
    </font>
    <font>
      <sz val="9"/>
      <color indexed="81"/>
      <name val="Tahoma"/>
      <family val="2"/>
    </font>
    <font>
      <b/>
      <sz val="9"/>
      <color indexed="81"/>
      <name val="Tahoma"/>
      <family val="2"/>
    </font>
    <font>
      <b/>
      <sz val="18"/>
      <color rgb="FF000000"/>
      <name val="Arial Narrow"/>
      <family val="2"/>
    </font>
    <font>
      <b/>
      <sz val="18"/>
      <color theme="0"/>
      <name val="Arial Narrow"/>
      <family val="2"/>
    </font>
    <font>
      <b/>
      <sz val="15"/>
      <color theme="1"/>
      <name val="Arial Narrow"/>
      <family val="2"/>
    </font>
    <font>
      <sz val="15"/>
      <color theme="1"/>
      <name val="Arial Narrow"/>
      <family val="2"/>
    </font>
    <font>
      <sz val="15"/>
      <color theme="1" tint="0.249977111117893"/>
      <name val="Arial Narrow"/>
      <family val="2"/>
    </font>
    <font>
      <b/>
      <sz val="18"/>
      <color rgb="FFFF0000"/>
      <name val="Arial Narrow"/>
      <family val="2"/>
    </font>
    <font>
      <b/>
      <sz val="18"/>
      <name val="Arial Narrow"/>
      <family val="2"/>
    </font>
    <font>
      <sz val="16"/>
      <color theme="1"/>
      <name val="Arial Narrow"/>
      <family val="2"/>
    </font>
    <font>
      <b/>
      <sz val="20"/>
      <color theme="1"/>
      <name val="Arial Narrow"/>
      <family val="2"/>
    </font>
  </fonts>
  <fills count="20">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theme="9" tint="0.59999389629810485"/>
        <bgColor indexed="64"/>
      </patternFill>
    </fill>
  </fills>
  <borders count="11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dashed">
        <color theme="9" tint="-0.24994659260841701"/>
      </left>
      <right style="dashed">
        <color theme="9" tint="-0.24994659260841701"/>
      </right>
      <top/>
      <bottom style="dashed">
        <color theme="9" tint="-0.24994659260841701"/>
      </bottom>
      <diagonal/>
    </border>
    <border>
      <left style="dashed">
        <color theme="9" tint="-0.24994659260841701"/>
      </left>
      <right/>
      <top/>
      <bottom style="dashed">
        <color theme="9" tint="-0.24994659260841701"/>
      </bottom>
      <diagonal/>
    </border>
    <border>
      <left/>
      <right/>
      <top/>
      <bottom style="dashed">
        <color theme="9" tint="-0.24994659260841701"/>
      </bottom>
      <diagonal/>
    </border>
    <border>
      <left/>
      <right style="dashed">
        <color theme="9" tint="-0.24994659260841701"/>
      </right>
      <top/>
      <bottom style="dashed">
        <color theme="9" tint="-0.24994659260841701"/>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bottom style="dashed">
        <color indexed="64"/>
      </bottom>
      <diagonal/>
    </border>
    <border>
      <left style="dashed">
        <color indexed="64"/>
      </left>
      <right/>
      <top/>
      <bottom style="dashed">
        <color indexed="64"/>
      </bottom>
      <diagonal/>
    </border>
    <border>
      <left/>
      <right style="dashed">
        <color indexed="64"/>
      </right>
      <top/>
      <bottom style="dash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bottom style="dotted">
        <color indexed="64"/>
      </bottom>
      <diagonal/>
    </border>
  </borders>
  <cellStyleXfs count="6">
    <xf numFmtId="0" fontId="0" fillId="0" borderId="0"/>
    <xf numFmtId="0" fontId="10" fillId="0" borderId="0"/>
    <xf numFmtId="0" fontId="23" fillId="0" borderId="0"/>
    <xf numFmtId="0" fontId="11" fillId="0" borderId="0"/>
    <xf numFmtId="9" fontId="21" fillId="0" borderId="0" applyFont="0" applyFill="0" applyBorder="0" applyAlignment="0" applyProtection="0"/>
    <xf numFmtId="0" fontId="64" fillId="0" borderId="0" applyNumberFormat="0" applyFill="0" applyBorder="0" applyAlignment="0" applyProtection="0"/>
  </cellStyleXfs>
  <cellXfs count="599">
    <xf numFmtId="0" fontId="0" fillId="0" borderId="0" xfId="0"/>
    <xf numFmtId="0" fontId="26" fillId="0" borderId="0" xfId="0" applyFont="1"/>
    <xf numFmtId="0" fontId="26" fillId="2" borderId="0" xfId="0" applyFont="1" applyFill="1"/>
    <xf numFmtId="0" fontId="23" fillId="0" borderId="0" xfId="0" applyFont="1"/>
    <xf numFmtId="0" fontId="27" fillId="0" borderId="59" xfId="0" applyFont="1" applyBorder="1" applyAlignment="1">
      <alignment horizontal="left" vertical="center" wrapText="1" indent="1" readingOrder="1"/>
    </xf>
    <xf numFmtId="0" fontId="4" fillId="0" borderId="0" xfId="0" applyFont="1" applyAlignment="1">
      <alignment horizontal="center" vertical="center" wrapText="1"/>
    </xf>
    <xf numFmtId="0" fontId="28" fillId="3" borderId="0" xfId="0" applyFont="1" applyFill="1" applyAlignment="1">
      <alignment horizontal="center" vertical="center" wrapText="1" readingOrder="1"/>
    </xf>
    <xf numFmtId="0" fontId="29" fillId="4" borderId="60" xfId="0" applyFont="1" applyFill="1" applyBorder="1" applyAlignment="1">
      <alignment horizontal="center" vertical="center" wrapText="1" readingOrder="1"/>
    </xf>
    <xf numFmtId="0" fontId="29" fillId="0" borderId="60" xfId="0" applyFont="1" applyBorder="1" applyAlignment="1">
      <alignment horizontal="justify" vertical="center" wrapText="1" readingOrder="1"/>
    </xf>
    <xf numFmtId="9" fontId="29" fillId="0" borderId="60" xfId="0" applyNumberFormat="1" applyFont="1" applyBorder="1" applyAlignment="1">
      <alignment horizontal="center" vertical="center" wrapText="1" readingOrder="1"/>
    </xf>
    <xf numFmtId="0" fontId="29" fillId="5" borderId="59" xfId="0" applyFont="1" applyFill="1" applyBorder="1" applyAlignment="1">
      <alignment horizontal="center" vertical="center" wrapText="1" readingOrder="1"/>
    </xf>
    <xf numFmtId="0" fontId="29" fillId="0" borderId="59" xfId="0" applyFont="1" applyBorder="1" applyAlignment="1">
      <alignment horizontal="justify" vertical="center" wrapText="1" readingOrder="1"/>
    </xf>
    <xf numFmtId="9" fontId="29" fillId="0" borderId="59" xfId="0" applyNumberFormat="1" applyFont="1" applyBorder="1" applyAlignment="1">
      <alignment horizontal="center" vertical="center" wrapText="1" readingOrder="1"/>
    </xf>
    <xf numFmtId="0" fontId="29" fillId="6" borderId="59" xfId="0" applyFont="1" applyFill="1" applyBorder="1" applyAlignment="1">
      <alignment horizontal="center" vertical="center" wrapText="1" readingOrder="1"/>
    </xf>
    <xf numFmtId="0" fontId="29" fillId="7" borderId="59" xfId="0" applyFont="1" applyFill="1" applyBorder="1" applyAlignment="1">
      <alignment horizontal="center" vertical="center" wrapText="1" readingOrder="1"/>
    </xf>
    <xf numFmtId="0" fontId="30" fillId="8" borderId="59" xfId="0" applyFont="1" applyFill="1" applyBorder="1" applyAlignment="1">
      <alignment horizontal="center" vertical="center" wrapText="1" readingOrder="1"/>
    </xf>
    <xf numFmtId="0" fontId="31" fillId="0" borderId="0" xfId="0" applyFont="1"/>
    <xf numFmtId="0" fontId="22" fillId="0" borderId="0" xfId="0" applyFont="1"/>
    <xf numFmtId="0" fontId="33" fillId="0" borderId="0" xfId="0" applyFont="1" applyFill="1" applyAlignment="1">
      <alignment vertical="center"/>
    </xf>
    <xf numFmtId="0" fontId="34" fillId="0" borderId="0" xfId="0" applyFont="1" applyFill="1"/>
    <xf numFmtId="0" fontId="24" fillId="0" borderId="0" xfId="0" applyFont="1"/>
    <xf numFmtId="0" fontId="0" fillId="0" borderId="0" xfId="0" pivotButton="1"/>
    <xf numFmtId="0" fontId="35" fillId="0" borderId="0" xfId="0" applyFont="1" applyBorder="1" applyAlignment="1">
      <alignment horizontal="justify" vertical="center" wrapText="1" readingOrder="1"/>
    </xf>
    <xf numFmtId="0" fontId="36" fillId="0" borderId="0" xfId="0" applyFont="1"/>
    <xf numFmtId="0" fontId="37" fillId="3" borderId="0" xfId="0" applyFont="1" applyFill="1" applyAlignment="1">
      <alignment horizontal="center" vertical="center" wrapText="1" readingOrder="1"/>
    </xf>
    <xf numFmtId="0" fontId="38" fillId="0" borderId="60" xfId="0" applyFont="1" applyBorder="1" applyAlignment="1">
      <alignment horizontal="justify" vertical="center" wrapText="1" readingOrder="1"/>
    </xf>
    <xf numFmtId="0" fontId="38" fillId="0" borderId="59" xfId="0" applyFont="1" applyBorder="1" applyAlignment="1">
      <alignment horizontal="justify" vertical="center" wrapText="1" readingOrder="1"/>
    </xf>
    <xf numFmtId="0" fontId="38" fillId="4" borderId="60" xfId="0" applyFont="1" applyFill="1" applyBorder="1" applyAlignment="1">
      <alignment horizontal="center" vertical="center" wrapText="1" readingOrder="1"/>
    </xf>
    <xf numFmtId="0" fontId="38" fillId="5" borderId="59" xfId="0" applyFont="1" applyFill="1" applyBorder="1" applyAlignment="1">
      <alignment horizontal="center" vertical="center" wrapText="1" readingOrder="1"/>
    </xf>
    <xf numFmtId="0" fontId="38" fillId="6" borderId="59" xfId="0" applyFont="1" applyFill="1" applyBorder="1" applyAlignment="1">
      <alignment horizontal="center" vertical="center" wrapText="1" readingOrder="1"/>
    </xf>
    <xf numFmtId="0" fontId="38" fillId="7" borderId="59" xfId="0" applyFont="1" applyFill="1" applyBorder="1" applyAlignment="1">
      <alignment horizontal="center" vertical="center" wrapText="1" readingOrder="1"/>
    </xf>
    <xf numFmtId="0" fontId="39" fillId="8" borderId="59" xfId="0" applyFont="1" applyFill="1" applyBorder="1" applyAlignment="1">
      <alignment horizontal="center" vertical="center" wrapText="1" readingOrder="1"/>
    </xf>
    <xf numFmtId="0" fontId="38" fillId="0" borderId="60" xfId="0" applyFont="1" applyBorder="1" applyAlignment="1">
      <alignment horizontal="center" vertical="center" wrapText="1" readingOrder="1"/>
    </xf>
    <xf numFmtId="0" fontId="38" fillId="0" borderId="59" xfId="0" applyFont="1" applyBorder="1" applyAlignment="1">
      <alignment horizontal="center" vertical="center" wrapText="1" readingOrder="1"/>
    </xf>
    <xf numFmtId="0" fontId="40" fillId="9" borderId="1" xfId="0" applyFont="1" applyFill="1" applyBorder="1" applyAlignment="1" applyProtection="1">
      <alignment horizontal="center" vertical="center" wrapText="1" readingOrder="1"/>
      <protection hidden="1"/>
    </xf>
    <xf numFmtId="0" fontId="40" fillId="9" borderId="2" xfId="0" applyFont="1" applyFill="1" applyBorder="1" applyAlignment="1" applyProtection="1">
      <alignment horizontal="center" vertical="center" wrapText="1" readingOrder="1"/>
      <protection hidden="1"/>
    </xf>
    <xf numFmtId="0" fontId="40" fillId="9" borderId="3" xfId="0" applyFont="1" applyFill="1" applyBorder="1" applyAlignment="1" applyProtection="1">
      <alignment horizontal="center" vertical="center" wrapText="1" readingOrder="1"/>
      <protection hidden="1"/>
    </xf>
    <xf numFmtId="0" fontId="40" fillId="10" borderId="1" xfId="0" applyFont="1" applyFill="1" applyBorder="1" applyAlignment="1" applyProtection="1">
      <alignment horizontal="center" wrapText="1" readingOrder="1"/>
      <protection hidden="1"/>
    </xf>
    <xf numFmtId="0" fontId="40" fillId="10" borderId="2" xfId="0" applyFont="1" applyFill="1" applyBorder="1" applyAlignment="1" applyProtection="1">
      <alignment horizontal="center" wrapText="1" readingOrder="1"/>
      <protection hidden="1"/>
    </xf>
    <xf numFmtId="0" fontId="40" fillId="10" borderId="3" xfId="0" applyFont="1" applyFill="1" applyBorder="1" applyAlignment="1" applyProtection="1">
      <alignment horizontal="center" wrapText="1" readingOrder="1"/>
      <protection hidden="1"/>
    </xf>
    <xf numFmtId="0" fontId="40" fillId="9" borderId="4" xfId="0" applyFont="1" applyFill="1" applyBorder="1" applyAlignment="1" applyProtection="1">
      <alignment horizontal="center" vertical="center" wrapText="1" readingOrder="1"/>
      <protection hidden="1"/>
    </xf>
    <xf numFmtId="0" fontId="40" fillId="9" borderId="0" xfId="0" applyFont="1" applyFill="1" applyBorder="1" applyAlignment="1" applyProtection="1">
      <alignment horizontal="center" vertical="center" wrapText="1" readingOrder="1"/>
      <protection hidden="1"/>
    </xf>
    <xf numFmtId="0" fontId="40" fillId="9" borderId="5" xfId="0" applyFont="1" applyFill="1" applyBorder="1" applyAlignment="1" applyProtection="1">
      <alignment horizontal="center" vertical="center" wrapText="1" readingOrder="1"/>
      <protection hidden="1"/>
    </xf>
    <xf numFmtId="0" fontId="40" fillId="10" borderId="4" xfId="0" applyFont="1" applyFill="1" applyBorder="1" applyAlignment="1" applyProtection="1">
      <alignment horizontal="center" wrapText="1" readingOrder="1"/>
      <protection hidden="1"/>
    </xf>
    <xf numFmtId="0" fontId="40" fillId="10" borderId="0" xfId="0" applyFont="1" applyFill="1" applyBorder="1" applyAlignment="1" applyProtection="1">
      <alignment horizontal="center" wrapText="1" readingOrder="1"/>
      <protection hidden="1"/>
    </xf>
    <xf numFmtId="0" fontId="40" fillId="10" borderId="5" xfId="0" applyFont="1" applyFill="1" applyBorder="1" applyAlignment="1" applyProtection="1">
      <alignment horizontal="center" wrapText="1" readingOrder="1"/>
      <protection hidden="1"/>
    </xf>
    <xf numFmtId="0" fontId="40" fillId="9" borderId="0" xfId="0" applyFont="1" applyFill="1" applyAlignment="1" applyProtection="1">
      <alignment horizontal="center" vertical="center" wrapText="1" readingOrder="1"/>
      <protection hidden="1"/>
    </xf>
    <xf numFmtId="0" fontId="40" fillId="9" borderId="6" xfId="0" applyFont="1" applyFill="1" applyBorder="1" applyAlignment="1" applyProtection="1">
      <alignment horizontal="center" vertical="center" wrapText="1" readingOrder="1"/>
      <protection hidden="1"/>
    </xf>
    <xf numFmtId="0" fontId="40" fillId="9" borderId="7" xfId="0" applyFont="1" applyFill="1" applyBorder="1" applyAlignment="1" applyProtection="1">
      <alignment horizontal="center" vertical="center" wrapText="1" readingOrder="1"/>
      <protection hidden="1"/>
    </xf>
    <xf numFmtId="0" fontId="40" fillId="9" borderId="8" xfId="0" applyFont="1" applyFill="1" applyBorder="1" applyAlignment="1" applyProtection="1">
      <alignment horizontal="center" vertical="center" wrapText="1" readingOrder="1"/>
      <protection hidden="1"/>
    </xf>
    <xf numFmtId="0" fontId="40" fillId="10" borderId="6" xfId="0" applyFont="1" applyFill="1" applyBorder="1" applyAlignment="1" applyProtection="1">
      <alignment horizontal="center" wrapText="1" readingOrder="1"/>
      <protection hidden="1"/>
    </xf>
    <xf numFmtId="0" fontId="40" fillId="10" borderId="7" xfId="0" applyFont="1" applyFill="1" applyBorder="1" applyAlignment="1" applyProtection="1">
      <alignment horizontal="center" wrapText="1" readingOrder="1"/>
      <protection hidden="1"/>
    </xf>
    <xf numFmtId="0" fontId="40" fillId="10" borderId="8" xfId="0" applyFont="1" applyFill="1" applyBorder="1" applyAlignment="1" applyProtection="1">
      <alignment horizontal="center" wrapText="1" readingOrder="1"/>
      <protection hidden="1"/>
    </xf>
    <xf numFmtId="0" fontId="40" fillId="11" borderId="1"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40" fillId="11" borderId="3" xfId="0" applyFont="1" applyFill="1" applyBorder="1" applyAlignment="1" applyProtection="1">
      <alignment horizontal="center" wrapText="1" readingOrder="1"/>
      <protection hidden="1"/>
    </xf>
    <xf numFmtId="0" fontId="40" fillId="11" borderId="4" xfId="0" applyFont="1" applyFill="1" applyBorder="1" applyAlignment="1" applyProtection="1">
      <alignment horizontal="center" wrapText="1" readingOrder="1"/>
      <protection hidden="1"/>
    </xf>
    <xf numFmtId="0" fontId="40" fillId="11" borderId="0" xfId="0" applyFont="1" applyFill="1" applyBorder="1" applyAlignment="1" applyProtection="1">
      <alignment horizontal="center" wrapText="1" readingOrder="1"/>
      <protection hidden="1"/>
    </xf>
    <xf numFmtId="0" fontId="40" fillId="11" borderId="5" xfId="0" applyFont="1" applyFill="1" applyBorder="1" applyAlignment="1" applyProtection="1">
      <alignment horizontal="center" wrapText="1" readingOrder="1"/>
      <protection hidden="1"/>
    </xf>
    <xf numFmtId="0" fontId="40" fillId="11" borderId="6" xfId="0" applyFont="1" applyFill="1" applyBorder="1" applyAlignment="1" applyProtection="1">
      <alignment horizontal="center" wrapText="1" readingOrder="1"/>
      <protection hidden="1"/>
    </xf>
    <xf numFmtId="0" fontId="40" fillId="11" borderId="7" xfId="0" applyFont="1" applyFill="1" applyBorder="1" applyAlignment="1" applyProtection="1">
      <alignment horizontal="center" wrapText="1" readingOrder="1"/>
      <protection hidden="1"/>
    </xf>
    <xf numFmtId="0" fontId="40" fillId="11" borderId="8" xfId="0" applyFont="1" applyFill="1" applyBorder="1" applyAlignment="1" applyProtection="1">
      <alignment horizontal="center" wrapText="1" readingOrder="1"/>
      <protection hidden="1"/>
    </xf>
    <xf numFmtId="0" fontId="40" fillId="4" borderId="1" xfId="0" applyFont="1" applyFill="1" applyBorder="1" applyAlignment="1" applyProtection="1">
      <alignment horizontal="center" wrapText="1" readingOrder="1"/>
      <protection hidden="1"/>
    </xf>
    <xf numFmtId="0" fontId="40" fillId="4" borderId="2" xfId="0" applyFont="1" applyFill="1" applyBorder="1" applyAlignment="1" applyProtection="1">
      <alignment horizontal="center" wrapText="1" readingOrder="1"/>
      <protection hidden="1"/>
    </xf>
    <xf numFmtId="0" fontId="40" fillId="4" borderId="3" xfId="0" applyFont="1" applyFill="1" applyBorder="1" applyAlignment="1" applyProtection="1">
      <alignment horizontal="center" wrapText="1" readingOrder="1"/>
      <protection hidden="1"/>
    </xf>
    <xf numFmtId="0" fontId="40" fillId="4" borderId="4" xfId="0" applyFont="1" applyFill="1" applyBorder="1" applyAlignment="1" applyProtection="1">
      <alignment horizontal="center" wrapText="1" readingOrder="1"/>
      <protection hidden="1"/>
    </xf>
    <xf numFmtId="0" fontId="40" fillId="4" borderId="0" xfId="0" applyFont="1" applyFill="1" applyBorder="1" applyAlignment="1" applyProtection="1">
      <alignment horizontal="center" wrapText="1" readingOrder="1"/>
      <protection hidden="1"/>
    </xf>
    <xf numFmtId="0" fontId="40" fillId="4" borderId="5" xfId="0" applyFont="1" applyFill="1" applyBorder="1" applyAlignment="1" applyProtection="1">
      <alignment horizontal="center" wrapText="1" readingOrder="1"/>
      <protection hidden="1"/>
    </xf>
    <xf numFmtId="0" fontId="40" fillId="4" borderId="6" xfId="0" applyFont="1" applyFill="1" applyBorder="1" applyAlignment="1" applyProtection="1">
      <alignment horizontal="center" wrapText="1" readingOrder="1"/>
      <protection hidden="1"/>
    </xf>
    <xf numFmtId="0" fontId="40" fillId="4" borderId="7" xfId="0" applyFont="1" applyFill="1" applyBorder="1" applyAlignment="1" applyProtection="1">
      <alignment horizontal="center" wrapText="1" readingOrder="1"/>
      <protection hidden="1"/>
    </xf>
    <xf numFmtId="0" fontId="40" fillId="4" borderId="8" xfId="0" applyFont="1" applyFill="1" applyBorder="1" applyAlignment="1" applyProtection="1">
      <alignment horizontal="center" wrapText="1" readingOrder="1"/>
      <protection hidden="1"/>
    </xf>
    <xf numFmtId="0" fontId="41" fillId="11" borderId="2" xfId="0" applyFont="1" applyFill="1" applyBorder="1" applyAlignment="1" applyProtection="1">
      <alignment horizontal="center" wrapText="1" readingOrder="1"/>
      <protection hidden="1"/>
    </xf>
    <xf numFmtId="0" fontId="0" fillId="2" borderId="0" xfId="0" applyFill="1"/>
    <xf numFmtId="0" fontId="12" fillId="2" borderId="9" xfId="1" applyFont="1" applyFill="1" applyBorder="1" applyProtection="1"/>
    <xf numFmtId="0" fontId="12" fillId="2" borderId="10" xfId="1" applyFont="1" applyFill="1" applyBorder="1" applyProtection="1"/>
    <xf numFmtId="0" fontId="12" fillId="2" borderId="11" xfId="1" applyFont="1" applyFill="1" applyBorder="1" applyProtection="1"/>
    <xf numFmtId="0" fontId="42" fillId="2" borderId="0" xfId="0" applyFont="1" applyFill="1" applyAlignment="1">
      <alignment vertical="center"/>
    </xf>
    <xf numFmtId="0" fontId="23" fillId="2" borderId="0" xfId="0" applyFont="1" applyFill="1"/>
    <xf numFmtId="0" fontId="43" fillId="2" borderId="0" xfId="0" applyFont="1" applyFill="1"/>
    <xf numFmtId="0" fontId="44" fillId="2" borderId="12" xfId="0" applyFont="1" applyFill="1" applyBorder="1" applyAlignment="1">
      <alignment horizontal="center" vertical="center" wrapText="1" readingOrder="1"/>
    </xf>
    <xf numFmtId="0" fontId="45" fillId="2" borderId="12" xfId="0" applyFont="1" applyFill="1" applyBorder="1" applyAlignment="1">
      <alignment horizontal="justify" vertical="center" wrapText="1" readingOrder="1"/>
    </xf>
    <xf numFmtId="9" fontId="44" fillId="2" borderId="13" xfId="0" applyNumberFormat="1"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5" fillId="2" borderId="14" xfId="0" applyFont="1" applyFill="1" applyBorder="1" applyAlignment="1">
      <alignment horizontal="justify" vertical="center" wrapText="1" readingOrder="1"/>
    </xf>
    <xf numFmtId="9" fontId="44" fillId="2" borderId="15" xfId="0" applyNumberFormat="1" applyFont="1" applyFill="1" applyBorder="1" applyAlignment="1">
      <alignment horizontal="center" vertical="center" wrapText="1" readingOrder="1"/>
    </xf>
    <xf numFmtId="0" fontId="45" fillId="2" borderId="15"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45" fillId="2" borderId="16" xfId="0" applyFont="1" applyFill="1" applyBorder="1" applyAlignment="1">
      <alignment horizontal="justify" vertical="center" wrapText="1" readingOrder="1"/>
    </xf>
    <xf numFmtId="0" fontId="45" fillId="2" borderId="17" xfId="0" applyFont="1" applyFill="1" applyBorder="1" applyAlignment="1">
      <alignment horizontal="center" vertical="center" wrapText="1" readingOrder="1"/>
    </xf>
    <xf numFmtId="0" fontId="46" fillId="2" borderId="0" xfId="0" applyFont="1" applyFill="1"/>
    <xf numFmtId="0" fontId="44" fillId="12" borderId="18" xfId="0" applyFont="1" applyFill="1" applyBorder="1" applyAlignment="1">
      <alignment horizontal="center" vertical="center" wrapText="1" readingOrder="1"/>
    </xf>
    <xf numFmtId="0" fontId="44" fillId="12" borderId="19" xfId="0" applyFont="1" applyFill="1" applyBorder="1" applyAlignment="1">
      <alignment horizontal="center" vertical="center" wrapText="1" readingOrder="1"/>
    </xf>
    <xf numFmtId="0" fontId="22" fillId="2" borderId="0" xfId="0" applyFont="1" applyFill="1"/>
    <xf numFmtId="0" fontId="5" fillId="2" borderId="0" xfId="0" applyFont="1" applyFill="1" applyAlignment="1">
      <alignment horizontal="center" vertical="center" wrapText="1"/>
    </xf>
    <xf numFmtId="0" fontId="35" fillId="2" borderId="0" xfId="0" applyFont="1" applyFill="1" applyBorder="1" applyAlignment="1">
      <alignment horizontal="justify" vertical="center" wrapText="1" readingOrder="1"/>
    </xf>
    <xf numFmtId="0" fontId="31" fillId="2" borderId="0" xfId="0" applyFont="1" applyFill="1"/>
    <xf numFmtId="0" fontId="32" fillId="2" borderId="0" xfId="0" applyFont="1" applyFill="1" applyAlignment="1">
      <alignment horizontal="left" vertical="center"/>
    </xf>
    <xf numFmtId="0" fontId="12" fillId="2" borderId="4" xfId="1" applyFont="1" applyFill="1" applyBorder="1" applyProtection="1"/>
    <xf numFmtId="0" fontId="17" fillId="2" borderId="0" xfId="0" applyFont="1" applyFill="1" applyBorder="1" applyAlignment="1" applyProtection="1">
      <alignment horizontal="left" vertical="center" wrapText="1"/>
    </xf>
    <xf numFmtId="0" fontId="18" fillId="2" borderId="0" xfId="0" applyFont="1" applyFill="1" applyBorder="1" applyAlignment="1" applyProtection="1">
      <alignment horizontal="left" vertical="top" wrapText="1"/>
    </xf>
    <xf numFmtId="0" fontId="12" fillId="2" borderId="0" xfId="1" applyFont="1" applyFill="1" applyBorder="1" applyProtection="1"/>
    <xf numFmtId="0" fontId="12" fillId="2" borderId="5" xfId="1" applyFont="1" applyFill="1" applyBorder="1" applyProtection="1"/>
    <xf numFmtId="0" fontId="12" fillId="2" borderId="6" xfId="1" applyFont="1" applyFill="1" applyBorder="1" applyProtection="1"/>
    <xf numFmtId="0" fontId="12" fillId="2" borderId="7" xfId="1" applyFont="1" applyFill="1" applyBorder="1" applyProtection="1"/>
    <xf numFmtId="0" fontId="12" fillId="2" borderId="8" xfId="1" applyFont="1" applyFill="1" applyBorder="1" applyProtection="1"/>
    <xf numFmtId="0" fontId="16" fillId="2" borderId="0" xfId="1" applyFont="1" applyFill="1" applyBorder="1" applyAlignment="1" applyProtection="1">
      <alignment horizontal="left" vertical="center" wrapText="1"/>
    </xf>
    <xf numFmtId="0" fontId="12" fillId="2" borderId="0" xfId="1" applyFont="1" applyFill="1" applyBorder="1" applyAlignment="1" applyProtection="1">
      <alignment horizontal="left" vertical="center" wrapText="1"/>
    </xf>
    <xf numFmtId="0" fontId="12" fillId="2" borderId="0" xfId="1" quotePrefix="1" applyFont="1" applyFill="1" applyBorder="1" applyAlignment="1" applyProtection="1">
      <alignment horizontal="left" vertical="center" wrapText="1"/>
    </xf>
    <xf numFmtId="0" fontId="12" fillId="2" borderId="5" xfId="1" applyFont="1" applyFill="1" applyBorder="1" applyAlignment="1" applyProtection="1"/>
    <xf numFmtId="0" fontId="14" fillId="2" borderId="4" xfId="1" quotePrefix="1" applyFont="1" applyFill="1" applyBorder="1" applyAlignment="1" applyProtection="1">
      <alignment horizontal="left" vertical="top" wrapText="1"/>
    </xf>
    <xf numFmtId="0" fontId="15" fillId="2" borderId="0" xfId="1" quotePrefix="1" applyFont="1" applyFill="1" applyBorder="1" applyAlignment="1" applyProtection="1">
      <alignment horizontal="left" vertical="top" wrapText="1"/>
    </xf>
    <xf numFmtId="0" fontId="15" fillId="2" borderId="5" xfId="1" quotePrefix="1" applyFont="1" applyFill="1" applyBorder="1" applyAlignment="1" applyProtection="1">
      <alignment horizontal="left" vertical="top" wrapText="1"/>
    </xf>
    <xf numFmtId="0" fontId="62" fillId="0" borderId="49" xfId="0" applyFont="1" applyBorder="1" applyAlignment="1" applyProtection="1">
      <alignment horizontal="justify" vertical="center" wrapText="1"/>
      <protection locked="0"/>
    </xf>
    <xf numFmtId="0" fontId="26" fillId="0" borderId="49" xfId="0" applyFont="1" applyBorder="1" applyAlignment="1" applyProtection="1">
      <alignment horizontal="center" vertical="center" textRotation="90"/>
      <protection locked="0"/>
    </xf>
    <xf numFmtId="14" fontId="26" fillId="0" borderId="49" xfId="0" applyNumberFormat="1" applyFont="1" applyBorder="1" applyAlignment="1" applyProtection="1">
      <alignment horizontal="center" vertical="center"/>
      <protection locked="0"/>
    </xf>
    <xf numFmtId="0" fontId="0" fillId="0" borderId="54" xfId="0" applyBorder="1"/>
    <xf numFmtId="0" fontId="0" fillId="0" borderId="55" xfId="0" applyBorder="1"/>
    <xf numFmtId="0" fontId="0" fillId="0" borderId="56" xfId="0" applyBorder="1"/>
    <xf numFmtId="0" fontId="0" fillId="0" borderId="1" xfId="0" applyBorder="1"/>
    <xf numFmtId="0" fontId="0" fillId="0" borderId="4" xfId="0" applyBorder="1"/>
    <xf numFmtId="0" fontId="0" fillId="0" borderId="6" xfId="0" applyBorder="1"/>
    <xf numFmtId="0" fontId="0" fillId="0" borderId="54" xfId="0" applyBorder="1" applyAlignment="1">
      <alignment vertical="center"/>
    </xf>
    <xf numFmtId="0" fontId="0" fillId="0" borderId="55" xfId="0" applyBorder="1" applyAlignment="1">
      <alignment wrapText="1"/>
    </xf>
    <xf numFmtId="0" fontId="0" fillId="0" borderId="56" xfId="0" applyBorder="1" applyAlignment="1">
      <alignment wrapText="1"/>
    </xf>
    <xf numFmtId="0" fontId="63" fillId="2" borderId="54" xfId="0" applyFont="1" applyFill="1" applyBorder="1" applyProtection="1"/>
    <xf numFmtId="0" fontId="59" fillId="2" borderId="55" xfId="0" applyFont="1" applyFill="1" applyBorder="1" applyProtection="1"/>
    <xf numFmtId="0" fontId="59" fillId="2" borderId="56" xfId="0" applyFont="1" applyFill="1" applyBorder="1" applyProtection="1"/>
    <xf numFmtId="0" fontId="26" fillId="2" borderId="0" xfId="0" applyFont="1" applyFill="1" applyAlignment="1">
      <alignment horizontal="center" vertical="center" wrapText="1"/>
    </xf>
    <xf numFmtId="0" fontId="25" fillId="0" borderId="0" xfId="0" applyNumberFormat="1" applyFont="1" applyAlignment="1">
      <alignment vertical="top" wrapText="1"/>
    </xf>
    <xf numFmtId="0" fontId="0" fillId="0" borderId="0" xfId="0" applyNumberFormat="1" applyAlignment="1">
      <alignment vertical="top" wrapText="1"/>
    </xf>
    <xf numFmtId="0" fontId="0" fillId="0" borderId="78" xfId="0" applyNumberFormat="1" applyBorder="1" applyAlignment="1">
      <alignment vertical="top" wrapText="1"/>
    </xf>
    <xf numFmtId="0" fontId="0" fillId="0" borderId="77" xfId="0" applyNumberFormat="1" applyBorder="1" applyAlignment="1">
      <alignment vertical="top" wrapText="1"/>
    </xf>
    <xf numFmtId="0" fontId="0" fillId="0" borderId="75" xfId="0" applyNumberFormat="1" applyBorder="1" applyAlignment="1">
      <alignment vertical="top" wrapText="1"/>
    </xf>
    <xf numFmtId="0" fontId="0" fillId="0" borderId="81" xfId="0" applyNumberFormat="1" applyBorder="1" applyAlignment="1">
      <alignment vertical="top" wrapText="1"/>
    </xf>
    <xf numFmtId="0" fontId="0" fillId="0" borderId="80" xfId="0" applyNumberFormat="1" applyBorder="1" applyAlignment="1">
      <alignment vertical="top" wrapText="1"/>
    </xf>
    <xf numFmtId="0" fontId="0" fillId="0" borderId="83" xfId="0" applyNumberFormat="1" applyBorder="1" applyAlignment="1">
      <alignment vertical="top" wrapText="1"/>
    </xf>
    <xf numFmtId="0" fontId="0" fillId="0" borderId="84" xfId="0" applyNumberFormat="1" applyBorder="1" applyAlignment="1">
      <alignment vertical="top" wrapText="1"/>
    </xf>
    <xf numFmtId="0" fontId="25"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77" xfId="0" applyNumberFormat="1" applyBorder="1" applyAlignment="1">
      <alignment horizontal="center" vertical="top" wrapText="1"/>
    </xf>
    <xf numFmtId="0" fontId="0" fillId="0" borderId="79" xfId="0" applyNumberFormat="1" applyBorder="1" applyAlignment="1">
      <alignment horizontal="center" vertical="top" wrapText="1"/>
    </xf>
    <xf numFmtId="0" fontId="64" fillId="0" borderId="0" xfId="5" quotePrefix="1" applyNumberFormat="1" applyAlignment="1">
      <alignment horizontal="center" vertical="top" wrapText="1"/>
    </xf>
    <xf numFmtId="0" fontId="0" fillId="0" borderId="76" xfId="0" applyNumberFormat="1" applyBorder="1" applyAlignment="1">
      <alignment horizontal="center" vertical="top" wrapText="1"/>
    </xf>
    <xf numFmtId="0" fontId="0" fillId="0" borderId="80" xfId="0" applyNumberFormat="1" applyBorder="1" applyAlignment="1">
      <alignment horizontal="center" vertical="top" wrapText="1"/>
    </xf>
    <xf numFmtId="0" fontId="64" fillId="0" borderId="80" xfId="5" quotePrefix="1" applyNumberFormat="1" applyBorder="1" applyAlignment="1">
      <alignment horizontal="center" vertical="top" wrapText="1"/>
    </xf>
    <xf numFmtId="0" fontId="0" fillId="0" borderId="82" xfId="0" applyNumberFormat="1" applyBorder="1" applyAlignment="1">
      <alignment horizontal="center" vertical="top" wrapText="1"/>
    </xf>
    <xf numFmtId="0" fontId="0" fillId="0" borderId="84" xfId="0" applyNumberFormat="1" applyBorder="1" applyAlignment="1">
      <alignment horizontal="center" vertical="top" wrapText="1"/>
    </xf>
    <xf numFmtId="0" fontId="0" fillId="0" borderId="85" xfId="0" applyNumberFormat="1" applyBorder="1" applyAlignment="1">
      <alignment horizontal="center" vertical="top" wrapText="1"/>
    </xf>
    <xf numFmtId="0" fontId="26" fillId="0" borderId="49" xfId="0" applyFont="1" applyBorder="1" applyAlignment="1" applyProtection="1">
      <alignment horizontal="center" vertical="center"/>
    </xf>
    <xf numFmtId="0" fontId="26" fillId="2" borderId="0" xfId="0" applyFont="1" applyFill="1" applyProtection="1">
      <protection locked="0"/>
    </xf>
    <xf numFmtId="0" fontId="26" fillId="0" borderId="0" xfId="0" applyFont="1" applyProtection="1">
      <protection locked="0"/>
    </xf>
    <xf numFmtId="0" fontId="60" fillId="2" borderId="0" xfId="0" applyFont="1" applyFill="1" applyProtection="1">
      <protection locked="0"/>
    </xf>
    <xf numFmtId="0" fontId="60" fillId="0" borderId="0" xfId="0" applyFont="1" applyProtection="1">
      <protection locked="0"/>
    </xf>
    <xf numFmtId="0" fontId="32" fillId="2" borderId="0" xfId="0" applyFont="1" applyFill="1" applyAlignment="1" applyProtection="1">
      <alignment horizontal="center" vertical="center"/>
      <protection locked="0"/>
    </xf>
    <xf numFmtId="0" fontId="32" fillId="0" borderId="0" xfId="0" applyFont="1" applyFill="1" applyAlignment="1" applyProtection="1">
      <alignment horizontal="center" vertical="center"/>
      <protection locked="0"/>
    </xf>
    <xf numFmtId="0" fontId="26" fillId="2" borderId="0" xfId="0" applyFont="1" applyFill="1" applyAlignment="1" applyProtection="1">
      <alignment vertical="center"/>
      <protection locked="0"/>
    </xf>
    <xf numFmtId="0" fontId="26" fillId="0" borderId="0" xfId="0" applyFont="1" applyAlignment="1" applyProtection="1">
      <alignment vertical="center"/>
      <protection locked="0"/>
    </xf>
    <xf numFmtId="0" fontId="26" fillId="0" borderId="71" xfId="0" applyFont="1" applyBorder="1" applyAlignment="1" applyProtection="1">
      <alignment horizontal="center" vertical="center"/>
      <protection locked="0"/>
    </xf>
    <xf numFmtId="0" fontId="26" fillId="0" borderId="72" xfId="0" applyFont="1" applyBorder="1" applyAlignment="1" applyProtection="1">
      <alignment horizontal="center" vertical="center" wrapText="1"/>
      <protection locked="0"/>
    </xf>
    <xf numFmtId="0" fontId="26" fillId="0" borderId="72" xfId="0" applyFont="1" applyBorder="1" applyAlignment="1" applyProtection="1">
      <alignment horizontal="center" vertical="center"/>
      <protection locked="0"/>
    </xf>
    <xf numFmtId="0" fontId="26" fillId="0" borderId="0" xfId="0" applyFont="1" applyAlignment="1" applyProtection="1">
      <alignment wrapText="1"/>
      <protection locked="0"/>
    </xf>
    <xf numFmtId="0" fontId="32" fillId="0" borderId="0" xfId="0" applyFont="1" applyAlignment="1" applyProtection="1">
      <alignment horizontal="left" vertical="center"/>
      <protection locked="0"/>
    </xf>
    <xf numFmtId="0" fontId="26" fillId="0" borderId="0" xfId="0" applyFont="1" applyAlignment="1" applyProtection="1">
      <alignment horizontal="center" vertical="center"/>
      <protection locked="0"/>
    </xf>
    <xf numFmtId="0" fontId="26" fillId="0" borderId="0" xfId="0" applyFont="1" applyAlignment="1" applyProtection="1">
      <alignment horizontal="center" vertical="center" wrapText="1"/>
      <protection locked="0"/>
    </xf>
    <xf numFmtId="0" fontId="26" fillId="0" borderId="0" xfId="0" applyFont="1" applyAlignment="1" applyProtection="1">
      <alignment horizontal="center"/>
      <protection locked="0"/>
    </xf>
    <xf numFmtId="164" fontId="26" fillId="0" borderId="49" xfId="4" applyNumberFormat="1" applyFont="1" applyBorder="1" applyAlignment="1" applyProtection="1">
      <alignment horizontal="center" vertical="center"/>
    </xf>
    <xf numFmtId="0" fontId="32" fillId="0" borderId="49" xfId="0" applyFont="1" applyFill="1" applyBorder="1" applyAlignment="1" applyProtection="1">
      <alignment horizontal="center" vertical="center" textRotation="90" wrapText="1"/>
    </xf>
    <xf numFmtId="9" fontId="26" fillId="0" borderId="49" xfId="0" applyNumberFormat="1" applyFont="1" applyBorder="1" applyAlignment="1" applyProtection="1">
      <alignment horizontal="center" vertical="center"/>
    </xf>
    <xf numFmtId="0" fontId="32" fillId="0" borderId="49" xfId="0" applyFont="1" applyBorder="1" applyAlignment="1" applyProtection="1">
      <alignment horizontal="center" vertical="center" textRotation="90"/>
    </xf>
    <xf numFmtId="0" fontId="55" fillId="2" borderId="0" xfId="0" applyFont="1" applyFill="1" applyProtection="1">
      <protection locked="0"/>
    </xf>
    <xf numFmtId="0" fontId="55" fillId="2" borderId="4" xfId="0" applyFont="1" applyFill="1" applyBorder="1" applyAlignment="1" applyProtection="1">
      <alignment horizontal="center"/>
    </xf>
    <xf numFmtId="0" fontId="55" fillId="2" borderId="0" xfId="0" applyFont="1" applyFill="1" applyBorder="1" applyAlignment="1" applyProtection="1">
      <alignment horizontal="center"/>
    </xf>
    <xf numFmtId="0" fontId="56" fillId="2" borderId="0" xfId="0" applyFont="1" applyFill="1" applyBorder="1" applyAlignment="1" applyProtection="1">
      <alignment horizontal="center" vertical="center" wrapText="1"/>
    </xf>
    <xf numFmtId="0" fontId="55" fillId="2" borderId="0" xfId="0" applyFont="1" applyFill="1"/>
    <xf numFmtId="0" fontId="55" fillId="0" borderId="0" xfId="0" applyFont="1"/>
    <xf numFmtId="0" fontId="67" fillId="0" borderId="0" xfId="0" applyFont="1" applyBorder="1" applyAlignment="1">
      <alignment vertical="center" wrapText="1"/>
    </xf>
    <xf numFmtId="0" fontId="55" fillId="0" borderId="0" xfId="0" applyFont="1" applyBorder="1"/>
    <xf numFmtId="0" fontId="55" fillId="2" borderId="0" xfId="0" applyFont="1" applyFill="1" applyBorder="1"/>
    <xf numFmtId="0" fontId="67" fillId="0" borderId="0" xfId="0" applyFont="1" applyBorder="1" applyAlignment="1">
      <alignment vertical="center"/>
    </xf>
    <xf numFmtId="0" fontId="56" fillId="0" borderId="0" xfId="0" applyFont="1" applyBorder="1" applyAlignment="1">
      <alignment vertical="center"/>
    </xf>
    <xf numFmtId="0" fontId="70" fillId="2" borderId="0" xfId="0" applyFont="1" applyFill="1"/>
    <xf numFmtId="0" fontId="70" fillId="0" borderId="0" xfId="0" applyFont="1"/>
    <xf numFmtId="0" fontId="68" fillId="17" borderId="91" xfId="0" applyFont="1" applyFill="1" applyBorder="1" applyAlignment="1">
      <alignment horizontal="center" vertical="center" wrapText="1"/>
    </xf>
    <xf numFmtId="0" fontId="68" fillId="17" borderId="56" xfId="0" applyFont="1" applyFill="1" applyBorder="1" applyAlignment="1">
      <alignment horizontal="center" vertical="center" wrapText="1"/>
    </xf>
    <xf numFmtId="0" fontId="68" fillId="7" borderId="54" xfId="0" applyFont="1" applyFill="1" applyBorder="1" applyAlignment="1">
      <alignment horizontal="center" vertical="center" wrapText="1"/>
    </xf>
    <xf numFmtId="0" fontId="68" fillId="7" borderId="56" xfId="0" applyFont="1" applyFill="1" applyBorder="1" applyAlignment="1">
      <alignment horizontal="center" vertical="center" wrapText="1"/>
    </xf>
    <xf numFmtId="0" fontId="68" fillId="7" borderId="91" xfId="0" applyFont="1" applyFill="1" applyBorder="1" applyAlignment="1">
      <alignment horizontal="center" vertical="center" wrapText="1"/>
    </xf>
    <xf numFmtId="0" fontId="32" fillId="15" borderId="49" xfId="0" applyFont="1" applyFill="1" applyBorder="1" applyAlignment="1" applyProtection="1">
      <alignment horizontal="center" vertical="center" textRotation="90"/>
    </xf>
    <xf numFmtId="0" fontId="68" fillId="18" borderId="91" xfId="0" applyFont="1" applyFill="1" applyBorder="1" applyAlignment="1" applyProtection="1">
      <alignment horizontal="center" vertical="center" wrapText="1"/>
    </xf>
    <xf numFmtId="0" fontId="68" fillId="18" borderId="56" xfId="0" applyFont="1" applyFill="1" applyBorder="1" applyAlignment="1" applyProtection="1">
      <alignment horizontal="center" vertical="center" wrapText="1"/>
    </xf>
    <xf numFmtId="0" fontId="73" fillId="0" borderId="15" xfId="0" applyFont="1" applyBorder="1" applyAlignment="1">
      <alignment vertical="center"/>
    </xf>
    <xf numFmtId="0" fontId="26" fillId="0" borderId="49" xfId="0" applyFont="1" applyBorder="1" applyAlignment="1" applyProtection="1">
      <alignment horizontal="center" vertical="center" wrapText="1"/>
      <protection locked="0"/>
    </xf>
    <xf numFmtId="0" fontId="26" fillId="0" borderId="49" xfId="0" applyFont="1" applyBorder="1" applyAlignment="1" applyProtection="1">
      <alignment horizontal="center" vertical="center"/>
      <protection locked="0"/>
    </xf>
    <xf numFmtId="0" fontId="26" fillId="0" borderId="49" xfId="0" applyFont="1" applyBorder="1" applyAlignment="1" applyProtection="1">
      <alignment horizontal="center" vertical="center"/>
      <protection locked="0"/>
    </xf>
    <xf numFmtId="0" fontId="26" fillId="0" borderId="49" xfId="0" applyFont="1" applyBorder="1" applyAlignment="1" applyProtection="1">
      <alignment horizontal="center" vertical="center" wrapText="1"/>
      <protection locked="0"/>
    </xf>
    <xf numFmtId="0" fontId="62" fillId="0" borderId="49" xfId="0" applyFont="1" applyBorder="1" applyAlignment="1" applyProtection="1">
      <alignment horizontal="justify" vertical="center" wrapText="1"/>
    </xf>
    <xf numFmtId="0" fontId="26" fillId="0" borderId="49" xfId="0" applyFont="1" applyBorder="1" applyAlignment="1" applyProtection="1">
      <alignment horizontal="center" vertical="center" textRotation="90"/>
    </xf>
    <xf numFmtId="0" fontId="26" fillId="0" borderId="49" xfId="0" applyFont="1" applyBorder="1" applyAlignment="1" applyProtection="1">
      <alignment horizontal="center" vertical="center" wrapText="1"/>
    </xf>
    <xf numFmtId="14" fontId="26" fillId="0" borderId="49" xfId="0" applyNumberFormat="1" applyFont="1" applyBorder="1" applyAlignment="1" applyProtection="1">
      <alignment horizontal="center" vertical="center"/>
    </xf>
    <xf numFmtId="0" fontId="26" fillId="2" borderId="0" xfId="0" applyFont="1" applyFill="1" applyAlignment="1" applyProtection="1">
      <alignment vertical="center"/>
    </xf>
    <xf numFmtId="0" fontId="26" fillId="0" borderId="0" xfId="0" applyFont="1" applyAlignment="1" applyProtection="1">
      <alignment vertical="center"/>
    </xf>
    <xf numFmtId="0" fontId="26" fillId="0" borderId="49" xfId="0" applyFont="1" applyBorder="1" applyAlignment="1" applyProtection="1">
      <alignment horizontal="center" vertical="center"/>
    </xf>
    <xf numFmtId="0" fontId="26" fillId="0" borderId="49" xfId="0" applyFont="1" applyBorder="1" applyAlignment="1" applyProtection="1">
      <alignment horizontal="center" vertical="center"/>
      <protection locked="0"/>
    </xf>
    <xf numFmtId="0" fontId="26" fillId="0" borderId="49" xfId="0" applyFont="1" applyBorder="1" applyAlignment="1" applyProtection="1">
      <alignment horizontal="center" vertical="center" wrapText="1"/>
      <protection locked="0"/>
    </xf>
    <xf numFmtId="0" fontId="26" fillId="0" borderId="49" xfId="0" applyFont="1" applyBorder="1" applyAlignment="1" applyProtection="1">
      <alignment horizontal="center" vertical="center"/>
    </xf>
    <xf numFmtId="0" fontId="26" fillId="0" borderId="49" xfId="0" applyFont="1" applyBorder="1" applyAlignment="1" applyProtection="1">
      <alignment horizontal="center" vertical="center"/>
    </xf>
    <xf numFmtId="0" fontId="26" fillId="0" borderId="49" xfId="0" applyFont="1" applyBorder="1" applyAlignment="1" applyProtection="1">
      <alignment horizontal="center" vertical="center"/>
      <protection locked="0"/>
    </xf>
    <xf numFmtId="0" fontId="26" fillId="0" borderId="49" xfId="0" applyFont="1" applyBorder="1" applyAlignment="1" applyProtection="1">
      <alignment horizontal="center" vertical="center" wrapText="1"/>
      <protection locked="0"/>
    </xf>
    <xf numFmtId="0" fontId="0" fillId="0" borderId="0" xfId="0" applyFill="1" applyBorder="1" applyAlignment="1">
      <alignment wrapText="1"/>
    </xf>
    <xf numFmtId="0" fontId="72" fillId="2" borderId="2" xfId="0" applyFont="1" applyFill="1" applyBorder="1" applyAlignment="1" applyProtection="1">
      <protection locked="0"/>
    </xf>
    <xf numFmtId="0" fontId="74" fillId="2" borderId="0" xfId="0" applyFont="1" applyFill="1" applyProtection="1">
      <protection locked="0"/>
    </xf>
    <xf numFmtId="0" fontId="75" fillId="2" borderId="2" xfId="0" applyFont="1" applyFill="1" applyBorder="1" applyAlignment="1" applyProtection="1">
      <alignment horizontal="center"/>
      <protection locked="0"/>
    </xf>
    <xf numFmtId="0" fontId="75" fillId="2" borderId="0" xfId="0" applyFont="1" applyFill="1" applyBorder="1" applyAlignment="1" applyProtection="1">
      <alignment vertical="center" wrapText="1"/>
      <protection locked="0"/>
    </xf>
    <xf numFmtId="0" fontId="13" fillId="13" borderId="22" xfId="1" applyFont="1" applyFill="1" applyBorder="1" applyAlignment="1" applyProtection="1">
      <alignment horizontal="center" vertical="center" wrapText="1"/>
    </xf>
    <xf numFmtId="0" fontId="13" fillId="13" borderId="23" xfId="1" applyFont="1" applyFill="1" applyBorder="1" applyAlignment="1" applyProtection="1">
      <alignment horizontal="center" vertical="center" wrapText="1"/>
    </xf>
    <xf numFmtId="0" fontId="13" fillId="13" borderId="24" xfId="1" applyFont="1" applyFill="1" applyBorder="1" applyAlignment="1" applyProtection="1">
      <alignment horizontal="center" vertical="center" wrapText="1"/>
    </xf>
    <xf numFmtId="0" fontId="12" fillId="0" borderId="4" xfId="1" quotePrefix="1" applyFont="1" applyBorder="1" applyAlignment="1" applyProtection="1">
      <alignment horizontal="left" vertical="center" wrapText="1"/>
    </xf>
    <xf numFmtId="0" fontId="12" fillId="0" borderId="0" xfId="1" quotePrefix="1" applyFont="1" applyBorder="1" applyAlignment="1" applyProtection="1">
      <alignment horizontal="left" vertical="center" wrapText="1"/>
    </xf>
    <xf numFmtId="0" fontId="12" fillId="0" borderId="5" xfId="1" quotePrefix="1" applyFont="1" applyBorder="1" applyAlignment="1" applyProtection="1">
      <alignment horizontal="left" vertical="center" wrapText="1"/>
    </xf>
    <xf numFmtId="0" fontId="12" fillId="0" borderId="25" xfId="1" quotePrefix="1" applyFont="1" applyBorder="1" applyAlignment="1" applyProtection="1">
      <alignment horizontal="left" vertical="center" wrapText="1"/>
    </xf>
    <xf numFmtId="0" fontId="12" fillId="0" borderId="26" xfId="1" quotePrefix="1" applyFont="1" applyBorder="1" applyAlignment="1" applyProtection="1">
      <alignment horizontal="left" vertical="center" wrapText="1"/>
    </xf>
    <xf numFmtId="0" fontId="12" fillId="0" borderId="27" xfId="1" quotePrefix="1" applyFont="1" applyBorder="1" applyAlignment="1" applyProtection="1">
      <alignment horizontal="left" vertical="center" wrapText="1"/>
    </xf>
    <xf numFmtId="0" fontId="14" fillId="2" borderId="9" xfId="1" quotePrefix="1" applyFont="1" applyFill="1" applyBorder="1" applyAlignment="1" applyProtection="1">
      <alignment horizontal="left" vertical="top" wrapText="1"/>
    </xf>
    <xf numFmtId="0" fontId="15" fillId="2" borderId="10" xfId="1" quotePrefix="1" applyFont="1" applyFill="1" applyBorder="1" applyAlignment="1" applyProtection="1">
      <alignment horizontal="left" vertical="top" wrapText="1"/>
    </xf>
    <xf numFmtId="0" fontId="15" fillId="2" borderId="11" xfId="1" quotePrefix="1" applyFont="1" applyFill="1" applyBorder="1" applyAlignment="1" applyProtection="1">
      <alignment horizontal="left" vertical="top" wrapText="1"/>
    </xf>
    <xf numFmtId="0" fontId="12" fillId="0" borderId="4" xfId="1" quotePrefix="1" applyFont="1" applyBorder="1" applyAlignment="1" applyProtection="1">
      <alignment horizontal="left" vertical="top" wrapText="1"/>
    </xf>
    <xf numFmtId="0" fontId="12" fillId="0" borderId="0" xfId="1" quotePrefix="1" applyFont="1" applyBorder="1" applyAlignment="1" applyProtection="1">
      <alignment horizontal="left" vertical="top" wrapText="1"/>
    </xf>
    <xf numFmtId="0" fontId="12" fillId="0" borderId="5" xfId="1" quotePrefix="1" applyFont="1" applyBorder="1" applyAlignment="1" applyProtection="1">
      <alignment horizontal="left" vertical="top" wrapText="1"/>
    </xf>
    <xf numFmtId="0" fontId="17" fillId="13" borderId="28" xfId="3" applyFont="1" applyFill="1" applyBorder="1" applyAlignment="1" applyProtection="1">
      <alignment horizontal="center" vertical="center" wrapText="1"/>
    </xf>
    <xf numFmtId="0" fontId="17" fillId="13" borderId="61" xfId="3" applyFont="1" applyFill="1" applyBorder="1" applyAlignment="1" applyProtection="1">
      <alignment horizontal="center" vertical="center" wrapText="1"/>
    </xf>
    <xf numFmtId="0" fontId="17" fillId="13" borderId="62" xfId="1" applyFont="1" applyFill="1" applyBorder="1" applyAlignment="1" applyProtection="1">
      <alignment horizontal="center" vertical="center"/>
    </xf>
    <xf numFmtId="0" fontId="17" fillId="13" borderId="29" xfId="1" applyFont="1" applyFill="1" applyBorder="1" applyAlignment="1" applyProtection="1">
      <alignment horizontal="center" vertical="center"/>
    </xf>
    <xf numFmtId="0" fontId="2" fillId="2" borderId="25" xfId="1" quotePrefix="1" applyFont="1" applyFill="1" applyBorder="1" applyAlignment="1" applyProtection="1">
      <alignment horizontal="justify" vertical="center" wrapText="1"/>
    </xf>
    <xf numFmtId="0" fontId="2" fillId="2" borderId="26" xfId="1" quotePrefix="1" applyFont="1" applyFill="1" applyBorder="1" applyAlignment="1" applyProtection="1">
      <alignment horizontal="justify" vertical="center" wrapText="1"/>
    </xf>
    <xf numFmtId="0" fontId="2" fillId="2" borderId="27" xfId="1" quotePrefix="1" applyFont="1" applyFill="1" applyBorder="1" applyAlignment="1" applyProtection="1">
      <alignment horizontal="justify" vertical="center" wrapText="1"/>
    </xf>
    <xf numFmtId="0" fontId="17" fillId="2" borderId="32" xfId="3" applyFont="1" applyFill="1" applyBorder="1" applyAlignment="1" applyProtection="1">
      <alignment horizontal="left" vertical="top" wrapText="1" readingOrder="1"/>
    </xf>
    <xf numFmtId="0" fontId="17" fillId="2" borderId="33" xfId="3" applyFont="1" applyFill="1" applyBorder="1" applyAlignment="1" applyProtection="1">
      <alignment horizontal="left" vertical="top" wrapText="1" readingOrder="1"/>
    </xf>
    <xf numFmtId="0" fontId="18" fillId="2" borderId="34" xfId="1" applyFont="1" applyFill="1" applyBorder="1" applyAlignment="1" applyProtection="1">
      <alignment horizontal="justify" vertical="center" wrapText="1"/>
    </xf>
    <xf numFmtId="0" fontId="18" fillId="2" borderId="35" xfId="1" applyFont="1" applyFill="1" applyBorder="1" applyAlignment="1" applyProtection="1">
      <alignment horizontal="justify" vertical="center" wrapText="1"/>
    </xf>
    <xf numFmtId="0" fontId="17" fillId="2" borderId="36" xfId="0" applyFont="1" applyFill="1" applyBorder="1" applyAlignment="1" applyProtection="1">
      <alignment horizontal="left" vertical="center" wrapText="1"/>
    </xf>
    <xf numFmtId="0" fontId="17" fillId="2" borderId="37" xfId="0" applyFont="1" applyFill="1" applyBorder="1" applyAlignment="1" applyProtection="1">
      <alignment horizontal="left" vertical="center" wrapText="1"/>
    </xf>
    <xf numFmtId="0" fontId="18" fillId="2" borderId="20" xfId="1" applyFont="1" applyFill="1" applyBorder="1" applyAlignment="1" applyProtection="1">
      <alignment horizontal="justify" vertical="center" wrapText="1"/>
    </xf>
    <xf numFmtId="0" fontId="18" fillId="2" borderId="21" xfId="1" applyFont="1" applyFill="1" applyBorder="1" applyAlignment="1" applyProtection="1">
      <alignment horizontal="justify" vertical="center" wrapText="1"/>
    </xf>
    <xf numFmtId="0" fontId="12" fillId="2" borderId="4" xfId="1" applyFont="1" applyFill="1" applyBorder="1" applyAlignment="1" applyProtection="1">
      <alignment horizontal="left" vertical="top" wrapText="1"/>
    </xf>
    <xf numFmtId="0" fontId="12" fillId="2" borderId="0" xfId="1" applyFont="1" applyFill="1" applyBorder="1" applyAlignment="1" applyProtection="1">
      <alignment horizontal="left" vertical="top" wrapText="1"/>
    </xf>
    <xf numFmtId="0" fontId="12" fillId="2" borderId="5" xfId="1" applyFont="1" applyFill="1" applyBorder="1" applyAlignment="1" applyProtection="1">
      <alignment horizontal="left" vertical="top" wrapText="1"/>
    </xf>
    <xf numFmtId="0" fontId="17" fillId="2" borderId="30" xfId="0" applyFont="1" applyFill="1" applyBorder="1" applyAlignment="1" applyProtection="1">
      <alignment horizontal="left" vertical="center" wrapText="1"/>
    </xf>
    <xf numFmtId="0" fontId="17" fillId="2" borderId="31" xfId="0" applyFont="1" applyFill="1" applyBorder="1" applyAlignment="1" applyProtection="1">
      <alignment horizontal="left" vertical="center" wrapText="1"/>
    </xf>
    <xf numFmtId="0" fontId="17" fillId="2" borderId="38" xfId="0" applyFont="1" applyFill="1" applyBorder="1" applyAlignment="1" applyProtection="1">
      <alignment horizontal="left" vertical="center" wrapText="1"/>
    </xf>
    <xf numFmtId="0" fontId="17" fillId="2" borderId="39" xfId="0" applyFont="1" applyFill="1" applyBorder="1" applyAlignment="1" applyProtection="1">
      <alignment horizontal="left" vertical="center" wrapText="1"/>
    </xf>
    <xf numFmtId="0" fontId="18" fillId="2" borderId="40" xfId="0" applyFont="1" applyFill="1" applyBorder="1" applyAlignment="1" applyProtection="1">
      <alignment horizontal="justify" vertical="center" wrapText="1"/>
    </xf>
    <xf numFmtId="0" fontId="18" fillId="2" borderId="41" xfId="0" applyFont="1" applyFill="1" applyBorder="1" applyAlignment="1" applyProtection="1">
      <alignment horizontal="justify" vertical="center" wrapText="1"/>
    </xf>
    <xf numFmtId="0" fontId="61" fillId="15" borderId="49" xfId="0" applyFont="1" applyFill="1" applyBorder="1" applyAlignment="1" applyProtection="1">
      <alignment horizontal="center" vertical="center"/>
    </xf>
    <xf numFmtId="0" fontId="61" fillId="15" borderId="50" xfId="0" applyFont="1" applyFill="1" applyBorder="1" applyAlignment="1" applyProtection="1">
      <alignment horizontal="center" vertical="center"/>
    </xf>
    <xf numFmtId="0" fontId="32" fillId="0" borderId="57" xfId="0" applyFont="1" applyFill="1" applyBorder="1" applyAlignment="1" applyProtection="1">
      <alignment horizontal="justify" vertical="center" wrapText="1"/>
    </xf>
    <xf numFmtId="0" fontId="32" fillId="0" borderId="58" xfId="0" applyFont="1" applyFill="1" applyBorder="1" applyAlignment="1" applyProtection="1">
      <alignment horizontal="justify" vertical="center" wrapText="1"/>
    </xf>
    <xf numFmtId="0" fontId="32" fillId="0" borderId="58" xfId="0" applyFont="1" applyFill="1" applyBorder="1" applyAlignment="1" applyProtection="1">
      <alignment horizontal="center" vertical="center" wrapText="1"/>
    </xf>
    <xf numFmtId="0" fontId="32" fillId="0" borderId="50" xfId="0" applyFont="1" applyFill="1" applyBorder="1" applyAlignment="1" applyProtection="1">
      <alignment horizontal="center" vertical="center" wrapText="1"/>
    </xf>
    <xf numFmtId="9" fontId="26" fillId="0" borderId="57" xfId="0" applyNumberFormat="1" applyFont="1" applyBorder="1" applyAlignment="1" applyProtection="1">
      <alignment horizontal="justify" vertical="center" wrapText="1"/>
    </xf>
    <xf numFmtId="9" fontId="26" fillId="0" borderId="58" xfId="0" applyNumberFormat="1" applyFont="1" applyBorder="1" applyAlignment="1" applyProtection="1">
      <alignment horizontal="justify" vertical="center" wrapText="1"/>
    </xf>
    <xf numFmtId="9" fontId="26" fillId="0" borderId="58" xfId="0" applyNumberFormat="1" applyFont="1" applyBorder="1" applyAlignment="1" applyProtection="1">
      <alignment horizontal="center" vertical="center" wrapText="1"/>
    </xf>
    <xf numFmtId="9" fontId="26" fillId="0" borderId="50" xfId="0" applyNumberFormat="1" applyFont="1" applyBorder="1" applyAlignment="1" applyProtection="1">
      <alignment horizontal="center" vertical="center" wrapText="1"/>
    </xf>
    <xf numFmtId="9" fontId="26" fillId="0" borderId="57" xfId="0" applyNumberFormat="1" applyFont="1" applyBorder="1" applyAlignment="1" applyProtection="1">
      <alignment horizontal="justify" vertical="center" wrapText="1"/>
      <protection locked="0"/>
    </xf>
    <xf numFmtId="9" fontId="26" fillId="0" borderId="58" xfId="0" applyNumberFormat="1" applyFont="1" applyBorder="1" applyAlignment="1" applyProtection="1">
      <alignment horizontal="justify" vertical="center" wrapText="1"/>
      <protection locked="0"/>
    </xf>
    <xf numFmtId="9" fontId="26" fillId="0" borderId="58" xfId="0" applyNumberFormat="1" applyFont="1" applyBorder="1" applyAlignment="1" applyProtection="1">
      <alignment horizontal="center" vertical="center" wrapText="1"/>
      <protection locked="0"/>
    </xf>
    <xf numFmtId="9" fontId="26" fillId="0" borderId="50" xfId="0" applyNumberFormat="1" applyFont="1" applyBorder="1" applyAlignment="1" applyProtection="1">
      <alignment horizontal="center" vertical="center" wrapText="1"/>
      <protection locked="0"/>
    </xf>
    <xf numFmtId="0" fontId="26" fillId="0" borderId="49" xfId="0" applyFont="1" applyBorder="1" applyAlignment="1" applyProtection="1">
      <alignment horizontal="center" vertical="center"/>
      <protection locked="0"/>
    </xf>
    <xf numFmtId="0" fontId="26" fillId="0" borderId="57" xfId="0" applyFont="1" applyBorder="1" applyAlignment="1" applyProtection="1">
      <alignment horizontal="justify" vertical="center" wrapText="1"/>
      <protection locked="0"/>
    </xf>
    <xf numFmtId="0" fontId="26" fillId="0" borderId="58" xfId="0" applyFont="1" applyBorder="1" applyAlignment="1" applyProtection="1">
      <alignment horizontal="center" vertical="center" wrapText="1"/>
      <protection locked="0"/>
    </xf>
    <xf numFmtId="0" fontId="26" fillId="0" borderId="50" xfId="0" applyFont="1" applyBorder="1" applyAlignment="1" applyProtection="1">
      <alignment horizontal="center" vertical="center" wrapText="1"/>
      <protection locked="0"/>
    </xf>
    <xf numFmtId="0" fontId="26" fillId="0" borderId="49" xfId="0" applyFont="1" applyBorder="1" applyAlignment="1" applyProtection="1">
      <alignment horizontal="justify" vertical="center" wrapText="1"/>
      <protection locked="0"/>
    </xf>
    <xf numFmtId="0" fontId="26" fillId="0" borderId="49" xfId="0" applyFont="1" applyBorder="1" applyAlignment="1" applyProtection="1">
      <alignment horizontal="center" vertical="center" wrapText="1"/>
      <protection locked="0"/>
    </xf>
    <xf numFmtId="9" fontId="26" fillId="0" borderId="57" xfId="0" applyNumberFormat="1" applyFont="1" applyBorder="1" applyAlignment="1" applyProtection="1">
      <alignment horizontal="center" vertical="center" wrapText="1"/>
    </xf>
    <xf numFmtId="9" fontId="26" fillId="0" borderId="49" xfId="0" applyNumberFormat="1" applyFont="1" applyBorder="1" applyAlignment="1" applyProtection="1">
      <alignment horizontal="justify" vertical="center" wrapText="1"/>
      <protection locked="0"/>
    </xf>
    <xf numFmtId="9" fontId="26" fillId="0" borderId="49" xfId="0" applyNumberFormat="1" applyFont="1" applyBorder="1" applyAlignment="1" applyProtection="1">
      <alignment horizontal="center" vertical="center" wrapText="1"/>
      <protection locked="0"/>
    </xf>
    <xf numFmtId="0" fontId="32" fillId="0" borderId="49" xfId="0" applyFont="1" applyFill="1" applyBorder="1" applyAlignment="1" applyProtection="1">
      <alignment horizontal="justify" vertical="center" wrapText="1"/>
    </xf>
    <xf numFmtId="0" fontId="32" fillId="0" borderId="49" xfId="0" applyFont="1" applyFill="1" applyBorder="1" applyAlignment="1" applyProtection="1">
      <alignment horizontal="center" vertical="center" wrapText="1"/>
    </xf>
    <xf numFmtId="9" fontId="26" fillId="0" borderId="49" xfId="0" applyNumberFormat="1" applyFont="1" applyBorder="1" applyAlignment="1" applyProtection="1">
      <alignment horizontal="justify" vertical="center" wrapText="1"/>
    </xf>
    <xf numFmtId="9" fontId="26" fillId="0" borderId="49" xfId="0" applyNumberFormat="1" applyFont="1" applyBorder="1" applyAlignment="1" applyProtection="1">
      <alignment horizontal="center" vertical="center" wrapText="1"/>
    </xf>
    <xf numFmtId="0" fontId="32" fillId="0" borderId="49" xfId="0" applyFont="1" applyBorder="1" applyAlignment="1" applyProtection="1">
      <alignment horizontal="justify" vertical="center"/>
    </xf>
    <xf numFmtId="0" fontId="32" fillId="0" borderId="49" xfId="0" applyFont="1" applyBorder="1" applyAlignment="1" applyProtection="1">
      <alignment horizontal="center" vertical="center"/>
    </xf>
    <xf numFmtId="0" fontId="26" fillId="0" borderId="49" xfId="0" applyFont="1" applyBorder="1" applyAlignment="1" applyProtection="1">
      <alignment horizontal="justify" vertical="center"/>
      <protection locked="0"/>
    </xf>
    <xf numFmtId="0" fontId="26" fillId="0" borderId="49" xfId="0" applyFont="1" applyBorder="1" applyAlignment="1" applyProtection="1">
      <alignment horizontal="justify" vertical="center" wrapText="1"/>
    </xf>
    <xf numFmtId="0" fontId="2" fillId="0" borderId="49" xfId="0" applyFont="1" applyBorder="1" applyAlignment="1" applyProtection="1">
      <alignment horizontal="justify" vertical="center" wrapText="1"/>
    </xf>
    <xf numFmtId="0" fontId="32" fillId="15" borderId="49" xfId="0" applyFont="1" applyFill="1" applyBorder="1" applyAlignment="1" applyProtection="1">
      <alignment horizontal="center" vertical="center"/>
    </xf>
    <xf numFmtId="0" fontId="32" fillId="15" borderId="49" xfId="0" applyFont="1" applyFill="1" applyBorder="1" applyAlignment="1" applyProtection="1">
      <alignment horizontal="center" vertical="center" textRotation="90" wrapText="1"/>
    </xf>
    <xf numFmtId="0" fontId="32" fillId="15" borderId="49" xfId="0" applyFont="1" applyFill="1" applyBorder="1" applyAlignment="1" applyProtection="1">
      <alignment horizontal="center" vertical="center" wrapText="1"/>
    </xf>
    <xf numFmtId="0" fontId="26" fillId="0" borderId="72" xfId="0" applyFont="1" applyBorder="1" applyAlignment="1" applyProtection="1">
      <alignment horizontal="left" vertical="center" wrapText="1"/>
      <protection locked="0"/>
    </xf>
    <xf numFmtId="0" fontId="26" fillId="0" borderId="73" xfId="0" applyFont="1" applyBorder="1" applyAlignment="1" applyProtection="1">
      <alignment horizontal="left" vertical="center" wrapText="1"/>
      <protection locked="0"/>
    </xf>
    <xf numFmtId="0" fontId="26" fillId="0" borderId="74" xfId="0" applyFont="1" applyBorder="1" applyAlignment="1" applyProtection="1">
      <alignment horizontal="left" vertical="center" wrapText="1"/>
      <protection locked="0"/>
    </xf>
    <xf numFmtId="0" fontId="26" fillId="0" borderId="57" xfId="0" applyFont="1" applyBorder="1" applyAlignment="1" applyProtection="1">
      <alignment horizontal="justify" vertical="center" wrapText="1"/>
    </xf>
    <xf numFmtId="0" fontId="26" fillId="0" borderId="58" xfId="0" applyFont="1" applyBorder="1" applyAlignment="1" applyProtection="1">
      <alignment horizontal="justify" vertical="center" wrapText="1"/>
    </xf>
    <xf numFmtId="0" fontId="26" fillId="0" borderId="58" xfId="0" applyFont="1" applyBorder="1" applyAlignment="1" applyProtection="1">
      <alignment horizontal="center" vertical="center" wrapText="1"/>
    </xf>
    <xf numFmtId="0" fontId="26" fillId="0" borderId="50" xfId="0" applyFont="1" applyBorder="1" applyAlignment="1" applyProtection="1">
      <alignment horizontal="center" vertical="center" wrapText="1"/>
    </xf>
    <xf numFmtId="0" fontId="26" fillId="0" borderId="58" xfId="0" applyFont="1" applyBorder="1" applyAlignment="1" applyProtection="1">
      <alignment horizontal="justify" vertical="center" wrapText="1"/>
      <protection locked="0"/>
    </xf>
    <xf numFmtId="0" fontId="2" fillId="0" borderId="57" xfId="0" applyFont="1" applyBorder="1" applyAlignment="1" applyProtection="1">
      <alignment horizontal="justify" vertical="center" wrapText="1"/>
      <protection locked="0"/>
    </xf>
    <xf numFmtId="0" fontId="2" fillId="0" borderId="58" xfId="0" applyFont="1" applyBorder="1" applyAlignment="1" applyProtection="1">
      <alignment horizontal="justify" vertical="center" wrapText="1"/>
      <protection locked="0"/>
    </xf>
    <xf numFmtId="0" fontId="2" fillId="0" borderId="58" xfId="0" applyFont="1" applyBorder="1" applyAlignment="1" applyProtection="1">
      <alignment horizontal="center" vertical="center" wrapText="1"/>
      <protection locked="0"/>
    </xf>
    <xf numFmtId="0" fontId="2" fillId="0" borderId="50" xfId="0" applyFont="1" applyBorder="1" applyAlignment="1" applyProtection="1">
      <alignment horizontal="center" vertical="center" wrapText="1"/>
      <protection locked="0"/>
    </xf>
    <xf numFmtId="0" fontId="26" fillId="0" borderId="57" xfId="0" applyFont="1" applyBorder="1" applyAlignment="1" applyProtection="1">
      <alignment horizontal="justify" vertical="center"/>
      <protection locked="0"/>
    </xf>
    <xf numFmtId="0" fontId="26" fillId="0" borderId="58" xfId="0" applyFont="1" applyBorder="1" applyAlignment="1" applyProtection="1">
      <alignment horizontal="justify" vertical="center"/>
      <protection locked="0"/>
    </xf>
    <xf numFmtId="0" fontId="26" fillId="0" borderId="58" xfId="0" applyFont="1" applyBorder="1" applyAlignment="1" applyProtection="1">
      <alignment horizontal="center" vertical="center"/>
      <protection locked="0"/>
    </xf>
    <xf numFmtId="0" fontId="26" fillId="0" borderId="50" xfId="0" applyFont="1" applyBorder="1" applyAlignment="1" applyProtection="1">
      <alignment horizontal="center" vertical="center"/>
      <protection locked="0"/>
    </xf>
    <xf numFmtId="0" fontId="73" fillId="0" borderId="89" xfId="0" applyFont="1" applyBorder="1" applyAlignment="1">
      <alignment horizontal="center" vertical="center"/>
    </xf>
    <xf numFmtId="0" fontId="73" fillId="0" borderId="100" xfId="0" applyFont="1" applyBorder="1" applyAlignment="1">
      <alignment horizontal="center" vertical="center"/>
    </xf>
    <xf numFmtId="0" fontId="73" fillId="0" borderId="88" xfId="0" applyFont="1" applyBorder="1" applyAlignment="1">
      <alignment horizontal="center" vertical="center"/>
    </xf>
    <xf numFmtId="0" fontId="73" fillId="0" borderId="90" xfId="0" applyFont="1" applyBorder="1" applyAlignment="1">
      <alignment horizontal="center" vertical="center"/>
    </xf>
    <xf numFmtId="0" fontId="73" fillId="0" borderId="101" xfId="0" applyFont="1" applyBorder="1" applyAlignment="1">
      <alignment horizontal="center" vertical="center"/>
    </xf>
    <xf numFmtId="0" fontId="73" fillId="0" borderId="17" xfId="0" applyFont="1" applyBorder="1" applyAlignment="1">
      <alignment horizontal="center" vertical="center"/>
    </xf>
    <xf numFmtId="0" fontId="73" fillId="0" borderId="91" xfId="0" applyFont="1" applyBorder="1" applyAlignment="1">
      <alignment horizontal="center" vertical="center"/>
    </xf>
    <xf numFmtId="0" fontId="73" fillId="0" borderId="94" xfId="0" applyFont="1" applyBorder="1" applyAlignment="1">
      <alignment horizontal="center" vertical="center"/>
    </xf>
    <xf numFmtId="0" fontId="73" fillId="0" borderId="19" xfId="0" applyFont="1" applyBorder="1" applyAlignment="1">
      <alignment horizontal="center" vertical="center"/>
    </xf>
    <xf numFmtId="0" fontId="56" fillId="0" borderId="45" xfId="0" applyFont="1" applyBorder="1" applyAlignment="1" applyProtection="1">
      <alignment horizontal="center" vertical="center"/>
    </xf>
    <xf numFmtId="0" fontId="56" fillId="0" borderId="18" xfId="0" applyFont="1" applyBorder="1" applyAlignment="1" applyProtection="1">
      <alignment horizontal="center" vertical="center"/>
    </xf>
    <xf numFmtId="0" fontId="56" fillId="0" borderId="19" xfId="0" applyFont="1" applyBorder="1" applyAlignment="1" applyProtection="1">
      <alignment horizontal="center" vertical="center"/>
    </xf>
    <xf numFmtId="0" fontId="56" fillId="0" borderId="43" xfId="0" applyFont="1" applyBorder="1" applyAlignment="1" applyProtection="1">
      <alignment horizontal="center" vertical="center"/>
    </xf>
    <xf numFmtId="0" fontId="56" fillId="0" borderId="94" xfId="0" applyFont="1" applyBorder="1" applyAlignment="1" applyProtection="1">
      <alignment horizontal="center" vertical="center"/>
    </xf>
    <xf numFmtId="0" fontId="56" fillId="0" borderId="95" xfId="0" applyFont="1" applyBorder="1" applyAlignment="1" applyProtection="1">
      <alignment horizontal="center" vertical="center"/>
    </xf>
    <xf numFmtId="0" fontId="56" fillId="0" borderId="86" xfId="0" applyFont="1" applyBorder="1" applyAlignment="1" applyProtection="1">
      <alignment horizontal="center" vertical="center"/>
    </xf>
    <xf numFmtId="0" fontId="56" fillId="0" borderId="87" xfId="0" applyFont="1" applyBorder="1" applyAlignment="1" applyProtection="1">
      <alignment horizontal="center" vertical="center"/>
    </xf>
    <xf numFmtId="0" fontId="56" fillId="0" borderId="88" xfId="0" applyFont="1" applyBorder="1" applyAlignment="1" applyProtection="1">
      <alignment horizontal="center" vertical="center"/>
    </xf>
    <xf numFmtId="0" fontId="56" fillId="0" borderId="23" xfId="0" applyFont="1" applyBorder="1" applyAlignment="1" applyProtection="1">
      <alignment horizontal="center" vertical="center"/>
    </xf>
    <xf numFmtId="0" fontId="56" fillId="0" borderId="100" xfId="0" applyFont="1" applyBorder="1" applyAlignment="1" applyProtection="1">
      <alignment horizontal="center" vertical="center"/>
    </xf>
    <xf numFmtId="0" fontId="56" fillId="0" borderId="97" xfId="0" applyFont="1" applyBorder="1" applyAlignment="1" applyProtection="1">
      <alignment horizontal="center" vertical="center"/>
    </xf>
    <xf numFmtId="0" fontId="56" fillId="0" borderId="48" xfId="0" applyFont="1" applyBorder="1" applyAlignment="1" applyProtection="1">
      <alignment horizontal="center" vertical="center"/>
    </xf>
    <xf numFmtId="0" fontId="56" fillId="0" borderId="16" xfId="0" applyFont="1" applyBorder="1" applyAlignment="1" applyProtection="1">
      <alignment horizontal="center" vertical="center"/>
    </xf>
    <xf numFmtId="0" fontId="56" fillId="0" borderId="17" xfId="0" applyFont="1" applyBorder="1" applyAlignment="1" applyProtection="1">
      <alignment horizontal="center" vertical="center"/>
    </xf>
    <xf numFmtId="0" fontId="56" fillId="0" borderId="99" xfId="0" applyFont="1" applyBorder="1" applyAlignment="1" applyProtection="1">
      <alignment horizontal="center" vertical="center"/>
    </xf>
    <xf numFmtId="0" fontId="56" fillId="0" borderId="101" xfId="0" applyFont="1" applyBorder="1" applyAlignment="1" applyProtection="1">
      <alignment horizontal="center" vertical="center"/>
    </xf>
    <xf numFmtId="0" fontId="56" fillId="0" borderId="98" xfId="0" applyFont="1" applyBorder="1" applyAlignment="1" applyProtection="1">
      <alignment horizontal="center" vertical="center"/>
    </xf>
    <xf numFmtId="0" fontId="56" fillId="0" borderId="45" xfId="0" applyFont="1" applyBorder="1" applyAlignment="1" applyProtection="1">
      <alignment horizontal="center" vertical="center" wrapText="1"/>
    </xf>
    <xf numFmtId="0" fontId="56" fillId="0" borderId="18" xfId="0" applyFont="1" applyBorder="1" applyAlignment="1" applyProtection="1">
      <alignment horizontal="center" vertical="center" wrapText="1"/>
    </xf>
    <xf numFmtId="0" fontId="56" fillId="0" borderId="19" xfId="0" applyFont="1" applyBorder="1" applyAlignment="1" applyProtection="1">
      <alignment horizontal="center" vertical="center" wrapText="1"/>
    </xf>
    <xf numFmtId="0" fontId="56" fillId="0" borderId="43" xfId="0" applyFont="1" applyBorder="1" applyAlignment="1" applyProtection="1">
      <alignment horizontal="center" vertical="center" wrapText="1"/>
    </xf>
    <xf numFmtId="0" fontId="56" fillId="0" borderId="94" xfId="0" applyFont="1" applyBorder="1" applyAlignment="1" applyProtection="1">
      <alignment horizontal="center" vertical="center" wrapText="1"/>
    </xf>
    <xf numFmtId="0" fontId="56" fillId="0" borderId="95" xfId="0" applyFont="1" applyBorder="1" applyAlignment="1" applyProtection="1">
      <alignment horizontal="center" vertical="center" wrapText="1"/>
    </xf>
    <xf numFmtId="0" fontId="26" fillId="0" borderId="1" xfId="0" applyFont="1" applyBorder="1" applyAlignment="1" applyProtection="1">
      <alignment horizontal="center" vertical="center"/>
      <protection locked="0"/>
    </xf>
    <xf numFmtId="0" fontId="26" fillId="0" borderId="2" xfId="0" applyFont="1" applyBorder="1" applyAlignment="1" applyProtection="1">
      <alignment horizontal="center" vertical="center"/>
      <protection locked="0"/>
    </xf>
    <xf numFmtId="0" fontId="26" fillId="0" borderId="4" xfId="0" applyFont="1" applyBorder="1" applyAlignment="1" applyProtection="1">
      <alignment horizontal="center" vertical="center"/>
      <protection locked="0"/>
    </xf>
    <xf numFmtId="0" fontId="26" fillId="0" borderId="0" xfId="0" applyFont="1" applyBorder="1" applyAlignment="1" applyProtection="1">
      <alignment horizontal="center" vertical="center"/>
      <protection locked="0"/>
    </xf>
    <xf numFmtId="0" fontId="26" fillId="0" borderId="6" xfId="0" applyFont="1" applyBorder="1" applyAlignment="1" applyProtection="1">
      <alignment horizontal="center" vertical="center"/>
      <protection locked="0"/>
    </xf>
    <xf numFmtId="0" fontId="26" fillId="0" borderId="7" xfId="0" applyFont="1" applyBorder="1" applyAlignment="1" applyProtection="1">
      <alignment horizontal="center" vertical="center"/>
      <protection locked="0"/>
    </xf>
    <xf numFmtId="0" fontId="56" fillId="0" borderId="42" xfId="0" applyFont="1" applyBorder="1" applyAlignment="1" applyProtection="1">
      <alignment horizontal="center" vertical="center" wrapText="1"/>
    </xf>
    <xf numFmtId="0" fontId="56" fillId="15" borderId="103" xfId="0" applyFont="1" applyFill="1" applyBorder="1" applyAlignment="1" applyProtection="1">
      <alignment horizontal="left" vertical="center"/>
      <protection locked="0"/>
    </xf>
    <xf numFmtId="0" fontId="56" fillId="15" borderId="102" xfId="0" applyFont="1" applyFill="1" applyBorder="1" applyAlignment="1" applyProtection="1">
      <alignment horizontal="left" vertical="center"/>
      <protection locked="0"/>
    </xf>
    <xf numFmtId="0" fontId="56" fillId="15" borderId="51" xfId="0" applyFont="1" applyFill="1" applyBorder="1" applyAlignment="1" applyProtection="1">
      <alignment horizontal="left" vertical="center" wrapText="1"/>
      <protection locked="0"/>
    </xf>
    <xf numFmtId="0" fontId="56" fillId="15" borderId="52" xfId="0" applyFont="1" applyFill="1" applyBorder="1" applyAlignment="1" applyProtection="1">
      <alignment horizontal="left" vertical="center" wrapText="1"/>
      <protection locked="0"/>
    </xf>
    <xf numFmtId="0" fontId="56" fillId="15" borderId="53" xfId="0" applyFont="1" applyFill="1" applyBorder="1" applyAlignment="1" applyProtection="1">
      <alignment horizontal="left" vertical="center" wrapText="1"/>
      <protection locked="0"/>
    </xf>
    <xf numFmtId="0" fontId="56" fillId="15" borderId="51" xfId="0" applyFont="1" applyFill="1" applyBorder="1" applyAlignment="1" applyProtection="1">
      <alignment horizontal="left" vertical="center"/>
      <protection locked="0"/>
    </xf>
    <xf numFmtId="0" fontId="56" fillId="15" borderId="52" xfId="0" applyFont="1" applyFill="1" applyBorder="1" applyAlignment="1" applyProtection="1">
      <alignment horizontal="left" vertical="center"/>
      <protection locked="0"/>
    </xf>
    <xf numFmtId="0" fontId="56" fillId="15" borderId="53" xfId="0" applyFont="1" applyFill="1" applyBorder="1" applyAlignment="1" applyProtection="1">
      <alignment horizontal="left" vertical="center"/>
      <protection locked="0"/>
    </xf>
    <xf numFmtId="0" fontId="61" fillId="15" borderId="49" xfId="0" applyFont="1" applyFill="1" applyBorder="1" applyAlignment="1" applyProtection="1">
      <alignment horizontal="center" vertical="center" textRotation="90"/>
    </xf>
    <xf numFmtId="0" fontId="60" fillId="2" borderId="51" xfId="0" applyFont="1" applyFill="1" applyBorder="1" applyAlignment="1" applyProtection="1">
      <alignment horizontal="justify" vertical="center" wrapText="1"/>
    </xf>
    <xf numFmtId="0" fontId="60" fillId="2" borderId="52" xfId="0" applyFont="1" applyFill="1" applyBorder="1" applyAlignment="1" applyProtection="1">
      <alignment horizontal="justify" vertical="center" wrapText="1"/>
    </xf>
    <xf numFmtId="0" fontId="60" fillId="2" borderId="53" xfId="0" applyFont="1" applyFill="1" applyBorder="1" applyAlignment="1" applyProtection="1">
      <alignment horizontal="justify" vertical="center" wrapText="1"/>
    </xf>
    <xf numFmtId="0" fontId="26" fillId="2" borderId="0" xfId="0" applyFont="1" applyFill="1" applyBorder="1" applyAlignment="1" applyProtection="1">
      <alignment horizontal="left" vertical="center"/>
      <protection locked="0"/>
    </xf>
    <xf numFmtId="0" fontId="32" fillId="0" borderId="57" xfId="0" applyFont="1" applyBorder="1" applyAlignment="1" applyProtection="1">
      <alignment horizontal="justify" vertical="center"/>
    </xf>
    <xf numFmtId="0" fontId="32" fillId="0" borderId="58" xfId="0" applyFont="1" applyBorder="1" applyAlignment="1" applyProtection="1">
      <alignment horizontal="justify" vertical="center"/>
    </xf>
    <xf numFmtId="0" fontId="32" fillId="0" borderId="58" xfId="0" applyFont="1" applyBorder="1" applyAlignment="1" applyProtection="1">
      <alignment horizontal="center" vertical="center"/>
    </xf>
    <xf numFmtId="0" fontId="32" fillId="0" borderId="50" xfId="0" applyFont="1" applyBorder="1" applyAlignment="1" applyProtection="1">
      <alignment horizontal="center" vertical="center"/>
    </xf>
    <xf numFmtId="0" fontId="26" fillId="0" borderId="49" xfId="0" applyFont="1" applyBorder="1" applyAlignment="1" applyProtection="1">
      <alignment horizontal="justify" vertical="center"/>
    </xf>
    <xf numFmtId="0" fontId="26" fillId="0" borderId="49" xfId="0" applyFont="1" applyBorder="1" applyAlignment="1" applyProtection="1">
      <alignment horizontal="center" vertical="center"/>
    </xf>
    <xf numFmtId="0" fontId="2" fillId="0" borderId="49" xfId="0" applyFont="1" applyBorder="1" applyAlignment="1" applyProtection="1">
      <alignment horizontal="justify" vertical="center" wrapText="1"/>
      <protection locked="0"/>
    </xf>
    <xf numFmtId="0" fontId="2" fillId="0" borderId="49" xfId="0" applyFont="1" applyBorder="1" applyAlignment="1" applyProtection="1">
      <alignment horizontal="center" vertical="center" wrapText="1"/>
      <protection locked="0"/>
    </xf>
    <xf numFmtId="0" fontId="26" fillId="19" borderId="49" xfId="0" applyFont="1" applyFill="1" applyBorder="1" applyAlignment="1" applyProtection="1">
      <alignment horizontal="justify" vertical="center" wrapText="1"/>
      <protection locked="0"/>
    </xf>
    <xf numFmtId="0" fontId="26" fillId="0" borderId="49" xfId="0" applyFont="1" applyBorder="1" applyAlignment="1" applyProtection="1">
      <alignment horizontal="center" vertical="center" wrapText="1"/>
    </xf>
    <xf numFmtId="0" fontId="26" fillId="0" borderId="50" xfId="0" applyFont="1" applyBorder="1" applyAlignment="1" applyProtection="1">
      <alignment horizontal="justify" vertical="center" wrapText="1"/>
      <protection locked="0"/>
    </xf>
    <xf numFmtId="0" fontId="26" fillId="12" borderId="49" xfId="0" applyFont="1" applyFill="1" applyBorder="1" applyAlignment="1" applyProtection="1">
      <alignment horizontal="justify" vertical="center" wrapText="1"/>
      <protection locked="0"/>
    </xf>
    <xf numFmtId="0" fontId="26" fillId="12" borderId="49" xfId="0" applyFont="1" applyFill="1" applyBorder="1" applyAlignment="1" applyProtection="1">
      <alignment horizontal="center" vertical="center" wrapText="1"/>
      <protection locked="0"/>
    </xf>
    <xf numFmtId="0" fontId="71" fillId="16" borderId="12" xfId="0" applyFont="1" applyFill="1" applyBorder="1" applyAlignment="1" applyProtection="1">
      <alignment horizontal="center" wrapText="1"/>
      <protection locked="0"/>
    </xf>
    <xf numFmtId="0" fontId="71" fillId="16" borderId="14" xfId="0" applyFont="1" applyFill="1" applyBorder="1" applyAlignment="1" applyProtection="1">
      <alignment horizontal="center" wrapText="1"/>
      <protection locked="0"/>
    </xf>
    <xf numFmtId="0" fontId="69" fillId="16" borderId="92" xfId="0" applyFont="1" applyFill="1" applyBorder="1" applyAlignment="1">
      <alignment horizontal="center" vertical="center" wrapText="1"/>
    </xf>
    <xf numFmtId="0" fontId="69" fillId="16" borderId="93" xfId="0" applyFont="1" applyFill="1" applyBorder="1" applyAlignment="1">
      <alignment horizontal="center" vertical="center" wrapText="1"/>
    </xf>
    <xf numFmtId="0" fontId="69" fillId="16" borderId="12" xfId="0" applyFont="1" applyFill="1" applyBorder="1" applyAlignment="1">
      <alignment horizontal="center" vertical="center" wrapText="1"/>
    </xf>
    <xf numFmtId="0" fontId="69" fillId="16" borderId="14" xfId="0" applyFont="1" applyFill="1" applyBorder="1" applyAlignment="1" applyProtection="1">
      <alignment horizontal="center" vertical="center" wrapText="1"/>
    </xf>
    <xf numFmtId="0" fontId="69" fillId="16" borderId="16" xfId="0" applyFont="1" applyFill="1" applyBorder="1" applyAlignment="1" applyProtection="1">
      <alignment horizontal="center" vertical="center" wrapText="1"/>
    </xf>
    <xf numFmtId="0" fontId="70" fillId="16" borderId="12" xfId="0" applyFont="1" applyFill="1" applyBorder="1" applyAlignment="1">
      <alignment horizontal="center" vertical="center" wrapText="1"/>
    </xf>
    <xf numFmtId="0" fontId="70" fillId="16" borderId="14" xfId="0" applyFont="1" applyFill="1" applyBorder="1" applyAlignment="1">
      <alignment horizontal="center" vertical="center" wrapText="1"/>
    </xf>
    <xf numFmtId="0" fontId="70" fillId="16" borderId="12" xfId="0" applyFont="1" applyFill="1" applyBorder="1" applyAlignment="1" applyProtection="1">
      <alignment horizontal="center" vertical="center" wrapText="1"/>
      <protection locked="0"/>
    </xf>
    <xf numFmtId="0" fontId="70" fillId="16" borderId="14" xfId="0" applyFont="1" applyFill="1" applyBorder="1" applyAlignment="1" applyProtection="1">
      <alignment horizontal="center" vertical="center" wrapText="1"/>
      <protection locked="0"/>
    </xf>
    <xf numFmtId="0" fontId="69" fillId="16" borderId="12" xfId="0" applyFont="1" applyFill="1" applyBorder="1" applyAlignment="1" applyProtection="1">
      <alignment horizontal="center" vertical="center" wrapText="1"/>
    </xf>
    <xf numFmtId="0" fontId="56" fillId="0" borderId="86" xfId="0" applyFont="1" applyBorder="1" applyAlignment="1" applyProtection="1">
      <alignment horizontal="center" vertical="center" wrapText="1"/>
    </xf>
    <xf numFmtId="0" fontId="56" fillId="0" borderId="87" xfId="0" applyFont="1" applyBorder="1" applyAlignment="1" applyProtection="1">
      <alignment horizontal="center" vertical="center" wrapText="1"/>
    </xf>
    <xf numFmtId="0" fontId="73" fillId="0" borderId="88" xfId="0" applyFont="1" applyBorder="1" applyAlignment="1">
      <alignment horizontal="left" vertical="center" wrapText="1"/>
    </xf>
    <xf numFmtId="0" fontId="73" fillId="0" borderId="15" xfId="0" applyFont="1" applyBorder="1" applyAlignment="1">
      <alignment horizontal="left" vertical="center" wrapText="1"/>
    </xf>
    <xf numFmtId="0" fontId="56" fillId="0" borderId="47" xfId="0" applyFont="1" applyBorder="1" applyAlignment="1" applyProtection="1">
      <alignment horizontal="center" vertical="center" wrapText="1"/>
    </xf>
    <xf numFmtId="0" fontId="56" fillId="0" borderId="14" xfId="0" applyFont="1" applyBorder="1" applyAlignment="1" applyProtection="1">
      <alignment horizontal="center" vertical="center" wrapText="1"/>
    </xf>
    <xf numFmtId="0" fontId="56" fillId="0" borderId="14" xfId="0" applyFont="1" applyBorder="1" applyAlignment="1" applyProtection="1">
      <alignment horizontal="center" vertical="center"/>
    </xf>
    <xf numFmtId="0" fontId="56" fillId="0" borderId="48" xfId="0" applyFont="1" applyBorder="1" applyAlignment="1" applyProtection="1">
      <alignment horizontal="center" vertical="center" wrapText="1"/>
    </xf>
    <xf numFmtId="0" fontId="56" fillId="0" borderId="16" xfId="0" applyFont="1" applyBorder="1" applyAlignment="1" applyProtection="1">
      <alignment horizontal="center" vertical="center" wrapText="1"/>
    </xf>
    <xf numFmtId="0" fontId="56" fillId="0" borderId="17" xfId="0" applyFont="1" applyBorder="1" applyAlignment="1" applyProtection="1">
      <alignment horizontal="center" vertical="center" wrapText="1"/>
    </xf>
    <xf numFmtId="0" fontId="68" fillId="18" borderId="45" xfId="0" applyFont="1" applyFill="1" applyBorder="1" applyAlignment="1" applyProtection="1">
      <alignment horizontal="center" vertical="center"/>
    </xf>
    <xf numFmtId="0" fontId="68" fillId="18" borderId="18" xfId="0" applyFont="1" applyFill="1" applyBorder="1" applyAlignment="1" applyProtection="1">
      <alignment horizontal="center" vertical="center"/>
    </xf>
    <xf numFmtId="0" fontId="68" fillId="18" borderId="19" xfId="0" applyFont="1" applyFill="1" applyBorder="1" applyAlignment="1" applyProtection="1">
      <alignment horizontal="center" vertical="center"/>
    </xf>
    <xf numFmtId="0" fontId="68" fillId="18" borderId="89" xfId="0" applyFont="1" applyFill="1" applyBorder="1" applyAlignment="1" applyProtection="1">
      <alignment horizontal="center" vertical="center" wrapText="1"/>
    </xf>
    <xf numFmtId="0" fontId="68" fillId="18" borderId="90" xfId="0" applyFont="1" applyFill="1" applyBorder="1" applyAlignment="1" applyProtection="1">
      <alignment horizontal="center" vertical="center" wrapText="1"/>
    </xf>
    <xf numFmtId="0" fontId="68" fillId="18" borderId="45" xfId="0" applyFont="1" applyFill="1" applyBorder="1" applyAlignment="1" applyProtection="1">
      <alignment horizontal="center" vertical="center" wrapText="1"/>
    </xf>
    <xf numFmtId="0" fontId="68" fillId="18" borderId="18" xfId="0" applyFont="1" applyFill="1" applyBorder="1" applyAlignment="1" applyProtection="1">
      <alignment horizontal="center" vertical="center" wrapText="1"/>
    </xf>
    <xf numFmtId="0" fontId="68" fillId="18" borderId="19" xfId="0" applyFont="1" applyFill="1" applyBorder="1" applyAlignment="1" applyProtection="1">
      <alignment horizontal="center" vertical="center" wrapText="1"/>
    </xf>
    <xf numFmtId="14" fontId="69" fillId="16" borderId="46" xfId="0" applyNumberFormat="1" applyFont="1" applyFill="1" applyBorder="1" applyAlignment="1">
      <alignment horizontal="center" vertical="center" wrapText="1"/>
    </xf>
    <xf numFmtId="14" fontId="69" fillId="16" borderId="47" xfId="0" applyNumberFormat="1" applyFont="1" applyFill="1" applyBorder="1" applyAlignment="1">
      <alignment horizontal="center" vertical="center" wrapText="1"/>
    </xf>
    <xf numFmtId="14" fontId="69" fillId="16" borderId="48" xfId="0" applyNumberFormat="1" applyFont="1" applyFill="1" applyBorder="1" applyAlignment="1">
      <alignment horizontal="center" vertical="center" wrapText="1"/>
    </xf>
    <xf numFmtId="0" fontId="68" fillId="18" borderId="94" xfId="0" applyFont="1" applyFill="1" applyBorder="1" applyAlignment="1" applyProtection="1">
      <alignment horizontal="center" vertical="center" wrapText="1"/>
    </xf>
    <xf numFmtId="0" fontId="71" fillId="16" borderId="15" xfId="0" applyFont="1" applyFill="1" applyBorder="1" applyAlignment="1">
      <alignment horizontal="center" wrapText="1"/>
    </xf>
    <xf numFmtId="0" fontId="71" fillId="16" borderId="17" xfId="0" applyFont="1" applyFill="1" applyBorder="1" applyAlignment="1">
      <alignment horizontal="center" wrapText="1"/>
    </xf>
    <xf numFmtId="0" fontId="69" fillId="16" borderId="14" xfId="0" applyFont="1" applyFill="1" applyBorder="1" applyAlignment="1">
      <alignment horizontal="center" vertical="center" wrapText="1"/>
    </xf>
    <xf numFmtId="0" fontId="69" fillId="16" borderId="16" xfId="0" applyFont="1" applyFill="1" applyBorder="1" applyAlignment="1">
      <alignment horizontal="center" vertical="center" wrapText="1"/>
    </xf>
    <xf numFmtId="0" fontId="70" fillId="16" borderId="16" xfId="0" applyFont="1" applyFill="1" applyBorder="1" applyAlignment="1">
      <alignment horizontal="center" vertical="center" wrapText="1"/>
    </xf>
    <xf numFmtId="0" fontId="71" fillId="16" borderId="14" xfId="0" applyFont="1" applyFill="1" applyBorder="1" applyAlignment="1">
      <alignment horizontal="center" wrapText="1"/>
    </xf>
    <xf numFmtId="0" fontId="71" fillId="16" borderId="16" xfId="0" applyFont="1" applyFill="1" applyBorder="1" applyAlignment="1">
      <alignment horizontal="center" wrapText="1"/>
    </xf>
    <xf numFmtId="0" fontId="71" fillId="16" borderId="12" xfId="0" applyFont="1" applyFill="1" applyBorder="1" applyAlignment="1">
      <alignment horizontal="center" wrapText="1"/>
    </xf>
    <xf numFmtId="0" fontId="68" fillId="17" borderId="45" xfId="0" applyFont="1" applyFill="1" applyBorder="1" applyAlignment="1">
      <alignment horizontal="center" vertical="center" wrapText="1"/>
    </xf>
    <xf numFmtId="0" fontId="68" fillId="17" borderId="18" xfId="0" applyFont="1" applyFill="1" applyBorder="1" applyAlignment="1">
      <alignment horizontal="center" vertical="center" wrapText="1"/>
    </xf>
    <xf numFmtId="0" fontId="68" fillId="17" borderId="95" xfId="0" applyFont="1" applyFill="1" applyBorder="1" applyAlignment="1">
      <alignment horizontal="center" vertical="center" wrapText="1"/>
    </xf>
    <xf numFmtId="0" fontId="68" fillId="17" borderId="19" xfId="0" applyFont="1" applyFill="1" applyBorder="1" applyAlignment="1">
      <alignment horizontal="center" vertical="center" wrapText="1"/>
    </xf>
    <xf numFmtId="0" fontId="68" fillId="17" borderId="45" xfId="0" applyFont="1" applyFill="1" applyBorder="1" applyAlignment="1">
      <alignment horizontal="center" vertical="center"/>
    </xf>
    <xf numFmtId="0" fontId="68" fillId="17" borderId="18" xfId="0" applyFont="1" applyFill="1" applyBorder="1" applyAlignment="1">
      <alignment horizontal="center" vertical="center"/>
    </xf>
    <xf numFmtId="0" fontId="68" fillId="17" borderId="19" xfId="0" applyFont="1" applyFill="1" applyBorder="1" applyAlignment="1">
      <alignment horizontal="center" vertical="center"/>
    </xf>
    <xf numFmtId="0" fontId="68" fillId="17" borderId="89" xfId="0" applyFont="1" applyFill="1" applyBorder="1" applyAlignment="1">
      <alignment horizontal="center" vertical="center" wrapText="1"/>
    </xf>
    <xf numFmtId="0" fontId="68" fillId="17" borderId="90" xfId="0" applyFont="1" applyFill="1" applyBorder="1" applyAlignment="1">
      <alignment horizontal="center" vertical="center" wrapText="1"/>
    </xf>
    <xf numFmtId="0" fontId="71" fillId="16" borderId="13" xfId="0" applyFont="1" applyFill="1" applyBorder="1" applyAlignment="1">
      <alignment horizontal="center" wrapText="1"/>
    </xf>
    <xf numFmtId="0" fontId="71" fillId="16" borderId="15" xfId="0" applyFont="1" applyFill="1" applyBorder="1" applyAlignment="1" applyProtection="1">
      <alignment horizontal="center" wrapText="1"/>
      <protection locked="0"/>
    </xf>
    <xf numFmtId="0" fontId="71" fillId="16" borderId="16" xfId="0" applyFont="1" applyFill="1" applyBorder="1" applyAlignment="1" applyProtection="1">
      <alignment horizontal="center" wrapText="1"/>
      <protection locked="0"/>
    </xf>
    <xf numFmtId="0" fontId="71" fillId="16" borderId="17" xfId="0" applyFont="1" applyFill="1" applyBorder="1" applyAlignment="1" applyProtection="1">
      <alignment horizontal="center" wrapText="1"/>
      <protection locked="0"/>
    </xf>
    <xf numFmtId="0" fontId="68" fillId="7" borderId="45" xfId="0" applyFont="1" applyFill="1" applyBorder="1" applyAlignment="1">
      <alignment horizontal="center" vertical="center"/>
    </xf>
    <xf numFmtId="0" fontId="68" fillId="7" borderId="18" xfId="0" applyFont="1" applyFill="1" applyBorder="1" applyAlignment="1">
      <alignment horizontal="center" vertical="center"/>
    </xf>
    <xf numFmtId="0" fontId="68" fillId="7" borderId="19" xfId="0" applyFont="1" applyFill="1" applyBorder="1" applyAlignment="1">
      <alignment horizontal="center" vertical="center"/>
    </xf>
    <xf numFmtId="0" fontId="68" fillId="7" borderId="89" xfId="0" applyFont="1" applyFill="1" applyBorder="1" applyAlignment="1">
      <alignment horizontal="center" vertical="center" wrapText="1"/>
    </xf>
    <xf numFmtId="0" fontId="68" fillId="7" borderId="90" xfId="0" applyFont="1" applyFill="1" applyBorder="1" applyAlignment="1">
      <alignment horizontal="center" vertical="center" wrapText="1"/>
    </xf>
    <xf numFmtId="0" fontId="68" fillId="7" borderId="45" xfId="0" applyFont="1" applyFill="1" applyBorder="1" applyAlignment="1">
      <alignment horizontal="center" vertical="center" wrapText="1"/>
    </xf>
    <xf numFmtId="0" fontId="68" fillId="7" borderId="18" xfId="0" applyFont="1" applyFill="1" applyBorder="1" applyAlignment="1">
      <alignment horizontal="center" vertical="center" wrapText="1"/>
    </xf>
    <xf numFmtId="0" fontId="68" fillId="7" borderId="95" xfId="0" applyFont="1" applyFill="1" applyBorder="1" applyAlignment="1">
      <alignment horizontal="center" vertical="center" wrapText="1"/>
    </xf>
    <xf numFmtId="0" fontId="68" fillId="7" borderId="19" xfId="0" applyFont="1" applyFill="1" applyBorder="1" applyAlignment="1">
      <alignment horizontal="center" vertical="center" wrapText="1"/>
    </xf>
    <xf numFmtId="0" fontId="68" fillId="7" borderId="96" xfId="0" applyFont="1" applyFill="1" applyBorder="1" applyAlignment="1">
      <alignment horizontal="center" vertical="center" wrapText="1"/>
    </xf>
    <xf numFmtId="0" fontId="71" fillId="16" borderId="13" xfId="0" applyFont="1" applyFill="1" applyBorder="1" applyAlignment="1" applyProtection="1">
      <alignment horizontal="center" wrapText="1"/>
      <protection locked="0"/>
    </xf>
    <xf numFmtId="0" fontId="47" fillId="0" borderId="0" xfId="0" applyFont="1" applyAlignment="1">
      <alignment horizontal="center" vertical="center" wrapText="1"/>
    </xf>
    <xf numFmtId="0" fontId="48" fillId="4" borderId="4" xfId="0" applyFont="1" applyFill="1" applyBorder="1" applyAlignment="1" applyProtection="1">
      <alignment horizontal="center" wrapText="1" readingOrder="1"/>
      <protection hidden="1"/>
    </xf>
    <xf numFmtId="0" fontId="48" fillId="4" borderId="0" xfId="0" applyFont="1" applyFill="1" applyBorder="1" applyAlignment="1" applyProtection="1">
      <alignment horizontal="center" wrapText="1" readingOrder="1"/>
      <protection hidden="1"/>
    </xf>
    <xf numFmtId="0" fontId="48" fillId="4" borderId="5" xfId="0" applyFont="1" applyFill="1" applyBorder="1" applyAlignment="1" applyProtection="1">
      <alignment horizontal="center" wrapText="1" readingOrder="1"/>
      <protection hidden="1"/>
    </xf>
    <xf numFmtId="0" fontId="48" fillId="4" borderId="6" xfId="0" applyFont="1" applyFill="1" applyBorder="1" applyAlignment="1" applyProtection="1">
      <alignment horizontal="center" wrapText="1" readingOrder="1"/>
      <protection hidden="1"/>
    </xf>
    <xf numFmtId="0" fontId="48" fillId="4" borderId="7" xfId="0" applyFont="1" applyFill="1" applyBorder="1" applyAlignment="1" applyProtection="1">
      <alignment horizontal="center" wrapText="1" readingOrder="1"/>
      <protection hidden="1"/>
    </xf>
    <xf numFmtId="0" fontId="48" fillId="4" borderId="8" xfId="0" applyFont="1" applyFill="1" applyBorder="1" applyAlignment="1" applyProtection="1">
      <alignment horizontal="center" wrapText="1" readingOrder="1"/>
      <protection hidden="1"/>
    </xf>
    <xf numFmtId="0" fontId="48" fillId="4" borderId="1" xfId="0" applyFont="1" applyFill="1" applyBorder="1" applyAlignment="1" applyProtection="1">
      <alignment horizontal="center" wrapText="1" readingOrder="1"/>
      <protection hidden="1"/>
    </xf>
    <xf numFmtId="0" fontId="48" fillId="4" borderId="2" xfId="0" applyFont="1" applyFill="1" applyBorder="1" applyAlignment="1" applyProtection="1">
      <alignment horizontal="center" wrapText="1" readingOrder="1"/>
      <protection hidden="1"/>
    </xf>
    <xf numFmtId="0" fontId="48" fillId="4" borderId="3" xfId="0" applyFont="1" applyFill="1" applyBorder="1" applyAlignment="1" applyProtection="1">
      <alignment horizontal="center" wrapText="1" readingOrder="1"/>
      <protection hidden="1"/>
    </xf>
    <xf numFmtId="0" fontId="48" fillId="11" borderId="4" xfId="0" applyFont="1" applyFill="1" applyBorder="1" applyAlignment="1" applyProtection="1">
      <alignment horizontal="center" wrapText="1" readingOrder="1"/>
      <protection hidden="1"/>
    </xf>
    <xf numFmtId="0" fontId="48" fillId="11" borderId="0" xfId="0" applyFont="1" applyFill="1" applyBorder="1" applyAlignment="1" applyProtection="1">
      <alignment horizontal="center" wrapText="1" readingOrder="1"/>
      <protection hidden="1"/>
    </xf>
    <xf numFmtId="0" fontId="48" fillId="11" borderId="5" xfId="0" applyFont="1" applyFill="1" applyBorder="1" applyAlignment="1" applyProtection="1">
      <alignment horizontal="center" wrapText="1" readingOrder="1"/>
      <protection hidden="1"/>
    </xf>
    <xf numFmtId="0" fontId="48" fillId="11" borderId="6" xfId="0" applyFont="1" applyFill="1" applyBorder="1" applyAlignment="1" applyProtection="1">
      <alignment horizontal="center" wrapText="1" readingOrder="1"/>
      <protection hidden="1"/>
    </xf>
    <xf numFmtId="0" fontId="48" fillId="11" borderId="7" xfId="0" applyFont="1" applyFill="1" applyBorder="1" applyAlignment="1" applyProtection="1">
      <alignment horizontal="center" wrapText="1" readingOrder="1"/>
      <protection hidden="1"/>
    </xf>
    <xf numFmtId="0" fontId="48" fillId="11" borderId="8" xfId="0" applyFont="1" applyFill="1" applyBorder="1" applyAlignment="1" applyProtection="1">
      <alignment horizontal="center" wrapText="1" readingOrder="1"/>
      <protection hidden="1"/>
    </xf>
    <xf numFmtId="0" fontId="48" fillId="11" borderId="1" xfId="0" applyFont="1" applyFill="1" applyBorder="1" applyAlignment="1" applyProtection="1">
      <alignment horizontal="center" wrapText="1" readingOrder="1"/>
      <protection hidden="1"/>
    </xf>
    <xf numFmtId="0" fontId="48" fillId="11" borderId="2" xfId="0" applyFont="1" applyFill="1" applyBorder="1" applyAlignment="1" applyProtection="1">
      <alignment horizontal="center" wrapText="1" readingOrder="1"/>
      <protection hidden="1"/>
    </xf>
    <xf numFmtId="0" fontId="48" fillId="11" borderId="3" xfId="0" applyFont="1" applyFill="1" applyBorder="1" applyAlignment="1" applyProtection="1">
      <alignment horizontal="center" wrapText="1" readingOrder="1"/>
      <protection hidden="1"/>
    </xf>
    <xf numFmtId="0" fontId="48" fillId="9" borderId="4" xfId="0" applyFont="1" applyFill="1" applyBorder="1" applyAlignment="1" applyProtection="1">
      <alignment horizontal="center" vertical="center" wrapText="1" readingOrder="1"/>
      <protection hidden="1"/>
    </xf>
    <xf numFmtId="0" fontId="48" fillId="9" borderId="0" xfId="0" applyFont="1" applyFill="1" applyBorder="1" applyAlignment="1" applyProtection="1">
      <alignment horizontal="center" vertical="center" wrapText="1" readingOrder="1"/>
      <protection hidden="1"/>
    </xf>
    <xf numFmtId="0" fontId="48" fillId="9" borderId="0" xfId="0" applyFont="1" applyFill="1" applyAlignment="1" applyProtection="1">
      <alignment horizontal="center" vertical="center" wrapText="1" readingOrder="1"/>
      <protection hidden="1"/>
    </xf>
    <xf numFmtId="0" fontId="48" fillId="9" borderId="5" xfId="0" applyFont="1" applyFill="1" applyBorder="1" applyAlignment="1" applyProtection="1">
      <alignment horizontal="center" vertical="center" wrapText="1" readingOrder="1"/>
      <protection hidden="1"/>
    </xf>
    <xf numFmtId="0" fontId="48" fillId="9" borderId="6" xfId="0" applyFont="1" applyFill="1" applyBorder="1" applyAlignment="1" applyProtection="1">
      <alignment horizontal="center" vertical="center" wrapText="1" readingOrder="1"/>
      <protection hidden="1"/>
    </xf>
    <xf numFmtId="0" fontId="48" fillId="9" borderId="7" xfId="0" applyFont="1" applyFill="1" applyBorder="1" applyAlignment="1" applyProtection="1">
      <alignment horizontal="center" vertical="center" wrapText="1" readingOrder="1"/>
      <protection hidden="1"/>
    </xf>
    <xf numFmtId="0" fontId="48" fillId="9" borderId="8" xfId="0" applyFont="1" applyFill="1" applyBorder="1" applyAlignment="1" applyProtection="1">
      <alignment horizontal="center" vertical="center" wrapText="1" readingOrder="1"/>
      <protection hidden="1"/>
    </xf>
    <xf numFmtId="0" fontId="48" fillId="9" borderId="1" xfId="0" applyFont="1" applyFill="1" applyBorder="1" applyAlignment="1" applyProtection="1">
      <alignment horizontal="center" vertical="center" wrapText="1" readingOrder="1"/>
      <protection hidden="1"/>
    </xf>
    <xf numFmtId="0" fontId="48" fillId="9" borderId="2" xfId="0" applyFont="1" applyFill="1" applyBorder="1" applyAlignment="1" applyProtection="1">
      <alignment horizontal="center" vertical="center" wrapText="1" readingOrder="1"/>
      <protection hidden="1"/>
    </xf>
    <xf numFmtId="0" fontId="48" fillId="9" borderId="3" xfId="0" applyFont="1" applyFill="1" applyBorder="1" applyAlignment="1" applyProtection="1">
      <alignment horizontal="center" vertical="center" wrapText="1" readingOrder="1"/>
      <protection hidden="1"/>
    </xf>
    <xf numFmtId="0" fontId="48" fillId="10" borderId="0" xfId="0" applyFont="1" applyFill="1" applyBorder="1" applyAlignment="1" applyProtection="1">
      <alignment horizontal="center" wrapText="1" readingOrder="1"/>
      <protection hidden="1"/>
    </xf>
    <xf numFmtId="0" fontId="48" fillId="10" borderId="5" xfId="0" applyFont="1" applyFill="1" applyBorder="1" applyAlignment="1" applyProtection="1">
      <alignment horizontal="center" wrapText="1" readingOrder="1"/>
      <protection hidden="1"/>
    </xf>
    <xf numFmtId="0" fontId="48" fillId="10" borderId="4" xfId="0" applyFont="1" applyFill="1" applyBorder="1" applyAlignment="1" applyProtection="1">
      <alignment horizontal="center" wrapText="1" readingOrder="1"/>
      <protection hidden="1"/>
    </xf>
    <xf numFmtId="0" fontId="48" fillId="10" borderId="6" xfId="0" applyFont="1" applyFill="1" applyBorder="1" applyAlignment="1" applyProtection="1">
      <alignment horizontal="center" wrapText="1" readingOrder="1"/>
      <protection hidden="1"/>
    </xf>
    <xf numFmtId="0" fontId="48" fillId="10" borderId="7" xfId="0" applyFont="1" applyFill="1" applyBorder="1" applyAlignment="1" applyProtection="1">
      <alignment horizontal="center" wrapText="1" readingOrder="1"/>
      <protection hidden="1"/>
    </xf>
    <xf numFmtId="0" fontId="48" fillId="10" borderId="8" xfId="0" applyFont="1" applyFill="1" applyBorder="1" applyAlignment="1" applyProtection="1">
      <alignment horizontal="center" wrapText="1" readingOrder="1"/>
      <protection hidden="1"/>
    </xf>
    <xf numFmtId="0" fontId="48" fillId="10" borderId="1" xfId="0" applyFont="1" applyFill="1" applyBorder="1" applyAlignment="1" applyProtection="1">
      <alignment horizontal="center" wrapText="1" readingOrder="1"/>
      <protection hidden="1"/>
    </xf>
    <xf numFmtId="0" fontId="48" fillId="10" borderId="2" xfId="0" applyFont="1" applyFill="1" applyBorder="1" applyAlignment="1" applyProtection="1">
      <alignment horizontal="center" wrapText="1" readingOrder="1"/>
      <protection hidden="1"/>
    </xf>
    <xf numFmtId="0" fontId="48" fillId="10" borderId="3" xfId="0" applyFont="1" applyFill="1" applyBorder="1" applyAlignment="1" applyProtection="1">
      <alignment horizontal="center" wrapText="1" readingOrder="1"/>
      <protection hidden="1"/>
    </xf>
    <xf numFmtId="0" fontId="49" fillId="14" borderId="0" xfId="0" applyFont="1" applyFill="1" applyAlignment="1">
      <alignment horizontal="center" vertical="center" wrapText="1" readingOrder="1"/>
    </xf>
    <xf numFmtId="0" fontId="50" fillId="0" borderId="1" xfId="0" applyFont="1" applyBorder="1" applyAlignment="1">
      <alignment horizontal="center" vertical="center" wrapText="1"/>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4" xfId="0" applyFont="1" applyBorder="1" applyAlignment="1">
      <alignment horizontal="center" vertical="center"/>
    </xf>
    <xf numFmtId="0" fontId="50" fillId="0" borderId="0" xfId="0" applyFont="1" applyAlignment="1">
      <alignment horizontal="center" vertical="center"/>
    </xf>
    <xf numFmtId="0" fontId="50" fillId="0" borderId="5" xfId="0" applyFont="1" applyBorder="1" applyAlignment="1">
      <alignment horizontal="center" vertical="center"/>
    </xf>
    <xf numFmtId="0" fontId="50" fillId="0" borderId="6" xfId="0" applyFont="1" applyBorder="1" applyAlignment="1">
      <alignment horizontal="center" vertical="center"/>
    </xf>
    <xf numFmtId="0" fontId="50" fillId="0" borderId="7" xfId="0" applyFont="1" applyBorder="1" applyAlignment="1">
      <alignment horizontal="center" vertical="center"/>
    </xf>
    <xf numFmtId="0" fontId="50" fillId="0" borderId="8" xfId="0" applyFont="1" applyBorder="1" applyAlignment="1">
      <alignment horizontal="center" vertical="center"/>
    </xf>
    <xf numFmtId="0" fontId="50" fillId="0" borderId="0" xfId="0" applyFont="1" applyBorder="1" applyAlignment="1">
      <alignment horizontal="center" vertical="center"/>
    </xf>
    <xf numFmtId="0" fontId="50" fillId="0" borderId="2" xfId="0" applyFont="1" applyBorder="1" applyAlignment="1">
      <alignment horizontal="center" vertical="center" wrapText="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Border="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Border="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Border="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Border="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49" fillId="14" borderId="0" xfId="0" applyFont="1" applyFill="1" applyAlignment="1">
      <alignment horizontal="center" vertical="center" textRotation="90" wrapText="1" readingOrder="1"/>
    </xf>
    <xf numFmtId="0" fontId="49" fillId="14" borderId="5" xfId="0" applyFont="1" applyFill="1" applyBorder="1" applyAlignment="1">
      <alignment horizontal="center" vertical="center" textRotation="90" wrapText="1" readingOrder="1"/>
    </xf>
    <xf numFmtId="0" fontId="53" fillId="0" borderId="1" xfId="0" applyFont="1" applyBorder="1" applyAlignment="1">
      <alignment horizontal="center" vertical="center" wrapText="1"/>
    </xf>
    <xf numFmtId="0" fontId="53" fillId="0" borderId="2" xfId="0" applyFont="1" applyBorder="1" applyAlignment="1">
      <alignment horizontal="center" vertical="center"/>
    </xf>
    <xf numFmtId="0" fontId="53" fillId="0" borderId="3" xfId="0" applyFont="1" applyBorder="1" applyAlignment="1">
      <alignment horizontal="center" vertical="center"/>
    </xf>
    <xf numFmtId="0" fontId="53" fillId="0" borderId="4" xfId="0" applyFont="1" applyBorder="1" applyAlignment="1">
      <alignment horizontal="center" vertical="center"/>
    </xf>
    <xf numFmtId="0" fontId="53" fillId="0" borderId="0" xfId="0" applyFont="1" applyAlignment="1">
      <alignment horizontal="center" vertical="center"/>
    </xf>
    <xf numFmtId="0" fontId="53" fillId="0" borderId="5" xfId="0" applyFont="1" applyBorder="1" applyAlignment="1">
      <alignment horizontal="center" vertical="center"/>
    </xf>
    <xf numFmtId="0" fontId="53" fillId="0" borderId="6" xfId="0" applyFont="1" applyBorder="1" applyAlignment="1">
      <alignment horizontal="center" vertical="center"/>
    </xf>
    <xf numFmtId="0" fontId="53" fillId="0" borderId="7" xfId="0" applyFont="1" applyBorder="1" applyAlignment="1">
      <alignment horizontal="center" vertical="center"/>
    </xf>
    <xf numFmtId="0" fontId="53" fillId="0" borderId="8" xfId="0" applyFont="1" applyBorder="1" applyAlignment="1">
      <alignment horizontal="center" vertical="center"/>
    </xf>
    <xf numFmtId="0" fontId="53" fillId="0" borderId="2" xfId="0" applyFont="1" applyBorder="1" applyAlignment="1">
      <alignment horizontal="center" vertical="center" wrapText="1"/>
    </xf>
    <xf numFmtId="0" fontId="53" fillId="0" borderId="4" xfId="0" applyFont="1" applyBorder="1" applyAlignment="1">
      <alignment horizontal="center" vertical="center" wrapText="1"/>
    </xf>
    <xf numFmtId="0" fontId="53" fillId="0" borderId="0" xfId="0" applyFont="1" applyBorder="1" applyAlignment="1">
      <alignment horizontal="center" vertical="center"/>
    </xf>
    <xf numFmtId="0" fontId="52" fillId="10" borderId="63" xfId="0" applyFont="1" applyFill="1" applyBorder="1" applyAlignment="1">
      <alignment horizontal="center" vertical="center" wrapText="1" readingOrder="1"/>
    </xf>
    <xf numFmtId="0" fontId="52" fillId="10" borderId="64" xfId="0" applyFont="1" applyFill="1" applyBorder="1" applyAlignment="1">
      <alignment horizontal="center" vertical="center" wrapText="1" readingOrder="1"/>
    </xf>
    <xf numFmtId="0" fontId="52" fillId="10" borderId="65" xfId="0" applyFont="1" applyFill="1" applyBorder="1" applyAlignment="1">
      <alignment horizontal="center" vertical="center" wrapText="1" readingOrder="1"/>
    </xf>
    <xf numFmtId="0" fontId="52" fillId="10" borderId="66" xfId="0" applyFont="1" applyFill="1" applyBorder="1" applyAlignment="1">
      <alignment horizontal="center" vertical="center" wrapText="1" readingOrder="1"/>
    </xf>
    <xf numFmtId="0" fontId="52" fillId="10" borderId="0" xfId="0" applyFont="1" applyFill="1" applyBorder="1" applyAlignment="1">
      <alignment horizontal="center" vertical="center" wrapText="1" readingOrder="1"/>
    </xf>
    <xf numFmtId="0" fontId="52" fillId="10" borderId="67" xfId="0" applyFont="1" applyFill="1" applyBorder="1" applyAlignment="1">
      <alignment horizontal="center" vertical="center" wrapText="1" readingOrder="1"/>
    </xf>
    <xf numFmtId="0" fontId="52" fillId="10" borderId="68" xfId="0" applyFont="1" applyFill="1" applyBorder="1" applyAlignment="1">
      <alignment horizontal="center" vertical="center" wrapText="1" readingOrder="1"/>
    </xf>
    <xf numFmtId="0" fontId="52" fillId="10" borderId="69" xfId="0" applyFont="1" applyFill="1" applyBorder="1" applyAlignment="1">
      <alignment horizontal="center" vertical="center" wrapText="1" readingOrder="1"/>
    </xf>
    <xf numFmtId="0" fontId="52" fillId="10" borderId="70" xfId="0" applyFont="1" applyFill="1" applyBorder="1" applyAlignment="1">
      <alignment horizontal="center" vertical="center" wrapText="1" readingOrder="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2" fillId="4" borderId="63" xfId="0" applyFont="1" applyFill="1" applyBorder="1" applyAlignment="1">
      <alignment horizontal="center" vertical="center" wrapText="1" readingOrder="1"/>
    </xf>
    <xf numFmtId="0" fontId="52" fillId="4" borderId="64" xfId="0" applyFont="1" applyFill="1" applyBorder="1" applyAlignment="1">
      <alignment horizontal="center" vertical="center" wrapText="1" readingOrder="1"/>
    </xf>
    <xf numFmtId="0" fontId="52" fillId="4" borderId="65" xfId="0" applyFont="1" applyFill="1" applyBorder="1" applyAlignment="1">
      <alignment horizontal="center" vertical="center" wrapText="1" readingOrder="1"/>
    </xf>
    <xf numFmtId="0" fontId="52" fillId="4" borderId="66" xfId="0" applyFont="1" applyFill="1" applyBorder="1" applyAlignment="1">
      <alignment horizontal="center" vertical="center" wrapText="1" readingOrder="1"/>
    </xf>
    <xf numFmtId="0" fontId="52" fillId="4" borderId="0" xfId="0" applyFont="1" applyFill="1" applyBorder="1" applyAlignment="1">
      <alignment horizontal="center" vertical="center" wrapText="1" readingOrder="1"/>
    </xf>
    <xf numFmtId="0" fontId="52" fillId="4" borderId="67" xfId="0" applyFont="1" applyFill="1" applyBorder="1" applyAlignment="1">
      <alignment horizontal="center" vertical="center" wrapText="1" readingOrder="1"/>
    </xf>
    <xf numFmtId="0" fontId="52" fillId="4" borderId="68" xfId="0" applyFont="1" applyFill="1" applyBorder="1" applyAlignment="1">
      <alignment horizontal="center" vertical="center" wrapText="1" readingOrder="1"/>
    </xf>
    <xf numFmtId="0" fontId="52" fillId="4" borderId="69" xfId="0" applyFont="1" applyFill="1" applyBorder="1" applyAlignment="1">
      <alignment horizontal="center" vertical="center" wrapText="1" readingOrder="1"/>
    </xf>
    <xf numFmtId="0" fontId="52" fillId="4" borderId="70" xfId="0" applyFont="1" applyFill="1" applyBorder="1" applyAlignment="1">
      <alignment horizontal="center" vertical="center" wrapText="1" readingOrder="1"/>
    </xf>
    <xf numFmtId="0" fontId="52" fillId="9" borderId="63" xfId="0" applyFont="1" applyFill="1" applyBorder="1" applyAlignment="1">
      <alignment horizontal="center" vertical="center" wrapText="1" readingOrder="1"/>
    </xf>
    <xf numFmtId="0" fontId="52" fillId="9" borderId="64" xfId="0" applyFont="1" applyFill="1" applyBorder="1" applyAlignment="1">
      <alignment horizontal="center" vertical="center" wrapText="1" readingOrder="1"/>
    </xf>
    <xf numFmtId="0" fontId="52" fillId="9" borderId="65" xfId="0" applyFont="1" applyFill="1" applyBorder="1" applyAlignment="1">
      <alignment horizontal="center" vertical="center" wrapText="1" readingOrder="1"/>
    </xf>
    <xf numFmtId="0" fontId="52" fillId="9" borderId="66" xfId="0" applyFont="1" applyFill="1" applyBorder="1" applyAlignment="1">
      <alignment horizontal="center" vertical="center" wrapText="1" readingOrder="1"/>
    </xf>
    <xf numFmtId="0" fontId="52" fillId="9" borderId="0" xfId="0" applyFont="1" applyFill="1" applyBorder="1" applyAlignment="1">
      <alignment horizontal="center" vertical="center" wrapText="1" readingOrder="1"/>
    </xf>
    <xf numFmtId="0" fontId="52" fillId="9" borderId="67" xfId="0" applyFont="1" applyFill="1" applyBorder="1" applyAlignment="1">
      <alignment horizontal="center" vertical="center" wrapText="1" readingOrder="1"/>
    </xf>
    <xf numFmtId="0" fontId="52" fillId="9" borderId="68" xfId="0" applyFont="1" applyFill="1" applyBorder="1" applyAlignment="1">
      <alignment horizontal="center" vertical="center" wrapText="1" readingOrder="1"/>
    </xf>
    <xf numFmtId="0" fontId="52" fillId="9" borderId="69" xfId="0" applyFont="1" applyFill="1" applyBorder="1" applyAlignment="1">
      <alignment horizontal="center" vertical="center" wrapText="1" readingOrder="1"/>
    </xf>
    <xf numFmtId="0" fontId="52" fillId="9" borderId="70" xfId="0" applyFont="1" applyFill="1" applyBorder="1" applyAlignment="1">
      <alignment horizontal="center" vertical="center" wrapText="1" readingOrder="1"/>
    </xf>
    <xf numFmtId="0" fontId="52" fillId="11" borderId="63" xfId="0" applyFont="1" applyFill="1" applyBorder="1" applyAlignment="1">
      <alignment horizontal="center" vertical="center" wrapText="1" readingOrder="1"/>
    </xf>
    <xf numFmtId="0" fontId="52" fillId="11" borderId="64" xfId="0" applyFont="1" applyFill="1" applyBorder="1" applyAlignment="1">
      <alignment horizontal="center" vertical="center" wrapText="1" readingOrder="1"/>
    </xf>
    <xf numFmtId="0" fontId="52" fillId="11" borderId="65" xfId="0" applyFont="1" applyFill="1" applyBorder="1" applyAlignment="1">
      <alignment horizontal="center" vertical="center" wrapText="1" readingOrder="1"/>
    </xf>
    <xf numFmtId="0" fontId="52" fillId="11" borderId="66" xfId="0" applyFont="1" applyFill="1" applyBorder="1" applyAlignment="1">
      <alignment horizontal="center" vertical="center" wrapText="1" readingOrder="1"/>
    </xf>
    <xf numFmtId="0" fontId="52" fillId="11" borderId="0" xfId="0" applyFont="1" applyFill="1" applyBorder="1" applyAlignment="1">
      <alignment horizontal="center" vertical="center" wrapText="1" readingOrder="1"/>
    </xf>
    <xf numFmtId="0" fontId="52" fillId="11" borderId="67" xfId="0" applyFont="1" applyFill="1" applyBorder="1" applyAlignment="1">
      <alignment horizontal="center" vertical="center" wrapText="1" readingOrder="1"/>
    </xf>
    <xf numFmtId="0" fontId="52" fillId="11" borderId="68" xfId="0" applyFont="1" applyFill="1" applyBorder="1" applyAlignment="1">
      <alignment horizontal="center" vertical="center" wrapText="1" readingOrder="1"/>
    </xf>
    <xf numFmtId="0" fontId="52" fillId="11" borderId="69" xfId="0" applyFont="1" applyFill="1" applyBorder="1" applyAlignment="1">
      <alignment horizontal="center" vertical="center" wrapText="1" readingOrder="1"/>
    </xf>
    <xf numFmtId="0" fontId="52" fillId="11" borderId="70" xfId="0" applyFont="1" applyFill="1" applyBorder="1" applyAlignment="1">
      <alignment horizontal="center" vertical="center" wrapText="1" readingOrder="1"/>
    </xf>
    <xf numFmtId="0" fontId="56" fillId="0" borderId="0" xfId="0" applyFont="1" applyAlignment="1">
      <alignment horizontal="center" vertical="center"/>
    </xf>
    <xf numFmtId="0" fontId="57" fillId="0" borderId="0" xfId="0" applyFont="1" applyAlignment="1">
      <alignment horizontal="center" vertical="center"/>
    </xf>
    <xf numFmtId="0" fontId="58" fillId="12" borderId="42" xfId="0" applyFont="1" applyFill="1" applyBorder="1" applyAlignment="1">
      <alignment horizontal="center" vertical="center" wrapText="1" readingOrder="1"/>
    </xf>
    <xf numFmtId="0" fontId="58" fillId="12" borderId="43" xfId="0" applyFont="1" applyFill="1" applyBorder="1" applyAlignment="1">
      <alignment horizontal="center" vertical="center" wrapText="1" readingOrder="1"/>
    </xf>
    <xf numFmtId="0" fontId="58" fillId="12" borderId="44" xfId="0" applyFont="1" applyFill="1" applyBorder="1" applyAlignment="1">
      <alignment horizontal="center" vertical="center" wrapText="1" readingOrder="1"/>
    </xf>
    <xf numFmtId="0" fontId="59" fillId="2" borderId="0" xfId="0" applyFont="1" applyFill="1" applyBorder="1" applyAlignment="1">
      <alignment horizontal="justify" vertical="center" wrapText="1"/>
    </xf>
    <xf numFmtId="0" fontId="44" fillId="12" borderId="45" xfId="0" applyFont="1" applyFill="1" applyBorder="1" applyAlignment="1">
      <alignment horizontal="center" vertical="center" wrapText="1" readingOrder="1"/>
    </xf>
    <xf numFmtId="0" fontId="44" fillId="12" borderId="18" xfId="0" applyFont="1" applyFill="1" applyBorder="1" applyAlignment="1">
      <alignment horizontal="center" vertical="center" wrapText="1" readingOrder="1"/>
    </xf>
    <xf numFmtId="0" fontId="44" fillId="2" borderId="46" xfId="0" applyFont="1" applyFill="1" applyBorder="1" applyAlignment="1">
      <alignment horizontal="center" vertical="center" wrapText="1" readingOrder="1"/>
    </xf>
    <xf numFmtId="0" fontId="44" fillId="2" borderId="47" xfId="0" applyFont="1" applyFill="1" applyBorder="1" applyAlignment="1">
      <alignment horizontal="center" vertical="center" wrapText="1" readingOrder="1"/>
    </xf>
    <xf numFmtId="0" fontId="44" fillId="2" borderId="12" xfId="0"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4" fillId="2" borderId="48"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60" fillId="2" borderId="103" xfId="0" applyFont="1" applyFill="1" applyBorder="1" applyAlignment="1" applyProtection="1">
      <alignment horizontal="justify" vertical="center" wrapText="1"/>
    </xf>
    <xf numFmtId="0" fontId="60" fillId="2" borderId="102" xfId="0" applyFont="1" applyFill="1" applyBorder="1" applyAlignment="1" applyProtection="1">
      <alignment horizontal="justify" vertical="center" wrapText="1"/>
    </xf>
    <xf numFmtId="0" fontId="60" fillId="2" borderId="104" xfId="0" applyFont="1" applyFill="1" applyBorder="1" applyAlignment="1" applyProtection="1">
      <alignment horizontal="justify" vertical="center" wrapText="1"/>
    </xf>
    <xf numFmtId="0" fontId="61" fillId="2" borderId="105" xfId="0" applyFont="1" applyFill="1" applyBorder="1" applyAlignment="1" applyProtection="1">
      <alignment horizontal="justify" vertical="center"/>
    </xf>
    <xf numFmtId="0" fontId="61" fillId="2" borderId="106" xfId="0" applyFont="1" applyFill="1" applyBorder="1" applyAlignment="1" applyProtection="1">
      <alignment horizontal="justify" vertical="center"/>
    </xf>
    <xf numFmtId="0" fontId="61" fillId="2" borderId="107" xfId="0" applyFont="1" applyFill="1" applyBorder="1" applyAlignment="1" applyProtection="1">
      <alignment horizontal="justify" vertical="center"/>
    </xf>
    <xf numFmtId="0" fontId="47" fillId="2" borderId="108" xfId="0" applyFont="1" applyFill="1" applyBorder="1" applyAlignment="1" applyProtection="1">
      <alignment horizontal="center" vertical="center" wrapText="1"/>
    </xf>
    <xf numFmtId="0" fontId="47" fillId="2" borderId="109" xfId="0" applyFont="1" applyFill="1" applyBorder="1" applyAlignment="1" applyProtection="1">
      <alignment horizontal="center" vertical="center" wrapText="1"/>
    </xf>
    <xf numFmtId="0" fontId="47" fillId="2" borderId="110" xfId="0" applyFont="1" applyFill="1" applyBorder="1" applyAlignment="1" applyProtection="1">
      <alignment horizontal="center" vertical="center" wrapText="1"/>
    </xf>
    <xf numFmtId="0" fontId="26" fillId="0" borderId="3" xfId="0" applyFont="1" applyBorder="1" applyAlignment="1" applyProtection="1">
      <alignment horizontal="center" vertical="center"/>
      <protection locked="0"/>
    </xf>
    <xf numFmtId="0" fontId="26" fillId="0" borderId="5" xfId="0" applyFont="1" applyBorder="1" applyAlignment="1" applyProtection="1">
      <alignment horizontal="center" vertical="center"/>
      <protection locked="0"/>
    </xf>
    <xf numFmtId="0" fontId="26" fillId="0" borderId="8" xfId="0" applyFont="1" applyBorder="1" applyAlignment="1" applyProtection="1">
      <alignment horizontal="center" vertical="center"/>
      <protection locked="0"/>
    </xf>
  </cellXfs>
  <cellStyles count="6">
    <cellStyle name="Hipervínculo" xfId="5" builtinId="8"/>
    <cellStyle name="Normal" xfId="0" builtinId="0"/>
    <cellStyle name="Normal - Style1 2" xfId="1"/>
    <cellStyle name="Normal 2" xfId="2"/>
    <cellStyle name="Normal 2 2" xfId="3"/>
    <cellStyle name="Porcentaje" xfId="4" builtinId="5"/>
  </cellStyles>
  <dxfs count="132">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externalLink" Target="externalLinks/externalLink12.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externalLink" Target="externalLinks/externalLink15.xml"/><Relationship Id="rId10" Type="http://schemas.openxmlformats.org/officeDocument/2006/relationships/worksheet" Target="worksheets/sheet10.xml"/><Relationship Id="rId19" Type="http://schemas.openxmlformats.org/officeDocument/2006/relationships/externalLink" Target="externalLinks/externalLink6.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externalLink" Target="externalLinks/externalLink14.xml"/><Relationship Id="rId30" Type="http://schemas.openxmlformats.org/officeDocument/2006/relationships/theme" Target="theme/theme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276226</xdr:colOff>
      <xdr:row>1</xdr:row>
      <xdr:rowOff>108859</xdr:rowOff>
    </xdr:from>
    <xdr:to>
      <xdr:col>4</xdr:col>
      <xdr:colOff>1200630</xdr:colOff>
      <xdr:row>4</xdr:row>
      <xdr:rowOff>381001</xdr:rowOff>
    </xdr:to>
    <xdr:pic>
      <xdr:nvPicPr>
        <xdr:cNvPr id="3" name="Imagen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7440" y="557895"/>
          <a:ext cx="3142369" cy="1619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1428751</xdr:colOff>
      <xdr:row>2</xdr:row>
      <xdr:rowOff>23813</xdr:rowOff>
    </xdr:from>
    <xdr:to>
      <xdr:col>3</xdr:col>
      <xdr:colOff>1357312</xdr:colOff>
      <xdr:row>6</xdr:row>
      <xdr:rowOff>430</xdr:rowOff>
    </xdr:to>
    <xdr:pic>
      <xdr:nvPicPr>
        <xdr:cNvPr id="4" name="Imagen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1" y="809626"/>
          <a:ext cx="2405061" cy="14053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1428751</xdr:colOff>
      <xdr:row>2</xdr:row>
      <xdr:rowOff>23813</xdr:rowOff>
    </xdr:from>
    <xdr:to>
      <xdr:col>3</xdr:col>
      <xdr:colOff>595312</xdr:colOff>
      <xdr:row>6</xdr:row>
      <xdr:rowOff>430</xdr:rowOff>
    </xdr:to>
    <xdr:pic>
      <xdr:nvPicPr>
        <xdr:cNvPr id="4" name="Imagen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6" y="795338"/>
          <a:ext cx="2414586" cy="14053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1428751</xdr:colOff>
      <xdr:row>2</xdr:row>
      <xdr:rowOff>23813</xdr:rowOff>
    </xdr:from>
    <xdr:to>
      <xdr:col>3</xdr:col>
      <xdr:colOff>595312</xdr:colOff>
      <xdr:row>6</xdr:row>
      <xdr:rowOff>430</xdr:rowOff>
    </xdr:to>
    <xdr:pic>
      <xdr:nvPicPr>
        <xdr:cNvPr id="4" name="Imagen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38776" y="795338"/>
          <a:ext cx="2414586" cy="14053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T%20-%20Mapa%20de%20Riesgos%20Institucional%20-%20Gesti&#243;n%20&#201;tica%20y%20Buen%20Gobiern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T%20-%20Mapa%20de%20Riesgos%20Institucional%20-%20Gesti&#243;n%20Planeaci&#243;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T%20-%20Mapa%20de%20Riesgos%20Institucional%20-%20Gesti&#243;n%20tecnolog&#237;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T%20-%20Mapa%20de%20Riesgos%20Institucional%20-Comunicaciones%20y%20Atenci&#243;n%20al%20Usuari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T%20-%20Mapa%20de%20Riesgos%20Institucional%20-%20Gesti&#243;n%20de%20Apoyo%20Asistencial%20y%20Farmaceutico.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T%20-%20Mapa%20de%20Riesgos%20Institucional%20-%20Gesti&#243;n%20Ambulatoria.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T%20-%20Mapa%20de%20Riesgos%20Institucional%20-%20Gesti&#243;n%20Hospitalaria.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T%20-%20Mapa%20de%20Riesgos%20Institucional%20-%20Gesti&#243;n%20del%20Conocimiento.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T%20-%20Mapa%20de%20Riesgos%20Institucional%20-%20Gesti&#243;n%20Humana.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T%20-%20Mapa%20de%20Riesgos%20Institucional%20-%20Gesti&#243;n%20Jur&#237;dic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T%20-%20Mapa%20de%20Riesgos%20Institucional%20-%20Gesti&#243;n%20Log&#237;stica.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T%20-%20Mapa%20de%20Riesgos%20Institucional%20-%20Gesti&#243;n%20de%20Adquisiciones.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T%20-%20Mapa%20de%20Riesgos%20Institucional%20-%20Gesti&#243;n%20Financiera.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T%20-%20Mapa%20de%20Riesgos%20Institucional%20-%20Gesti&#243;n%20Documental.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T%20-%20Mapa%20de%20Riesgos%20Institucional%20-%20Evaluaci&#243;n,%20mejoramiento%20y%20seguimien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 sheetId="12"/>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110" zoomScaleNormal="110" workbookViewId="0">
      <selection activeCell="E32" sqref="E32:F32"/>
    </sheetView>
  </sheetViews>
  <sheetFormatPr baseColWidth="10" defaultRowHeight="15" x14ac:dyDescent="0.25"/>
  <cols>
    <col min="1" max="1" width="2.85546875" style="72" customWidth="1"/>
    <col min="2" max="3" width="24.7109375" style="72" customWidth="1"/>
    <col min="4" max="4" width="16" style="72" customWidth="1"/>
    <col min="5" max="5" width="24.7109375" style="72" customWidth="1"/>
    <col min="6" max="6" width="27.7109375" style="72" customWidth="1"/>
    <col min="7" max="8" width="24.7109375" style="72" customWidth="1"/>
    <col min="9" max="16384" width="11.42578125" style="72"/>
  </cols>
  <sheetData>
    <row r="1" spans="2:8" ht="15.75" thickBot="1" x14ac:dyDescent="0.3"/>
    <row r="2" spans="2:8" ht="18" x14ac:dyDescent="0.25">
      <c r="B2" s="213" t="s">
        <v>153</v>
      </c>
      <c r="C2" s="214"/>
      <c r="D2" s="214"/>
      <c r="E2" s="214"/>
      <c r="F2" s="214"/>
      <c r="G2" s="214"/>
      <c r="H2" s="215"/>
    </row>
    <row r="3" spans="2:8" x14ac:dyDescent="0.25">
      <c r="B3" s="73"/>
      <c r="C3" s="74"/>
      <c r="D3" s="74"/>
      <c r="E3" s="74"/>
      <c r="F3" s="74"/>
      <c r="G3" s="74"/>
      <c r="H3" s="75"/>
    </row>
    <row r="4" spans="2:8" ht="63" customHeight="1" x14ac:dyDescent="0.25">
      <c r="B4" s="216" t="s">
        <v>196</v>
      </c>
      <c r="C4" s="217"/>
      <c r="D4" s="217"/>
      <c r="E4" s="217"/>
      <c r="F4" s="217"/>
      <c r="G4" s="217"/>
      <c r="H4" s="218"/>
    </row>
    <row r="5" spans="2:8" ht="63" customHeight="1" x14ac:dyDescent="0.25">
      <c r="B5" s="219"/>
      <c r="C5" s="220"/>
      <c r="D5" s="220"/>
      <c r="E5" s="220"/>
      <c r="F5" s="220"/>
      <c r="G5" s="220"/>
      <c r="H5" s="221"/>
    </row>
    <row r="6" spans="2:8" ht="16.5" x14ac:dyDescent="0.25">
      <c r="B6" s="222" t="s">
        <v>151</v>
      </c>
      <c r="C6" s="223"/>
      <c r="D6" s="223"/>
      <c r="E6" s="223"/>
      <c r="F6" s="223"/>
      <c r="G6" s="223"/>
      <c r="H6" s="224"/>
    </row>
    <row r="7" spans="2:8" ht="95.25" customHeight="1" x14ac:dyDescent="0.25">
      <c r="B7" s="232" t="s">
        <v>156</v>
      </c>
      <c r="C7" s="233"/>
      <c r="D7" s="233"/>
      <c r="E7" s="233"/>
      <c r="F7" s="233"/>
      <c r="G7" s="233"/>
      <c r="H7" s="234"/>
    </row>
    <row r="8" spans="2:8" ht="16.5" x14ac:dyDescent="0.25">
      <c r="B8" s="109"/>
      <c r="C8" s="110"/>
      <c r="D8" s="110"/>
      <c r="E8" s="110"/>
      <c r="F8" s="110"/>
      <c r="G8" s="110"/>
      <c r="H8" s="111"/>
    </row>
    <row r="9" spans="2:8" ht="16.5" customHeight="1" x14ac:dyDescent="0.25">
      <c r="B9" s="225" t="s">
        <v>189</v>
      </c>
      <c r="C9" s="226"/>
      <c r="D9" s="226"/>
      <c r="E9" s="226"/>
      <c r="F9" s="226"/>
      <c r="G9" s="226"/>
      <c r="H9" s="227"/>
    </row>
    <row r="10" spans="2:8" ht="44.25" customHeight="1" x14ac:dyDescent="0.25">
      <c r="B10" s="225"/>
      <c r="C10" s="226"/>
      <c r="D10" s="226"/>
      <c r="E10" s="226"/>
      <c r="F10" s="226"/>
      <c r="G10" s="226"/>
      <c r="H10" s="227"/>
    </row>
    <row r="11" spans="2:8" ht="15.75" thickBot="1" x14ac:dyDescent="0.3">
      <c r="B11" s="97"/>
      <c r="C11" s="100"/>
      <c r="D11" s="105"/>
      <c r="E11" s="106"/>
      <c r="F11" s="106"/>
      <c r="G11" s="107"/>
      <c r="H11" s="108"/>
    </row>
    <row r="12" spans="2:8" ht="15.75" thickTop="1" x14ac:dyDescent="0.25">
      <c r="B12" s="97"/>
      <c r="C12" s="228" t="s">
        <v>152</v>
      </c>
      <c r="D12" s="229"/>
      <c r="E12" s="230" t="s">
        <v>190</v>
      </c>
      <c r="F12" s="231"/>
      <c r="G12" s="100"/>
      <c r="H12" s="101"/>
    </row>
    <row r="13" spans="2:8" ht="35.25" customHeight="1" x14ac:dyDescent="0.25">
      <c r="B13" s="97"/>
      <c r="C13" s="235" t="s">
        <v>183</v>
      </c>
      <c r="D13" s="236"/>
      <c r="E13" s="237" t="s">
        <v>188</v>
      </c>
      <c r="F13" s="238"/>
      <c r="G13" s="100"/>
      <c r="H13" s="101"/>
    </row>
    <row r="14" spans="2:8" ht="17.25" customHeight="1" x14ac:dyDescent="0.25">
      <c r="B14" s="97"/>
      <c r="C14" s="235" t="s">
        <v>184</v>
      </c>
      <c r="D14" s="236"/>
      <c r="E14" s="237" t="s">
        <v>186</v>
      </c>
      <c r="F14" s="238"/>
      <c r="G14" s="100"/>
      <c r="H14" s="101"/>
    </row>
    <row r="15" spans="2:8" ht="19.5" customHeight="1" x14ac:dyDescent="0.25">
      <c r="B15" s="97"/>
      <c r="C15" s="235" t="s">
        <v>185</v>
      </c>
      <c r="D15" s="236"/>
      <c r="E15" s="237" t="s">
        <v>187</v>
      </c>
      <c r="F15" s="238"/>
      <c r="G15" s="100"/>
      <c r="H15" s="101"/>
    </row>
    <row r="16" spans="2:8" ht="69.75" customHeight="1" x14ac:dyDescent="0.25">
      <c r="B16" s="97"/>
      <c r="C16" s="235" t="s">
        <v>154</v>
      </c>
      <c r="D16" s="236"/>
      <c r="E16" s="237" t="s">
        <v>155</v>
      </c>
      <c r="F16" s="238"/>
      <c r="G16" s="100"/>
      <c r="H16" s="101"/>
    </row>
    <row r="17" spans="2:8" ht="34.5" customHeight="1" x14ac:dyDescent="0.25">
      <c r="B17" s="97"/>
      <c r="C17" s="239" t="s">
        <v>2</v>
      </c>
      <c r="D17" s="240"/>
      <c r="E17" s="241" t="s">
        <v>197</v>
      </c>
      <c r="F17" s="242"/>
      <c r="G17" s="100"/>
      <c r="H17" s="101"/>
    </row>
    <row r="18" spans="2:8" ht="27.75" customHeight="1" x14ac:dyDescent="0.25">
      <c r="B18" s="97"/>
      <c r="C18" s="239" t="s">
        <v>3</v>
      </c>
      <c r="D18" s="240"/>
      <c r="E18" s="241" t="s">
        <v>198</v>
      </c>
      <c r="F18" s="242"/>
      <c r="G18" s="100"/>
      <c r="H18" s="101"/>
    </row>
    <row r="19" spans="2:8" ht="28.5" customHeight="1" x14ac:dyDescent="0.25">
      <c r="B19" s="97"/>
      <c r="C19" s="239" t="s">
        <v>42</v>
      </c>
      <c r="D19" s="240"/>
      <c r="E19" s="241" t="s">
        <v>199</v>
      </c>
      <c r="F19" s="242"/>
      <c r="G19" s="100"/>
      <c r="H19" s="101"/>
    </row>
    <row r="20" spans="2:8" ht="72.75" customHeight="1" x14ac:dyDescent="0.25">
      <c r="B20" s="97"/>
      <c r="C20" s="239" t="s">
        <v>1</v>
      </c>
      <c r="D20" s="240"/>
      <c r="E20" s="241" t="s">
        <v>200</v>
      </c>
      <c r="F20" s="242"/>
      <c r="G20" s="100"/>
      <c r="H20" s="101"/>
    </row>
    <row r="21" spans="2:8" ht="64.5" customHeight="1" x14ac:dyDescent="0.25">
      <c r="B21" s="97"/>
      <c r="C21" s="239" t="s">
        <v>50</v>
      </c>
      <c r="D21" s="240"/>
      <c r="E21" s="241" t="s">
        <v>158</v>
      </c>
      <c r="F21" s="242"/>
      <c r="G21" s="100"/>
      <c r="H21" s="101"/>
    </row>
    <row r="22" spans="2:8" ht="71.25" customHeight="1" x14ac:dyDescent="0.25">
      <c r="B22" s="97"/>
      <c r="C22" s="239" t="s">
        <v>157</v>
      </c>
      <c r="D22" s="240"/>
      <c r="E22" s="241" t="s">
        <v>159</v>
      </c>
      <c r="F22" s="242"/>
      <c r="G22" s="100"/>
      <c r="H22" s="101"/>
    </row>
    <row r="23" spans="2:8" ht="55.5" customHeight="1" x14ac:dyDescent="0.25">
      <c r="B23" s="97"/>
      <c r="C23" s="246" t="s">
        <v>160</v>
      </c>
      <c r="D23" s="247"/>
      <c r="E23" s="241" t="s">
        <v>161</v>
      </c>
      <c r="F23" s="242"/>
      <c r="G23" s="100"/>
      <c r="H23" s="101"/>
    </row>
    <row r="24" spans="2:8" ht="42" customHeight="1" x14ac:dyDescent="0.25">
      <c r="B24" s="97"/>
      <c r="C24" s="246" t="s">
        <v>48</v>
      </c>
      <c r="D24" s="247"/>
      <c r="E24" s="241" t="s">
        <v>162</v>
      </c>
      <c r="F24" s="242"/>
      <c r="G24" s="100"/>
      <c r="H24" s="101"/>
    </row>
    <row r="25" spans="2:8" ht="59.25" customHeight="1" x14ac:dyDescent="0.25">
      <c r="B25" s="97"/>
      <c r="C25" s="246" t="s">
        <v>150</v>
      </c>
      <c r="D25" s="247"/>
      <c r="E25" s="241" t="s">
        <v>163</v>
      </c>
      <c r="F25" s="242"/>
      <c r="G25" s="100"/>
      <c r="H25" s="101"/>
    </row>
    <row r="26" spans="2:8" ht="23.25" customHeight="1" x14ac:dyDescent="0.25">
      <c r="B26" s="97"/>
      <c r="C26" s="246" t="s">
        <v>12</v>
      </c>
      <c r="D26" s="247"/>
      <c r="E26" s="241" t="s">
        <v>164</v>
      </c>
      <c r="F26" s="242"/>
      <c r="G26" s="100"/>
      <c r="H26" s="101"/>
    </row>
    <row r="27" spans="2:8" ht="30.75" customHeight="1" x14ac:dyDescent="0.25">
      <c r="B27" s="97"/>
      <c r="C27" s="246" t="s">
        <v>168</v>
      </c>
      <c r="D27" s="247"/>
      <c r="E27" s="241" t="s">
        <v>165</v>
      </c>
      <c r="F27" s="242"/>
      <c r="G27" s="100"/>
      <c r="H27" s="101"/>
    </row>
    <row r="28" spans="2:8" ht="35.25" customHeight="1" x14ac:dyDescent="0.25">
      <c r="B28" s="97"/>
      <c r="C28" s="246" t="s">
        <v>169</v>
      </c>
      <c r="D28" s="247"/>
      <c r="E28" s="241" t="s">
        <v>166</v>
      </c>
      <c r="F28" s="242"/>
      <c r="G28" s="100"/>
      <c r="H28" s="101"/>
    </row>
    <row r="29" spans="2:8" ht="33" customHeight="1" x14ac:dyDescent="0.25">
      <c r="B29" s="97"/>
      <c r="C29" s="246" t="s">
        <v>169</v>
      </c>
      <c r="D29" s="247"/>
      <c r="E29" s="241" t="s">
        <v>166</v>
      </c>
      <c r="F29" s="242"/>
      <c r="G29" s="100"/>
      <c r="H29" s="101"/>
    </row>
    <row r="30" spans="2:8" ht="30" customHeight="1" x14ac:dyDescent="0.25">
      <c r="B30" s="97"/>
      <c r="C30" s="246" t="s">
        <v>170</v>
      </c>
      <c r="D30" s="247"/>
      <c r="E30" s="241" t="s">
        <v>167</v>
      </c>
      <c r="F30" s="242"/>
      <c r="G30" s="100"/>
      <c r="H30" s="101"/>
    </row>
    <row r="31" spans="2:8" ht="35.25" customHeight="1" x14ac:dyDescent="0.25">
      <c r="B31" s="97"/>
      <c r="C31" s="246" t="s">
        <v>171</v>
      </c>
      <c r="D31" s="247"/>
      <c r="E31" s="241" t="s">
        <v>172</v>
      </c>
      <c r="F31" s="242"/>
      <c r="G31" s="100"/>
      <c r="H31" s="101"/>
    </row>
    <row r="32" spans="2:8" ht="31.5" customHeight="1" x14ac:dyDescent="0.25">
      <c r="B32" s="97"/>
      <c r="C32" s="246" t="s">
        <v>173</v>
      </c>
      <c r="D32" s="247"/>
      <c r="E32" s="241" t="s">
        <v>174</v>
      </c>
      <c r="F32" s="242"/>
      <c r="G32" s="100"/>
      <c r="H32" s="101"/>
    </row>
    <row r="33" spans="2:8" ht="35.25" customHeight="1" x14ac:dyDescent="0.25">
      <c r="B33" s="97"/>
      <c r="C33" s="246" t="s">
        <v>175</v>
      </c>
      <c r="D33" s="247"/>
      <c r="E33" s="241" t="s">
        <v>176</v>
      </c>
      <c r="F33" s="242"/>
      <c r="G33" s="100"/>
      <c r="H33" s="101"/>
    </row>
    <row r="34" spans="2:8" ht="59.25" customHeight="1" x14ac:dyDescent="0.25">
      <c r="B34" s="97"/>
      <c r="C34" s="246" t="s">
        <v>177</v>
      </c>
      <c r="D34" s="247"/>
      <c r="E34" s="241" t="s">
        <v>178</v>
      </c>
      <c r="F34" s="242"/>
      <c r="G34" s="100"/>
      <c r="H34" s="101"/>
    </row>
    <row r="35" spans="2:8" ht="29.25" customHeight="1" x14ac:dyDescent="0.25">
      <c r="B35" s="97"/>
      <c r="C35" s="246" t="s">
        <v>29</v>
      </c>
      <c r="D35" s="247"/>
      <c r="E35" s="241" t="s">
        <v>179</v>
      </c>
      <c r="F35" s="242"/>
      <c r="G35" s="100"/>
      <c r="H35" s="101"/>
    </row>
    <row r="36" spans="2:8" ht="82.5" customHeight="1" x14ac:dyDescent="0.25">
      <c r="B36" s="97"/>
      <c r="C36" s="246" t="s">
        <v>181</v>
      </c>
      <c r="D36" s="247"/>
      <c r="E36" s="241" t="s">
        <v>180</v>
      </c>
      <c r="F36" s="242"/>
      <c r="G36" s="100"/>
      <c r="H36" s="101"/>
    </row>
    <row r="37" spans="2:8" ht="46.5" customHeight="1" x14ac:dyDescent="0.25">
      <c r="B37" s="97"/>
      <c r="C37" s="246" t="s">
        <v>39</v>
      </c>
      <c r="D37" s="247"/>
      <c r="E37" s="241" t="s">
        <v>182</v>
      </c>
      <c r="F37" s="242"/>
      <c r="G37" s="100"/>
      <c r="H37" s="101"/>
    </row>
    <row r="38" spans="2:8" ht="6.75" customHeight="1" thickBot="1" x14ac:dyDescent="0.3">
      <c r="B38" s="97"/>
      <c r="C38" s="248"/>
      <c r="D38" s="249"/>
      <c r="E38" s="250"/>
      <c r="F38" s="251"/>
      <c r="G38" s="100"/>
      <c r="H38" s="101"/>
    </row>
    <row r="39" spans="2:8" ht="15.75" thickTop="1" x14ac:dyDescent="0.25">
      <c r="B39" s="97"/>
      <c r="C39" s="98"/>
      <c r="D39" s="98"/>
      <c r="E39" s="99"/>
      <c r="F39" s="99"/>
      <c r="G39" s="100"/>
      <c r="H39" s="101"/>
    </row>
    <row r="40" spans="2:8" ht="21" customHeight="1" x14ac:dyDescent="0.25">
      <c r="B40" s="243" t="s">
        <v>191</v>
      </c>
      <c r="C40" s="244"/>
      <c r="D40" s="244"/>
      <c r="E40" s="244"/>
      <c r="F40" s="244"/>
      <c r="G40" s="244"/>
      <c r="H40" s="245"/>
    </row>
    <row r="41" spans="2:8" ht="20.25" customHeight="1" x14ac:dyDescent="0.25">
      <c r="B41" s="243" t="s">
        <v>192</v>
      </c>
      <c r="C41" s="244"/>
      <c r="D41" s="244"/>
      <c r="E41" s="244"/>
      <c r="F41" s="244"/>
      <c r="G41" s="244"/>
      <c r="H41" s="245"/>
    </row>
    <row r="42" spans="2:8" ht="20.25" customHeight="1" x14ac:dyDescent="0.25">
      <c r="B42" s="243" t="s">
        <v>193</v>
      </c>
      <c r="C42" s="244"/>
      <c r="D42" s="244"/>
      <c r="E42" s="244"/>
      <c r="F42" s="244"/>
      <c r="G42" s="244"/>
      <c r="H42" s="245"/>
    </row>
    <row r="43" spans="2:8" ht="20.25" customHeight="1" x14ac:dyDescent="0.25">
      <c r="B43" s="243" t="s">
        <v>194</v>
      </c>
      <c r="C43" s="244"/>
      <c r="D43" s="244"/>
      <c r="E43" s="244"/>
      <c r="F43" s="244"/>
      <c r="G43" s="244"/>
      <c r="H43" s="245"/>
    </row>
    <row r="44" spans="2:8" x14ac:dyDescent="0.25">
      <c r="B44" s="243" t="s">
        <v>195</v>
      </c>
      <c r="C44" s="244"/>
      <c r="D44" s="244"/>
      <c r="E44" s="244"/>
      <c r="F44" s="244"/>
      <c r="G44" s="244"/>
      <c r="H44" s="245"/>
    </row>
    <row r="45" spans="2:8" ht="15.75" thickBot="1" x14ac:dyDescent="0.3">
      <c r="B45" s="102"/>
      <c r="C45" s="103"/>
      <c r="D45" s="103"/>
      <c r="E45" s="103"/>
      <c r="F45" s="103"/>
      <c r="G45" s="103"/>
      <c r="H45" s="104"/>
    </row>
  </sheetData>
  <mergeCells count="64">
    <mergeCell ref="E22:F22"/>
    <mergeCell ref="C22:D22"/>
    <mergeCell ref="E37:F37"/>
    <mergeCell ref="B40:H40"/>
    <mergeCell ref="C29:D29"/>
    <mergeCell ref="E29:F29"/>
    <mergeCell ref="E25:F25"/>
    <mergeCell ref="C28:D28"/>
    <mergeCell ref="E28:F28"/>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filterMode="1">
    <tabColor rgb="FF002060"/>
  </sheetPr>
  <dimension ref="A1:BR537"/>
  <sheetViews>
    <sheetView tabSelected="1" view="pageBreakPreview" zoomScale="55" zoomScaleNormal="55" zoomScaleSheetLayoutView="55" workbookViewId="0">
      <selection activeCell="I19" sqref="I19:I24"/>
    </sheetView>
  </sheetViews>
  <sheetFormatPr baseColWidth="10" defaultRowHeight="16.5" x14ac:dyDescent="0.3"/>
  <cols>
    <col min="1" max="1" width="4" style="162" bestFit="1" customWidth="1"/>
    <col min="2" max="2" width="19.140625" style="163" customWidth="1"/>
    <col min="3" max="3" width="19.140625" style="162" customWidth="1"/>
    <col min="4" max="4" width="14.140625" style="162" customWidth="1"/>
    <col min="5" max="6" width="27" style="162" customWidth="1"/>
    <col min="7" max="7" width="39" style="150" customWidth="1"/>
    <col min="8" max="8" width="19" style="164" customWidth="1"/>
    <col min="9" max="9" width="17.85546875" style="150" customWidth="1"/>
    <col min="10" max="10" width="16.5703125" style="150" customWidth="1"/>
    <col min="11" max="11" width="6.28515625" style="150" bestFit="1" customWidth="1"/>
    <col min="12" max="12" width="27.28515625" style="150" bestFit="1" customWidth="1"/>
    <col min="13" max="13" width="30.5703125" style="150" customWidth="1"/>
    <col min="14" max="14" width="17.5703125" style="150" customWidth="1"/>
    <col min="15" max="15" width="6.28515625" style="150" bestFit="1" customWidth="1"/>
    <col min="16" max="16" width="16" style="150" customWidth="1"/>
    <col min="17" max="17" width="5.85546875" style="150" customWidth="1"/>
    <col min="18" max="18" width="63" style="150" customWidth="1"/>
    <col min="19" max="19" width="15.140625" style="150" bestFit="1" customWidth="1"/>
    <col min="20" max="20" width="6.85546875" style="150" customWidth="1"/>
    <col min="21" max="21" width="5" style="150" customWidth="1"/>
    <col min="22" max="22" width="5.5703125" style="150" customWidth="1"/>
    <col min="23" max="23" width="7.140625" style="150" customWidth="1"/>
    <col min="24" max="24" width="6.7109375" style="150" customWidth="1"/>
    <col min="25" max="25" width="7.5703125" style="150" customWidth="1"/>
    <col min="26" max="26" width="38.28515625" style="150" hidden="1" customWidth="1"/>
    <col min="27" max="27" width="8.7109375" style="150" customWidth="1"/>
    <col min="28" max="28" width="10.42578125" style="150" customWidth="1"/>
    <col min="29" max="29" width="9.28515625" style="150" customWidth="1"/>
    <col min="30" max="30" width="9.140625" style="150" customWidth="1"/>
    <col min="31" max="31" width="8.42578125" style="150" customWidth="1"/>
    <col min="32" max="32" width="7.28515625" style="150" customWidth="1"/>
    <col min="33" max="33" width="23" style="150" hidden="1" customWidth="1"/>
    <col min="34" max="34" width="18.85546875" style="150" hidden="1" customWidth="1"/>
    <col min="35" max="35" width="27.7109375" style="150" hidden="1" customWidth="1"/>
    <col min="36" max="36" width="56.28515625" style="150" customWidth="1"/>
    <col min="37" max="37" width="18.5703125" style="150" hidden="1" customWidth="1"/>
    <col min="38" max="38" width="25.28515625" style="150" hidden="1" customWidth="1"/>
    <col min="39" max="16384" width="11.42578125" style="150"/>
  </cols>
  <sheetData>
    <row r="1" spans="1:70" ht="35.25" customHeight="1" thickBot="1" x14ac:dyDescent="0.35">
      <c r="A1" s="342" t="s">
        <v>405</v>
      </c>
      <c r="B1" s="333"/>
      <c r="C1" s="333"/>
      <c r="D1" s="333"/>
      <c r="E1" s="333"/>
      <c r="F1" s="333"/>
      <c r="G1" s="312" t="s">
        <v>403</v>
      </c>
      <c r="H1" s="313"/>
      <c r="I1" s="313"/>
      <c r="J1" s="313"/>
      <c r="K1" s="313"/>
      <c r="L1" s="313"/>
      <c r="M1" s="313"/>
      <c r="N1" s="313"/>
      <c r="O1" s="313"/>
      <c r="P1" s="313"/>
      <c r="Q1" s="313"/>
      <c r="R1" s="313"/>
      <c r="S1" s="313"/>
      <c r="T1" s="313"/>
      <c r="U1" s="313"/>
      <c r="V1" s="313"/>
      <c r="W1" s="313"/>
      <c r="X1" s="313"/>
      <c r="Y1" s="314"/>
      <c r="Z1" s="315"/>
      <c r="AA1" s="312"/>
      <c r="AB1" s="313"/>
      <c r="AC1" s="313"/>
      <c r="AD1" s="313"/>
      <c r="AE1" s="313"/>
      <c r="AF1" s="314"/>
      <c r="AG1" s="316"/>
      <c r="AH1" s="313"/>
      <c r="AI1" s="317"/>
      <c r="AJ1" s="303" t="s">
        <v>431</v>
      </c>
      <c r="AK1" s="304"/>
      <c r="AL1" s="305"/>
    </row>
    <row r="2" spans="1:70" ht="35.25" customHeight="1" thickBot="1" x14ac:dyDescent="0.35">
      <c r="A2" s="336"/>
      <c r="B2" s="337"/>
      <c r="C2" s="337"/>
      <c r="D2" s="337"/>
      <c r="E2" s="337"/>
      <c r="F2" s="596"/>
      <c r="G2" s="318" t="s">
        <v>404</v>
      </c>
      <c r="H2" s="319"/>
      <c r="I2" s="319"/>
      <c r="J2" s="319"/>
      <c r="K2" s="319"/>
      <c r="L2" s="319"/>
      <c r="M2" s="319"/>
      <c r="N2" s="319"/>
      <c r="O2" s="319"/>
      <c r="P2" s="319"/>
      <c r="Q2" s="319"/>
      <c r="R2" s="319"/>
      <c r="S2" s="319"/>
      <c r="T2" s="319"/>
      <c r="U2" s="319"/>
      <c r="V2" s="319"/>
      <c r="W2" s="319"/>
      <c r="X2" s="319"/>
      <c r="Y2" s="320"/>
      <c r="Z2" s="321"/>
      <c r="AA2" s="318"/>
      <c r="AB2" s="319"/>
      <c r="AC2" s="319"/>
      <c r="AD2" s="319"/>
      <c r="AE2" s="319"/>
      <c r="AF2" s="320"/>
      <c r="AG2" s="322"/>
      <c r="AH2" s="319"/>
      <c r="AI2" s="323"/>
      <c r="AJ2" s="306"/>
      <c r="AK2" s="307"/>
      <c r="AL2" s="308"/>
    </row>
    <row r="3" spans="1:70" ht="35.25" customHeight="1" thickBot="1" x14ac:dyDescent="0.35">
      <c r="A3" s="338"/>
      <c r="B3" s="339"/>
      <c r="C3" s="339"/>
      <c r="D3" s="339"/>
      <c r="E3" s="339"/>
      <c r="F3" s="597"/>
      <c r="G3" s="324"/>
      <c r="H3" s="325"/>
      <c r="I3" s="325"/>
      <c r="J3" s="325"/>
      <c r="K3" s="325"/>
      <c r="L3" s="325"/>
      <c r="M3" s="325"/>
      <c r="N3" s="325"/>
      <c r="O3" s="325"/>
      <c r="P3" s="325"/>
      <c r="Q3" s="325"/>
      <c r="R3" s="325"/>
      <c r="S3" s="325"/>
      <c r="T3" s="325"/>
      <c r="U3" s="325"/>
      <c r="V3" s="325"/>
      <c r="W3" s="325"/>
      <c r="X3" s="325"/>
      <c r="Y3" s="326"/>
      <c r="Z3" s="327"/>
      <c r="AA3" s="324"/>
      <c r="AB3" s="325"/>
      <c r="AC3" s="325"/>
      <c r="AD3" s="325"/>
      <c r="AE3" s="325"/>
      <c r="AF3" s="326"/>
      <c r="AG3" s="328"/>
      <c r="AH3" s="325"/>
      <c r="AI3" s="329"/>
      <c r="AJ3" s="309" t="s">
        <v>429</v>
      </c>
      <c r="AK3" s="310"/>
      <c r="AL3" s="311"/>
    </row>
    <row r="4" spans="1:70" ht="35.25" customHeight="1" thickBot="1" x14ac:dyDescent="0.35">
      <c r="A4" s="338"/>
      <c r="B4" s="339"/>
      <c r="C4" s="339"/>
      <c r="D4" s="339"/>
      <c r="E4" s="339"/>
      <c r="F4" s="597"/>
      <c r="G4" s="312" t="s">
        <v>407</v>
      </c>
      <c r="H4" s="313"/>
      <c r="I4" s="313"/>
      <c r="J4" s="313"/>
      <c r="K4" s="313"/>
      <c r="L4" s="313"/>
      <c r="M4" s="313"/>
      <c r="N4" s="313"/>
      <c r="O4" s="313"/>
      <c r="P4" s="313"/>
      <c r="Q4" s="313"/>
      <c r="R4" s="313"/>
      <c r="S4" s="313"/>
      <c r="T4" s="313"/>
      <c r="U4" s="313"/>
      <c r="V4" s="313"/>
      <c r="W4" s="313"/>
      <c r="X4" s="313"/>
      <c r="Y4" s="314"/>
      <c r="Z4" s="315"/>
      <c r="AA4" s="312"/>
      <c r="AB4" s="313"/>
      <c r="AC4" s="313"/>
      <c r="AD4" s="313"/>
      <c r="AE4" s="313"/>
      <c r="AF4" s="314"/>
      <c r="AG4" s="316"/>
      <c r="AH4" s="313"/>
      <c r="AI4" s="317"/>
      <c r="AJ4" s="309" t="s">
        <v>432</v>
      </c>
      <c r="AK4" s="310"/>
      <c r="AL4" s="311"/>
      <c r="AM4" s="149"/>
      <c r="AN4" s="149"/>
      <c r="AO4" s="149"/>
      <c r="AP4" s="149"/>
      <c r="AQ4" s="149"/>
      <c r="AR4" s="149"/>
      <c r="AS4" s="149"/>
      <c r="AT4" s="149"/>
      <c r="AU4" s="149"/>
      <c r="AV4" s="149"/>
      <c r="AW4" s="149"/>
      <c r="AX4" s="149"/>
      <c r="AY4" s="149"/>
      <c r="AZ4" s="149"/>
      <c r="BA4" s="149"/>
      <c r="BB4" s="149"/>
      <c r="BC4" s="149"/>
      <c r="BD4" s="149"/>
      <c r="BE4" s="149"/>
      <c r="BF4" s="149"/>
      <c r="BG4" s="149"/>
      <c r="BH4" s="149"/>
      <c r="BI4" s="149"/>
      <c r="BJ4" s="149"/>
      <c r="BK4" s="149"/>
      <c r="BL4" s="149"/>
      <c r="BM4" s="149"/>
      <c r="BN4" s="149"/>
      <c r="BO4" s="149"/>
      <c r="BP4" s="149"/>
      <c r="BQ4" s="149"/>
      <c r="BR4" s="149"/>
    </row>
    <row r="5" spans="1:70" ht="35.25" customHeight="1" thickBot="1" x14ac:dyDescent="0.35">
      <c r="A5" s="340"/>
      <c r="B5" s="341"/>
      <c r="C5" s="341"/>
      <c r="D5" s="341"/>
      <c r="E5" s="341"/>
      <c r="F5" s="598"/>
      <c r="G5" s="330" t="s">
        <v>408</v>
      </c>
      <c r="H5" s="331"/>
      <c r="I5" s="331"/>
      <c r="J5" s="331"/>
      <c r="K5" s="331"/>
      <c r="L5" s="331"/>
      <c r="M5" s="331"/>
      <c r="N5" s="331"/>
      <c r="O5" s="331"/>
      <c r="P5" s="331"/>
      <c r="Q5" s="331"/>
      <c r="R5" s="331"/>
      <c r="S5" s="331"/>
      <c r="T5" s="331"/>
      <c r="U5" s="331"/>
      <c r="V5" s="331"/>
      <c r="W5" s="331"/>
      <c r="X5" s="331"/>
      <c r="Y5" s="332"/>
      <c r="Z5" s="333"/>
      <c r="AA5" s="330"/>
      <c r="AB5" s="331"/>
      <c r="AC5" s="331"/>
      <c r="AD5" s="331"/>
      <c r="AE5" s="331"/>
      <c r="AF5" s="332"/>
      <c r="AG5" s="334"/>
      <c r="AH5" s="331"/>
      <c r="AI5" s="335"/>
      <c r="AJ5" s="309" t="s">
        <v>409</v>
      </c>
      <c r="AK5" s="310"/>
      <c r="AL5" s="311"/>
      <c r="AM5" s="149"/>
      <c r="AN5" s="149"/>
      <c r="AO5" s="149"/>
      <c r="AP5" s="149"/>
      <c r="AQ5" s="149"/>
      <c r="AR5" s="149"/>
      <c r="AS5" s="149"/>
      <c r="AT5" s="149"/>
      <c r="AU5" s="149"/>
      <c r="AV5" s="149"/>
      <c r="AW5" s="149"/>
      <c r="AX5" s="149"/>
      <c r="AY5" s="149"/>
      <c r="AZ5" s="149"/>
      <c r="BA5" s="149"/>
      <c r="BB5" s="149"/>
      <c r="BC5" s="149"/>
      <c r="BD5" s="149"/>
      <c r="BE5" s="149"/>
      <c r="BF5" s="149"/>
      <c r="BG5" s="149"/>
      <c r="BH5" s="149"/>
      <c r="BI5" s="149"/>
      <c r="BJ5" s="149"/>
      <c r="BK5" s="149"/>
      <c r="BL5" s="149"/>
      <c r="BM5" s="149"/>
      <c r="BN5" s="149"/>
      <c r="BO5" s="149"/>
      <c r="BP5" s="149"/>
      <c r="BQ5" s="149"/>
      <c r="BR5" s="149"/>
    </row>
    <row r="6" spans="1:70" ht="62.25" customHeight="1" x14ac:dyDescent="0.35">
      <c r="A6" s="595" t="s">
        <v>950</v>
      </c>
      <c r="B6" s="593"/>
      <c r="C6" s="593"/>
      <c r="D6" s="593"/>
      <c r="E6" s="593"/>
      <c r="F6" s="593"/>
      <c r="G6" s="593"/>
      <c r="H6" s="593"/>
      <c r="I6" s="593"/>
      <c r="J6" s="593"/>
      <c r="K6" s="593"/>
      <c r="L6" s="593"/>
      <c r="M6" s="593"/>
      <c r="N6" s="593"/>
      <c r="O6" s="593"/>
      <c r="P6" s="594"/>
      <c r="Q6" s="149"/>
      <c r="R6" s="169"/>
      <c r="S6" s="169"/>
      <c r="T6" s="169"/>
      <c r="U6" s="169"/>
      <c r="V6" s="212"/>
      <c r="W6" s="212"/>
      <c r="X6" s="212"/>
      <c r="Y6" s="212"/>
      <c r="Z6" s="211"/>
      <c r="AA6" s="212"/>
      <c r="AB6" s="212"/>
      <c r="AC6" s="212"/>
      <c r="AD6" s="212"/>
      <c r="AE6" s="212"/>
      <c r="AF6" s="212"/>
      <c r="AG6" s="211"/>
      <c r="AH6" s="211"/>
      <c r="AI6" s="211"/>
      <c r="AJ6" s="212"/>
      <c r="AK6" s="209"/>
      <c r="AL6" s="209"/>
      <c r="AM6" s="149"/>
      <c r="AN6" s="149"/>
      <c r="AO6" s="149"/>
      <c r="AP6" s="149"/>
      <c r="AQ6" s="149"/>
      <c r="AR6" s="149"/>
      <c r="AS6" s="149"/>
      <c r="AT6" s="149"/>
      <c r="AU6" s="149"/>
      <c r="AV6" s="149"/>
      <c r="AW6" s="149"/>
      <c r="AX6" s="149"/>
      <c r="AY6" s="149"/>
      <c r="AZ6" s="149"/>
      <c r="BA6" s="149"/>
      <c r="BB6" s="149"/>
      <c r="BC6" s="149"/>
      <c r="BD6" s="149"/>
      <c r="BE6" s="149"/>
      <c r="BF6" s="149"/>
      <c r="BG6" s="149"/>
      <c r="BH6" s="149"/>
      <c r="BI6" s="149"/>
      <c r="BJ6" s="149"/>
      <c r="BK6" s="149"/>
      <c r="BL6" s="149"/>
      <c r="BM6" s="149"/>
      <c r="BN6" s="149"/>
      <c r="BO6" s="149"/>
      <c r="BP6" s="149"/>
      <c r="BQ6" s="149"/>
      <c r="BR6" s="149"/>
    </row>
    <row r="7" spans="1:70" ht="50.25" customHeight="1" x14ac:dyDescent="0.3">
      <c r="A7" s="343" t="s">
        <v>43</v>
      </c>
      <c r="B7" s="344"/>
      <c r="C7" s="344"/>
      <c r="D7" s="344"/>
      <c r="E7" s="590" t="s">
        <v>433</v>
      </c>
      <c r="F7" s="591"/>
      <c r="G7" s="591"/>
      <c r="H7" s="591"/>
      <c r="I7" s="591"/>
      <c r="J7" s="591"/>
      <c r="K7" s="591"/>
      <c r="L7" s="591"/>
      <c r="M7" s="591"/>
      <c r="N7" s="591"/>
      <c r="O7" s="591"/>
      <c r="P7" s="592"/>
      <c r="Q7" s="355"/>
      <c r="R7" s="355"/>
      <c r="S7" s="355"/>
      <c r="T7" s="149"/>
      <c r="U7" s="149"/>
      <c r="V7" s="149"/>
      <c r="W7" s="149"/>
      <c r="X7" s="149"/>
      <c r="Y7" s="149"/>
      <c r="Z7" s="149"/>
      <c r="AA7" s="149"/>
      <c r="AB7" s="149"/>
      <c r="AC7" s="149"/>
      <c r="AD7" s="149"/>
      <c r="AE7" s="149"/>
      <c r="AF7" s="210"/>
      <c r="AG7" s="149"/>
      <c r="AH7" s="149"/>
      <c r="AI7" s="149"/>
      <c r="AJ7" s="149"/>
      <c r="AK7" s="149"/>
      <c r="AL7" s="149"/>
      <c r="AM7" s="149"/>
      <c r="AN7" s="149"/>
      <c r="AO7" s="149"/>
      <c r="AP7" s="149"/>
      <c r="AQ7" s="149"/>
      <c r="AR7" s="149"/>
      <c r="AS7" s="149"/>
      <c r="AT7" s="149"/>
      <c r="AU7" s="149"/>
      <c r="AV7" s="149"/>
      <c r="AW7" s="149"/>
      <c r="AX7" s="149"/>
      <c r="AY7" s="149"/>
      <c r="AZ7" s="149"/>
      <c r="BA7" s="149"/>
      <c r="BB7" s="149"/>
      <c r="BC7" s="149"/>
      <c r="BD7" s="149"/>
      <c r="BE7" s="149"/>
      <c r="BF7" s="149"/>
      <c r="BG7" s="149"/>
      <c r="BH7" s="149"/>
      <c r="BI7" s="149"/>
      <c r="BJ7" s="149"/>
      <c r="BK7" s="149"/>
      <c r="BL7" s="149"/>
      <c r="BM7" s="149"/>
      <c r="BN7" s="149"/>
      <c r="BO7" s="149"/>
      <c r="BP7" s="149"/>
      <c r="BQ7" s="149"/>
      <c r="BR7" s="149"/>
    </row>
    <row r="8" spans="1:70" ht="50.25" customHeight="1" x14ac:dyDescent="0.3">
      <c r="A8" s="345" t="s">
        <v>128</v>
      </c>
      <c r="B8" s="346"/>
      <c r="C8" s="346"/>
      <c r="D8" s="347"/>
      <c r="E8" s="587" t="s">
        <v>435</v>
      </c>
      <c r="F8" s="588"/>
      <c r="G8" s="588"/>
      <c r="H8" s="588"/>
      <c r="I8" s="588"/>
      <c r="J8" s="588"/>
      <c r="K8" s="588"/>
      <c r="L8" s="588"/>
      <c r="M8" s="588"/>
      <c r="N8" s="588"/>
      <c r="O8" s="588"/>
      <c r="P8" s="589"/>
      <c r="Q8" s="149"/>
      <c r="R8" s="149"/>
      <c r="S8" s="149"/>
      <c r="T8" s="149"/>
      <c r="U8" s="149"/>
      <c r="V8" s="149"/>
      <c r="W8" s="149"/>
      <c r="X8" s="149"/>
      <c r="Y8" s="149"/>
      <c r="Z8" s="149"/>
      <c r="AA8" s="149"/>
      <c r="AB8" s="149"/>
      <c r="AC8" s="149"/>
      <c r="AD8" s="149"/>
      <c r="AE8" s="149"/>
      <c r="AF8" s="149"/>
      <c r="AG8" s="149"/>
      <c r="AH8" s="149"/>
      <c r="AI8" s="149"/>
      <c r="AJ8" s="149"/>
      <c r="AK8" s="149"/>
      <c r="AL8" s="149"/>
      <c r="AM8" s="149"/>
      <c r="AN8" s="149"/>
      <c r="AO8" s="149"/>
      <c r="AP8" s="149"/>
      <c r="AQ8" s="149"/>
      <c r="AR8" s="149"/>
      <c r="AS8" s="149"/>
      <c r="AT8" s="149"/>
      <c r="AU8" s="149"/>
      <c r="AV8" s="149"/>
      <c r="AW8" s="149"/>
      <c r="AX8" s="149"/>
      <c r="AY8" s="149"/>
      <c r="AZ8" s="149"/>
      <c r="BA8" s="149"/>
      <c r="BB8" s="149"/>
      <c r="BC8" s="149"/>
      <c r="BD8" s="149"/>
      <c r="BE8" s="149"/>
      <c r="BF8" s="149"/>
      <c r="BG8" s="149"/>
      <c r="BH8" s="149"/>
      <c r="BI8" s="149"/>
      <c r="BJ8" s="149"/>
      <c r="BK8" s="149"/>
      <c r="BL8" s="149"/>
      <c r="BM8" s="149"/>
      <c r="BN8" s="149"/>
      <c r="BO8" s="149"/>
      <c r="BP8" s="149"/>
      <c r="BQ8" s="149"/>
      <c r="BR8" s="149"/>
    </row>
    <row r="9" spans="1:70" ht="50.25" customHeight="1" x14ac:dyDescent="0.3">
      <c r="A9" s="348" t="s">
        <v>44</v>
      </c>
      <c r="B9" s="349"/>
      <c r="C9" s="349"/>
      <c r="D9" s="350"/>
      <c r="E9" s="352" t="s">
        <v>434</v>
      </c>
      <c r="F9" s="353"/>
      <c r="G9" s="353"/>
      <c r="H9" s="353"/>
      <c r="I9" s="353"/>
      <c r="J9" s="353"/>
      <c r="K9" s="353"/>
      <c r="L9" s="353"/>
      <c r="M9" s="353"/>
      <c r="N9" s="353"/>
      <c r="O9" s="353"/>
      <c r="P9" s="354"/>
      <c r="Q9" s="149"/>
      <c r="R9" s="149"/>
      <c r="S9" s="149"/>
      <c r="T9" s="149"/>
      <c r="U9" s="149"/>
      <c r="V9" s="149"/>
      <c r="W9" s="149"/>
      <c r="X9" s="149"/>
      <c r="Y9" s="149"/>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149"/>
      <c r="AZ9" s="149"/>
      <c r="BA9" s="149"/>
      <c r="BB9" s="149"/>
      <c r="BC9" s="149"/>
      <c r="BD9" s="149"/>
      <c r="BE9" s="149"/>
      <c r="BF9" s="149"/>
      <c r="BG9" s="149"/>
      <c r="BH9" s="149"/>
      <c r="BI9" s="149"/>
      <c r="BJ9" s="149"/>
      <c r="BK9" s="149"/>
      <c r="BL9" s="149"/>
      <c r="BM9" s="149"/>
      <c r="BN9" s="149"/>
      <c r="BO9" s="149"/>
      <c r="BP9" s="149"/>
      <c r="BQ9" s="149"/>
      <c r="BR9" s="149"/>
    </row>
    <row r="10" spans="1:70" s="152" customFormat="1" ht="18" x14ac:dyDescent="0.25">
      <c r="A10" s="253" t="s">
        <v>137</v>
      </c>
      <c r="B10" s="253"/>
      <c r="C10" s="253"/>
      <c r="D10" s="253"/>
      <c r="E10" s="253"/>
      <c r="F10" s="253"/>
      <c r="G10" s="253"/>
      <c r="H10" s="253"/>
      <c r="I10" s="253"/>
      <c r="J10" s="253" t="s">
        <v>138</v>
      </c>
      <c r="K10" s="253"/>
      <c r="L10" s="253"/>
      <c r="M10" s="253"/>
      <c r="N10" s="253"/>
      <c r="O10" s="253"/>
      <c r="P10" s="253"/>
      <c r="Q10" s="252" t="s">
        <v>139</v>
      </c>
      <c r="R10" s="252"/>
      <c r="S10" s="252"/>
      <c r="T10" s="252"/>
      <c r="U10" s="252"/>
      <c r="V10" s="252"/>
      <c r="W10" s="252"/>
      <c r="X10" s="252"/>
      <c r="Y10" s="252"/>
      <c r="Z10" s="252" t="s">
        <v>140</v>
      </c>
      <c r="AA10" s="252"/>
      <c r="AB10" s="252"/>
      <c r="AC10" s="252"/>
      <c r="AD10" s="252"/>
      <c r="AE10" s="252"/>
      <c r="AF10" s="252"/>
      <c r="AG10" s="252" t="s">
        <v>34</v>
      </c>
      <c r="AH10" s="252"/>
      <c r="AI10" s="252"/>
      <c r="AJ10" s="252"/>
      <c r="AK10" s="252"/>
      <c r="AL10" s="252"/>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c r="BI10" s="151"/>
      <c r="BJ10" s="151"/>
      <c r="BK10" s="151"/>
      <c r="BL10" s="151"/>
      <c r="BM10" s="151"/>
      <c r="BN10" s="151"/>
      <c r="BO10" s="151"/>
      <c r="BP10" s="151"/>
      <c r="BQ10" s="151"/>
      <c r="BR10" s="151"/>
    </row>
    <row r="11" spans="1:70" x14ac:dyDescent="0.3">
      <c r="A11" s="351" t="s">
        <v>0</v>
      </c>
      <c r="B11" s="286" t="s">
        <v>183</v>
      </c>
      <c r="C11" s="284" t="s">
        <v>206</v>
      </c>
      <c r="D11" s="284" t="s">
        <v>2</v>
      </c>
      <c r="E11" s="286" t="s">
        <v>3</v>
      </c>
      <c r="F11" s="286" t="s">
        <v>42</v>
      </c>
      <c r="G11" s="284" t="s">
        <v>1</v>
      </c>
      <c r="H11" s="286" t="s">
        <v>50</v>
      </c>
      <c r="I11" s="286" t="s">
        <v>133</v>
      </c>
      <c r="J11" s="286" t="s">
        <v>33</v>
      </c>
      <c r="K11" s="284" t="s">
        <v>5</v>
      </c>
      <c r="L11" s="286" t="s">
        <v>87</v>
      </c>
      <c r="M11" s="286" t="s">
        <v>90</v>
      </c>
      <c r="N11" s="286" t="s">
        <v>45</v>
      </c>
      <c r="O11" s="284" t="s">
        <v>5</v>
      </c>
      <c r="P11" s="286" t="s">
        <v>48</v>
      </c>
      <c r="Q11" s="285" t="s">
        <v>11</v>
      </c>
      <c r="R11" s="286" t="s">
        <v>426</v>
      </c>
      <c r="S11" s="286" t="s">
        <v>12</v>
      </c>
      <c r="T11" s="286" t="s">
        <v>8</v>
      </c>
      <c r="U11" s="286"/>
      <c r="V11" s="286"/>
      <c r="W11" s="286"/>
      <c r="X11" s="286"/>
      <c r="Y11" s="286"/>
      <c r="Z11" s="285" t="s">
        <v>136</v>
      </c>
      <c r="AA11" s="285" t="s">
        <v>46</v>
      </c>
      <c r="AB11" s="285" t="s">
        <v>5</v>
      </c>
      <c r="AC11" s="285" t="s">
        <v>47</v>
      </c>
      <c r="AD11" s="285" t="s">
        <v>5</v>
      </c>
      <c r="AE11" s="285" t="s">
        <v>49</v>
      </c>
      <c r="AF11" s="285" t="s">
        <v>29</v>
      </c>
      <c r="AG11" s="286" t="s">
        <v>34</v>
      </c>
      <c r="AH11" s="286" t="s">
        <v>35</v>
      </c>
      <c r="AI11" s="286" t="s">
        <v>36</v>
      </c>
      <c r="AJ11" s="286" t="s">
        <v>38</v>
      </c>
      <c r="AK11" s="286" t="s">
        <v>37</v>
      </c>
      <c r="AL11" s="286" t="s">
        <v>39</v>
      </c>
      <c r="AM11" s="149"/>
      <c r="AN11" s="149"/>
      <c r="AO11" s="149"/>
      <c r="AP11" s="149"/>
      <c r="AQ11" s="149"/>
      <c r="AR11" s="149"/>
      <c r="AS11" s="149"/>
      <c r="AT11" s="149"/>
      <c r="AU11" s="149"/>
      <c r="AV11" s="149"/>
      <c r="AW11" s="149"/>
      <c r="AX11" s="149"/>
      <c r="AY11" s="149"/>
      <c r="AZ11" s="149"/>
      <c r="BA11" s="149"/>
      <c r="BB11" s="149"/>
      <c r="BC11" s="149"/>
      <c r="BD11" s="149"/>
      <c r="BE11" s="149"/>
      <c r="BF11" s="149"/>
      <c r="BG11" s="149"/>
      <c r="BH11" s="149"/>
      <c r="BI11" s="149"/>
      <c r="BJ11" s="149"/>
      <c r="BK11" s="149"/>
      <c r="BL11" s="149"/>
      <c r="BM11" s="149"/>
      <c r="BN11" s="149"/>
      <c r="BO11" s="149"/>
      <c r="BP11" s="149"/>
      <c r="BQ11" s="149"/>
      <c r="BR11" s="149"/>
    </row>
    <row r="12" spans="1:70" s="154" customFormat="1" ht="78.75" x14ac:dyDescent="0.25">
      <c r="A12" s="351"/>
      <c r="B12" s="286"/>
      <c r="C12" s="284"/>
      <c r="D12" s="284"/>
      <c r="E12" s="286"/>
      <c r="F12" s="286"/>
      <c r="G12" s="284"/>
      <c r="H12" s="286"/>
      <c r="I12" s="286"/>
      <c r="J12" s="286"/>
      <c r="K12" s="284"/>
      <c r="L12" s="286"/>
      <c r="M12" s="286"/>
      <c r="N12" s="284"/>
      <c r="O12" s="284"/>
      <c r="P12" s="286"/>
      <c r="Q12" s="285"/>
      <c r="R12" s="286"/>
      <c r="S12" s="286"/>
      <c r="T12" s="187" t="s">
        <v>13</v>
      </c>
      <c r="U12" s="187" t="s">
        <v>17</v>
      </c>
      <c r="V12" s="187" t="s">
        <v>28</v>
      </c>
      <c r="W12" s="187" t="s">
        <v>18</v>
      </c>
      <c r="X12" s="187" t="s">
        <v>21</v>
      </c>
      <c r="Y12" s="187" t="s">
        <v>24</v>
      </c>
      <c r="Z12" s="285"/>
      <c r="AA12" s="285"/>
      <c r="AB12" s="285"/>
      <c r="AC12" s="285"/>
      <c r="AD12" s="285"/>
      <c r="AE12" s="285"/>
      <c r="AF12" s="285"/>
      <c r="AG12" s="286"/>
      <c r="AH12" s="286"/>
      <c r="AI12" s="286"/>
      <c r="AJ12" s="286"/>
      <c r="AK12" s="286"/>
      <c r="AL12" s="286"/>
      <c r="AM12" s="153"/>
      <c r="AN12" s="153"/>
      <c r="AO12" s="153"/>
      <c r="AP12" s="153"/>
      <c r="AQ12" s="153"/>
      <c r="AR12" s="153"/>
      <c r="AS12" s="153"/>
      <c r="AT12" s="153"/>
      <c r="AU12" s="153"/>
      <c r="AV12" s="153"/>
      <c r="AW12" s="153"/>
      <c r="AX12" s="153"/>
      <c r="AY12" s="153"/>
      <c r="AZ12" s="153"/>
      <c r="BA12" s="153"/>
      <c r="BB12" s="153"/>
      <c r="BC12" s="153"/>
      <c r="BD12" s="153"/>
      <c r="BE12" s="153"/>
      <c r="BF12" s="153"/>
      <c r="BG12" s="153"/>
      <c r="BH12" s="153"/>
      <c r="BI12" s="153"/>
      <c r="BJ12" s="153"/>
      <c r="BK12" s="153"/>
      <c r="BL12" s="153"/>
      <c r="BM12" s="153"/>
      <c r="BN12" s="153"/>
      <c r="BO12" s="153"/>
      <c r="BP12" s="153"/>
      <c r="BQ12" s="153"/>
      <c r="BR12" s="153"/>
    </row>
    <row r="13" spans="1:70" s="200" customFormat="1" ht="64.5" x14ac:dyDescent="0.25">
      <c r="A13" s="266">
        <v>1</v>
      </c>
      <c r="B13" s="290" t="s">
        <v>208</v>
      </c>
      <c r="C13" s="290" t="s">
        <v>447</v>
      </c>
      <c r="D13" s="282" t="s">
        <v>130</v>
      </c>
      <c r="E13" s="282" t="s">
        <v>448</v>
      </c>
      <c r="F13" s="282" t="s">
        <v>449</v>
      </c>
      <c r="G13" s="283" t="s">
        <v>450</v>
      </c>
      <c r="H13" s="267" t="s">
        <v>790</v>
      </c>
      <c r="I13" s="360">
        <v>2500</v>
      </c>
      <c r="J13" s="275" t="str">
        <f>IF(I13&lt;=0,"",IF(I13&lt;=2,"Muy Baja",IF(I13&lt;=24,"Baja",IF(I13&lt;=500,"Media",IF(I13&lt;=5000,"Alta","Muy Alta")))))</f>
        <v>Alta</v>
      </c>
      <c r="K13" s="277">
        <f>IF(J13="","",IF(J13="Muy Baja",0.2,IF(J13="Baja",0.4,IF(J13="Media",0.6,IF(J13="Alta",0.8,IF(J13="Muy Alta",1,))))))</f>
        <v>0.8</v>
      </c>
      <c r="L13" s="277" t="s">
        <v>95</v>
      </c>
      <c r="M13" s="277" t="str">
        <f>IF(NOT(ISERROR(MATCH(L13,'[1]Tabla Impacto'!$B$221:$B$223,0))),'[1]Tabla Impacto'!$F$223&amp;"Por favor no seleccionar los criterios de impacto(Afectación Económica o presupuestal y Pérdida Reputacional)",L13)</f>
        <v>El riesgo afecta la imagen de alguna área de la organización</v>
      </c>
      <c r="N13" s="275" t="str">
        <f>+IF(OR(M13='[1]Tabla Impacto'!$C$11,M13='[1]Tabla Impacto'!$D$11),"Leve",IF(OR(M13='[1]Tabla Impacto'!$C$12,M13='[1]Tabla Impacto'!$D$12),"Menor",IF(OR(M13='[1]Tabla Impacto'!$C$13,M13='[1]Tabla Impacto'!$D$13),"Moderado",IF(OR(M13='[1]Tabla Impacto'!$C$14,M13='[1]Tabla Impacto'!$D$14),"Mayor",IF(OR(M13='[1]Tabla Impacto'!$C$15,M13='[1]Tabla Impacto'!$D$15),"Catastrófico","")))))</f>
        <v>Leve</v>
      </c>
      <c r="O13" s="277">
        <f>IF(N13="","",IF(N13="Leve",0.2,IF(N13="Menor",0.4,IF(N13="Moderado",0.6,IF(N13="Mayor",0.8,IF(N13="Catastrófico",1,))))))</f>
        <v>0.2</v>
      </c>
      <c r="P13" s="279" t="str">
        <f>IF(OR(AND(J13="Muy Baja",N13="Leve"),AND(J13="Muy Baja",N13="Menor"),AND(J13="Baja",N13="Leve")),"Bajo",IF(OR(AND(J13="Muy baja",N13="Moderado"),AND(J13="Baja",N13="Menor"),AND(J13="Baja",N13="Moderado"),AND(J13="Media",N13="Leve"),AND(J13="Media",N13="Menor"),AND(J13="Media",N13="Moderado"),AND(J13="Alta",N13="Leve"),AND(J13="Alta",N13="Menor")),"Moderado",IF(OR(AND(J13="Muy Baja",N13="Mayor"),AND(J13="Baja",N13="Mayor"),AND(J13="Media",N13="Mayor"),AND(J13="Alta",N13="Moderado"),AND(J13="Alta",N13="Mayor"),AND(J13="Muy Alta",N13="Leve"),AND(J13="Muy Alta",N13="Menor"),AND(J13="Muy Alta",N13="Moderado"),AND(J13="Muy Alta",N13="Mayor")),"Alto",IF(OR(AND(J13="Muy Baja",N13="Catastrófico"),AND(J13="Baja",N13="Catastrófico"),AND(J13="Media",N13="Catastrófico"),AND(J13="Alta",N13="Catastrófico"),AND(J13="Muy Alta",N13="Catastrófico")),"Extremo",""))))</f>
        <v>Moderado</v>
      </c>
      <c r="Q13" s="148">
        <v>1</v>
      </c>
      <c r="R13" s="195" t="s">
        <v>445</v>
      </c>
      <c r="S13" s="148" t="str">
        <f>IF(OR(T13="Preventivo",T13="Detectivo"),"Probabilidad",IF(T13="Correctivo","Impacto",""))</f>
        <v>Probabilidad</v>
      </c>
      <c r="T13" s="196" t="s">
        <v>14</v>
      </c>
      <c r="U13" s="196" t="s">
        <v>9</v>
      </c>
      <c r="V13" s="167" t="str">
        <f>IF(AND(T13="Preventivo",U13="Automático"),"50%",IF(AND(T13="Preventivo",U13="Manual"),"40%",IF(AND(T13="Detectivo",U13="Automático"),"40%",IF(AND(T13="Detectivo",U13="Manual"),"30%",IF(AND(T13="Correctivo",U13="Automático"),"35%",IF(AND(T13="Correctivo",U13="Manual"),"25%",""))))))</f>
        <v>40%</v>
      </c>
      <c r="W13" s="196" t="s">
        <v>19</v>
      </c>
      <c r="X13" s="196" t="s">
        <v>22</v>
      </c>
      <c r="Y13" s="196" t="s">
        <v>117</v>
      </c>
      <c r="Z13" s="165">
        <f>IFERROR(IF(S13="Probabilidad",(K13-(+K13*V13)),IF(S13="Impacto",K13,"")),"")</f>
        <v>0.48</v>
      </c>
      <c r="AA13" s="166" t="str">
        <f>IFERROR(IF(Z13="","",IF(Z13&lt;=0.2,"Muy Baja",IF(Z13&lt;=0.4,"Baja",IF(Z13&lt;=0.6,"Media",IF(Z13&lt;=0.8,"Alta","Muy Alta"))))),"")</f>
        <v>Media</v>
      </c>
      <c r="AB13" s="167">
        <f>+Z13</f>
        <v>0.48</v>
      </c>
      <c r="AC13" s="166" t="str">
        <f>IFERROR(IF(AD13="","",IF(AD13&lt;=0.2,"Leve",IF(AD13&lt;=0.4,"Menor",IF(AD13&lt;=0.6,"Moderado",IF(AD13&lt;=0.8,"Mayor","Catastrófico"))))),"")</f>
        <v>Leve</v>
      </c>
      <c r="AD13" s="167">
        <f>IFERROR(IF(S13="Impacto",(O13-(+O13*V13)),IF(S13="Probabilidad",O13,"")),"")</f>
        <v>0.2</v>
      </c>
      <c r="AE13" s="168" t="str">
        <f>IFERROR(IF(OR(AND(AA13="Muy Baja",AC13="Leve"),AND(AA13="Muy Baja",AC13="Menor"),AND(AA13="Baja",AC13="Leve")),"Bajo",IF(OR(AND(AA13="Muy baja",AC13="Moderado"),AND(AA13="Baja",AC13="Menor"),AND(AA13="Baja",AC13="Moderado"),AND(AA13="Media",AC13="Leve"),AND(AA13="Media",AC13="Menor"),AND(AA13="Media",AC13="Moderado"),AND(AA13="Alta",AC13="Leve"),AND(AA13="Alta",AC13="Menor")),"Moderado",IF(OR(AND(AA13="Muy Baja",AC13="Mayor"),AND(AA13="Baja",AC13="Mayor"),AND(AA13="Media",AC13="Mayor"),AND(AA13="Alta",AC13="Moderado"),AND(AA13="Alta",AC13="Mayor"),AND(AA13="Muy Alta",AC13="Leve"),AND(AA13="Muy Alta",AC13="Menor"),AND(AA13="Muy Alta",AC13="Moderado"),AND(AA13="Muy Alta",AC13="Mayor")),"Alto",IF(OR(AND(AA13="Muy Baja",AC13="Catastrófico"),AND(AA13="Baja",AC13="Catastrófico"),AND(AA13="Media",AC13="Catastrófico"),AND(AA13="Alta",AC13="Catastrófico"),AND(AA13="Muy Alta",AC13="Catastrófico")),"Extremo","")))),"")</f>
        <v>Moderado</v>
      </c>
      <c r="AF13" s="196" t="s">
        <v>31</v>
      </c>
      <c r="AG13" s="197"/>
      <c r="AH13" s="148"/>
      <c r="AI13" s="198"/>
      <c r="AJ13" s="198"/>
      <c r="AK13" s="197"/>
      <c r="AL13" s="148"/>
      <c r="AM13" s="199"/>
      <c r="AN13" s="199"/>
      <c r="AO13" s="199"/>
      <c r="AP13" s="199"/>
      <c r="AQ13" s="199"/>
      <c r="AR13" s="199"/>
      <c r="AS13" s="199"/>
      <c r="AT13" s="199"/>
      <c r="AU13" s="199"/>
      <c r="AV13" s="199"/>
      <c r="AW13" s="199"/>
      <c r="AX13" s="199"/>
      <c r="AY13" s="199"/>
      <c r="AZ13" s="199"/>
      <c r="BA13" s="199"/>
      <c r="BB13" s="199"/>
      <c r="BC13" s="199"/>
      <c r="BD13" s="199"/>
      <c r="BE13" s="199"/>
      <c r="BF13" s="199"/>
      <c r="BG13" s="199"/>
      <c r="BH13" s="199"/>
      <c r="BI13" s="199"/>
      <c r="BJ13" s="199"/>
      <c r="BK13" s="199"/>
      <c r="BL13" s="199"/>
      <c r="BM13" s="199"/>
      <c r="BN13" s="199"/>
      <c r="BO13" s="199"/>
      <c r="BP13" s="199"/>
      <c r="BQ13" s="199"/>
      <c r="BR13" s="199"/>
    </row>
    <row r="14" spans="1:70" s="200" customFormat="1" ht="64.5" x14ac:dyDescent="0.25">
      <c r="A14" s="266"/>
      <c r="B14" s="291"/>
      <c r="C14" s="291"/>
      <c r="D14" s="282"/>
      <c r="E14" s="282"/>
      <c r="F14" s="282"/>
      <c r="G14" s="283"/>
      <c r="H14" s="294"/>
      <c r="I14" s="360"/>
      <c r="J14" s="275"/>
      <c r="K14" s="277"/>
      <c r="L14" s="277"/>
      <c r="M14" s="277">
        <f ca="1">IF(NOT(ISERROR(MATCH(L14,_xlfn.ANCHORARRAY(G25),0))),K27&amp;"Por favor no seleccionar los criterios de impacto",L14)</f>
        <v>0</v>
      </c>
      <c r="N14" s="275"/>
      <c r="O14" s="277"/>
      <c r="P14" s="279"/>
      <c r="Q14" s="148">
        <v>2</v>
      </c>
      <c r="R14" s="195" t="s">
        <v>446</v>
      </c>
      <c r="S14" s="148" t="str">
        <f t="shared" ref="S14" si="0">IF(OR(T14="Preventivo",T14="Detectivo"),"Probabilidad",IF(T14="Correctivo","Impacto",""))</f>
        <v>Probabilidad</v>
      </c>
      <c r="T14" s="196" t="s">
        <v>14</v>
      </c>
      <c r="U14" s="196" t="s">
        <v>9</v>
      </c>
      <c r="V14" s="167" t="str">
        <f t="shared" ref="V14" si="1">IF(AND(T14="Preventivo",U14="Automático"),"50%",IF(AND(T14="Preventivo",U14="Manual"),"40%",IF(AND(T14="Detectivo",U14="Automático"),"40%",IF(AND(T14="Detectivo",U14="Manual"),"30%",IF(AND(T14="Correctivo",U14="Automático"),"35%",IF(AND(T14="Correctivo",U14="Manual"),"25%",""))))))</f>
        <v>40%</v>
      </c>
      <c r="W14" s="196" t="s">
        <v>19</v>
      </c>
      <c r="X14" s="196" t="s">
        <v>22</v>
      </c>
      <c r="Y14" s="196" t="s">
        <v>117</v>
      </c>
      <c r="Z14" s="165">
        <f>IFERROR(IF(S14="Probabilidad",(K13-(+K13*V14)),IF(S14="Impacto",K13,"")),"")</f>
        <v>0.48</v>
      </c>
      <c r="AA14" s="166" t="str">
        <f t="shared" ref="AA14" si="2">IFERROR(IF(Z14="","",IF(Z14&lt;=0.2,"Muy Baja",IF(Z14&lt;=0.4,"Baja",IF(Z14&lt;=0.6,"Media",IF(Z14&lt;=0.8,"Alta","Muy Alta"))))),"")</f>
        <v>Media</v>
      </c>
      <c r="AB14" s="167">
        <f t="shared" ref="AB14" si="3">+Z14</f>
        <v>0.48</v>
      </c>
      <c r="AC14" s="166" t="str">
        <f t="shared" ref="AC14" si="4">IFERROR(IF(AD14="","",IF(AD14&lt;=0.2,"Leve",IF(AD14&lt;=0.4,"Menor",IF(AD14&lt;=0.6,"Moderado",IF(AD14&lt;=0.8,"Mayor","Catastrófico"))))),"")</f>
        <v>Leve</v>
      </c>
      <c r="AD14" s="167">
        <f>IFERROR(IF(S14="Impacto",(O13-(+O13*V14)),IF(S14="Probabilidad",O13,"")),"")</f>
        <v>0.2</v>
      </c>
      <c r="AE14" s="168" t="str">
        <f t="shared" ref="AE14" si="5">IFERROR(IF(OR(AND(AA14="Muy Baja",AC14="Leve"),AND(AA14="Muy Baja",AC14="Menor"),AND(AA14="Baja",AC14="Leve")),"Bajo",IF(OR(AND(AA14="Muy baja",AC14="Moderado"),AND(AA14="Baja",AC14="Menor"),AND(AA14="Baja",AC14="Moderado"),AND(AA14="Media",AC14="Leve"),AND(AA14="Media",AC14="Menor"),AND(AA14="Media",AC14="Moderado"),AND(AA14="Alta",AC14="Leve"),AND(AA14="Alta",AC14="Menor")),"Moderado",IF(OR(AND(AA14="Muy Baja",AC14="Mayor"),AND(AA14="Baja",AC14="Mayor"),AND(AA14="Media",AC14="Mayor"),AND(AA14="Alta",AC14="Moderado"),AND(AA14="Alta",AC14="Mayor"),AND(AA14="Muy Alta",AC14="Leve"),AND(AA14="Muy Alta",AC14="Menor"),AND(AA14="Muy Alta",AC14="Moderado"),AND(AA14="Muy Alta",AC14="Mayor")),"Alto",IF(OR(AND(AA14="Muy Baja",AC14="Catastrófico"),AND(AA14="Baja",AC14="Catastrófico"),AND(AA14="Media",AC14="Catastrófico"),AND(AA14="Alta",AC14="Catastrófico"),AND(AA14="Muy Alta",AC14="Catastrófico")),"Extremo","")))),"")</f>
        <v>Moderado</v>
      </c>
      <c r="AF14" s="196" t="s">
        <v>31</v>
      </c>
      <c r="AG14" s="197"/>
      <c r="AH14" s="148"/>
      <c r="AI14" s="198"/>
      <c r="AJ14" s="198"/>
      <c r="AK14" s="197"/>
      <c r="AL14" s="148"/>
      <c r="AM14" s="199"/>
      <c r="AN14" s="199"/>
      <c r="AO14" s="199"/>
      <c r="AP14" s="199"/>
      <c r="AQ14" s="199"/>
      <c r="AR14" s="199"/>
      <c r="AS14" s="199"/>
      <c r="AT14" s="199"/>
      <c r="AU14" s="199"/>
      <c r="AV14" s="199"/>
      <c r="AW14" s="199"/>
      <c r="AX14" s="199"/>
      <c r="AY14" s="199"/>
      <c r="AZ14" s="199"/>
      <c r="BA14" s="199"/>
      <c r="BB14" s="199"/>
      <c r="BC14" s="199"/>
      <c r="BD14" s="199"/>
      <c r="BE14" s="199"/>
      <c r="BF14" s="199"/>
      <c r="BG14" s="199"/>
      <c r="BH14" s="199"/>
      <c r="BI14" s="199"/>
      <c r="BJ14" s="199"/>
      <c r="BK14" s="199"/>
      <c r="BL14" s="199"/>
      <c r="BM14" s="199"/>
      <c r="BN14" s="199"/>
      <c r="BO14" s="199"/>
      <c r="BP14" s="199"/>
      <c r="BQ14" s="199"/>
      <c r="BR14" s="199"/>
    </row>
    <row r="15" spans="1:70" s="156" customFormat="1" ht="16.5" hidden="1" customHeight="1" x14ac:dyDescent="0.25">
      <c r="A15" s="266"/>
      <c r="B15" s="292"/>
      <c r="C15" s="292"/>
      <c r="D15" s="282"/>
      <c r="E15" s="282"/>
      <c r="F15" s="282"/>
      <c r="G15" s="283"/>
      <c r="H15" s="268"/>
      <c r="I15" s="361"/>
      <c r="J15" s="276"/>
      <c r="K15" s="278"/>
      <c r="L15" s="278"/>
      <c r="M15" s="278">
        <f ca="1">IF(NOT(ISERROR(MATCH(L15,_xlfn.ANCHORARRAY(G26),0))),K28&amp;"Por favor no seleccionar los criterios de impacto",L15)</f>
        <v>0</v>
      </c>
      <c r="N15" s="276"/>
      <c r="O15" s="278"/>
      <c r="P15" s="280"/>
      <c r="Q15" s="148">
        <v>3</v>
      </c>
      <c r="R15" s="112"/>
      <c r="S15" s="148"/>
      <c r="T15" s="113"/>
      <c r="U15" s="113"/>
      <c r="V15" s="167"/>
      <c r="W15" s="113"/>
      <c r="X15" s="113"/>
      <c r="Y15" s="113"/>
      <c r="Z15" s="165"/>
      <c r="AA15" s="166"/>
      <c r="AB15" s="167"/>
      <c r="AC15" s="166"/>
      <c r="AD15" s="167"/>
      <c r="AE15" s="168"/>
      <c r="AF15" s="113"/>
      <c r="AG15" s="191"/>
      <c r="AH15" s="192"/>
      <c r="AI15" s="114"/>
      <c r="AJ15" s="114"/>
      <c r="AK15" s="191"/>
      <c r="AL15" s="192"/>
      <c r="AM15" s="155"/>
      <c r="AN15" s="155"/>
      <c r="AO15" s="155"/>
      <c r="AP15" s="155"/>
      <c r="AQ15" s="155"/>
      <c r="AR15" s="155"/>
      <c r="AS15" s="155"/>
      <c r="AT15" s="155"/>
      <c r="AU15" s="155"/>
      <c r="AV15" s="155"/>
      <c r="AW15" s="155"/>
      <c r="AX15" s="155"/>
      <c r="AY15" s="155"/>
      <c r="AZ15" s="155"/>
      <c r="BA15" s="155"/>
      <c r="BB15" s="155"/>
      <c r="BC15" s="155"/>
      <c r="BD15" s="155"/>
      <c r="BE15" s="155"/>
      <c r="BF15" s="155"/>
      <c r="BG15" s="155"/>
      <c r="BH15" s="155"/>
      <c r="BI15" s="155"/>
      <c r="BJ15" s="155"/>
      <c r="BK15" s="155"/>
      <c r="BL15" s="155"/>
      <c r="BM15" s="155"/>
      <c r="BN15" s="155"/>
      <c r="BO15" s="155"/>
      <c r="BP15" s="155"/>
      <c r="BQ15" s="155"/>
      <c r="BR15" s="155"/>
    </row>
    <row r="16" spans="1:70" s="156" customFormat="1" ht="16.5" hidden="1" customHeight="1" x14ac:dyDescent="0.25">
      <c r="A16" s="266"/>
      <c r="B16" s="292"/>
      <c r="C16" s="292"/>
      <c r="D16" s="282"/>
      <c r="E16" s="282"/>
      <c r="F16" s="282"/>
      <c r="G16" s="283"/>
      <c r="H16" s="268"/>
      <c r="I16" s="361"/>
      <c r="J16" s="276"/>
      <c r="K16" s="278"/>
      <c r="L16" s="278"/>
      <c r="M16" s="278">
        <f ca="1">IF(NOT(ISERROR(MATCH(L16,_xlfn.ANCHORARRAY(G27),0))),K29&amp;"Por favor no seleccionar los criterios de impacto",L16)</f>
        <v>0</v>
      </c>
      <c r="N16" s="276"/>
      <c r="O16" s="278"/>
      <c r="P16" s="280"/>
      <c r="Q16" s="148">
        <v>4</v>
      </c>
      <c r="R16" s="112"/>
      <c r="S16" s="148"/>
      <c r="T16" s="113"/>
      <c r="U16" s="113"/>
      <c r="V16" s="167"/>
      <c r="W16" s="113"/>
      <c r="X16" s="113"/>
      <c r="Y16" s="113"/>
      <c r="Z16" s="165"/>
      <c r="AA16" s="166"/>
      <c r="AB16" s="167"/>
      <c r="AC16" s="166"/>
      <c r="AD16" s="167"/>
      <c r="AE16" s="168"/>
      <c r="AF16" s="113"/>
      <c r="AG16" s="191"/>
      <c r="AH16" s="192"/>
      <c r="AI16" s="114"/>
      <c r="AJ16" s="114"/>
      <c r="AK16" s="191"/>
      <c r="AL16" s="192"/>
      <c r="AM16" s="155"/>
      <c r="AN16" s="155"/>
      <c r="AO16" s="155"/>
      <c r="AP16" s="155"/>
      <c r="AQ16" s="155"/>
      <c r="AR16" s="155"/>
      <c r="AS16" s="155"/>
      <c r="AT16" s="155"/>
      <c r="AU16" s="155"/>
      <c r="AV16" s="155"/>
      <c r="AW16" s="155"/>
      <c r="AX16" s="155"/>
      <c r="AY16" s="155"/>
      <c r="AZ16" s="155"/>
      <c r="BA16" s="155"/>
      <c r="BB16" s="155"/>
      <c r="BC16" s="155"/>
      <c r="BD16" s="155"/>
      <c r="BE16" s="155"/>
      <c r="BF16" s="155"/>
      <c r="BG16" s="155"/>
      <c r="BH16" s="155"/>
      <c r="BI16" s="155"/>
      <c r="BJ16" s="155"/>
      <c r="BK16" s="155"/>
      <c r="BL16" s="155"/>
      <c r="BM16" s="155"/>
      <c r="BN16" s="155"/>
      <c r="BO16" s="155"/>
      <c r="BP16" s="155"/>
      <c r="BQ16" s="155"/>
      <c r="BR16" s="155"/>
    </row>
    <row r="17" spans="1:70" s="156" customFormat="1" ht="16.5" hidden="1" customHeight="1" x14ac:dyDescent="0.25">
      <c r="A17" s="266"/>
      <c r="B17" s="292"/>
      <c r="C17" s="292"/>
      <c r="D17" s="282"/>
      <c r="E17" s="282"/>
      <c r="F17" s="282"/>
      <c r="G17" s="283"/>
      <c r="H17" s="268"/>
      <c r="I17" s="361"/>
      <c r="J17" s="276"/>
      <c r="K17" s="278"/>
      <c r="L17" s="278"/>
      <c r="M17" s="278">
        <f ca="1">IF(NOT(ISERROR(MATCH(L17,_xlfn.ANCHORARRAY(G28),0))),K30&amp;"Por favor no seleccionar los criterios de impacto",L17)</f>
        <v>0</v>
      </c>
      <c r="N17" s="276"/>
      <c r="O17" s="278"/>
      <c r="P17" s="280"/>
      <c r="Q17" s="148">
        <v>5</v>
      </c>
      <c r="R17" s="112"/>
      <c r="S17" s="148"/>
      <c r="T17" s="113"/>
      <c r="U17" s="113"/>
      <c r="V17" s="167"/>
      <c r="W17" s="113"/>
      <c r="X17" s="113"/>
      <c r="Y17" s="113"/>
      <c r="Z17" s="165"/>
      <c r="AA17" s="166"/>
      <c r="AB17" s="167"/>
      <c r="AC17" s="166"/>
      <c r="AD17" s="167"/>
      <c r="AE17" s="168"/>
      <c r="AF17" s="113"/>
      <c r="AG17" s="191"/>
      <c r="AH17" s="192"/>
      <c r="AI17" s="114"/>
      <c r="AJ17" s="114"/>
      <c r="AK17" s="191"/>
      <c r="AL17" s="192"/>
      <c r="AM17" s="155"/>
      <c r="AN17" s="155"/>
      <c r="AO17" s="155"/>
      <c r="AP17" s="155"/>
      <c r="AQ17" s="155"/>
      <c r="AR17" s="155"/>
      <c r="AS17" s="155"/>
      <c r="AT17" s="155"/>
      <c r="AU17" s="155"/>
      <c r="AV17" s="155"/>
      <c r="AW17" s="155"/>
      <c r="AX17" s="155"/>
      <c r="AY17" s="155"/>
      <c r="AZ17" s="155"/>
      <c r="BA17" s="155"/>
      <c r="BB17" s="155"/>
      <c r="BC17" s="155"/>
      <c r="BD17" s="155"/>
      <c r="BE17" s="155"/>
      <c r="BF17" s="155"/>
      <c r="BG17" s="155"/>
      <c r="BH17" s="155"/>
      <c r="BI17" s="155"/>
      <c r="BJ17" s="155"/>
      <c r="BK17" s="155"/>
      <c r="BL17" s="155"/>
      <c r="BM17" s="155"/>
      <c r="BN17" s="155"/>
      <c r="BO17" s="155"/>
      <c r="BP17" s="155"/>
      <c r="BQ17" s="155"/>
      <c r="BR17" s="155"/>
    </row>
    <row r="18" spans="1:70" s="156" customFormat="1" ht="16.5" hidden="1" customHeight="1" x14ac:dyDescent="0.25">
      <c r="A18" s="266"/>
      <c r="B18" s="293"/>
      <c r="C18" s="293"/>
      <c r="D18" s="282"/>
      <c r="E18" s="282"/>
      <c r="F18" s="282"/>
      <c r="G18" s="283"/>
      <c r="H18" s="269"/>
      <c r="I18" s="361"/>
      <c r="J18" s="276"/>
      <c r="K18" s="278"/>
      <c r="L18" s="278"/>
      <c r="M18" s="278">
        <f ca="1">IF(NOT(ISERROR(MATCH(L18,_xlfn.ANCHORARRAY(G29),0))),K31&amp;"Por favor no seleccionar los criterios de impacto",L18)</f>
        <v>0</v>
      </c>
      <c r="N18" s="276"/>
      <c r="O18" s="278"/>
      <c r="P18" s="280"/>
      <c r="Q18" s="148">
        <v>6</v>
      </c>
      <c r="R18" s="112"/>
      <c r="S18" s="148"/>
      <c r="T18" s="113"/>
      <c r="U18" s="113"/>
      <c r="V18" s="167"/>
      <c r="W18" s="113"/>
      <c r="X18" s="113"/>
      <c r="Y18" s="113"/>
      <c r="Z18" s="165"/>
      <c r="AA18" s="166"/>
      <c r="AB18" s="167"/>
      <c r="AC18" s="166"/>
      <c r="AD18" s="167"/>
      <c r="AE18" s="168"/>
      <c r="AF18" s="113"/>
      <c r="AG18" s="191"/>
      <c r="AH18" s="192"/>
      <c r="AI18" s="114"/>
      <c r="AJ18" s="114"/>
      <c r="AK18" s="191"/>
      <c r="AL18" s="192"/>
      <c r="AM18" s="155"/>
      <c r="AN18" s="155"/>
      <c r="AO18" s="155"/>
      <c r="AP18" s="155"/>
      <c r="AQ18" s="155"/>
      <c r="AR18" s="155"/>
      <c r="AS18" s="155"/>
      <c r="AT18" s="155"/>
      <c r="AU18" s="155"/>
      <c r="AV18" s="155"/>
      <c r="AW18" s="155"/>
      <c r="AX18" s="155"/>
      <c r="AY18" s="155"/>
      <c r="AZ18" s="155"/>
      <c r="BA18" s="155"/>
      <c r="BB18" s="155"/>
      <c r="BC18" s="155"/>
      <c r="BD18" s="155"/>
      <c r="BE18" s="155"/>
      <c r="BF18" s="155"/>
      <c r="BG18" s="155"/>
      <c r="BH18" s="155"/>
      <c r="BI18" s="155"/>
      <c r="BJ18" s="155"/>
      <c r="BK18" s="155"/>
      <c r="BL18" s="155"/>
      <c r="BM18" s="155"/>
      <c r="BN18" s="155"/>
      <c r="BO18" s="155"/>
      <c r="BP18" s="155"/>
      <c r="BQ18" s="155"/>
      <c r="BR18" s="155"/>
    </row>
    <row r="19" spans="1:70" s="156" customFormat="1" ht="132" customHeight="1" x14ac:dyDescent="0.25">
      <c r="A19" s="266">
        <v>2</v>
      </c>
      <c r="B19" s="267" t="s">
        <v>208</v>
      </c>
      <c r="C19" s="267" t="s">
        <v>451</v>
      </c>
      <c r="D19" s="267" t="s">
        <v>132</v>
      </c>
      <c r="E19" s="267" t="s">
        <v>452</v>
      </c>
      <c r="F19" s="267" t="s">
        <v>453</v>
      </c>
      <c r="G19" s="295" t="s">
        <v>454</v>
      </c>
      <c r="H19" s="267" t="s">
        <v>437</v>
      </c>
      <c r="I19" s="299">
        <v>5000</v>
      </c>
      <c r="J19" s="254" t="str">
        <f>IF(I19&lt;=0,"",IF(I19&lt;=2,"Muy Baja",IF(I19&lt;=24,"Baja",IF(I19&lt;=500,"Media",IF(I19&lt;=5000,"Alta","Muy Alta")))))</f>
        <v>Alta</v>
      </c>
      <c r="K19" s="258">
        <f>IF(J19="","",IF(J19="Muy Baja",0.2,IF(J19="Baja",0.4,IF(J19="Media",0.6,IF(J19="Alta",0.8,IF(J19="Muy Alta",1,))))))</f>
        <v>0.8</v>
      </c>
      <c r="L19" s="262" t="s">
        <v>96</v>
      </c>
      <c r="M19" s="258" t="str">
        <f>IF(NOT(ISERROR(MATCH(L19,'[1]Tabla Impacto'!$B$221:$B$223,0))),'[1]Tabla Impacto'!$F$223&amp;"Por favor no seleccionar los criterios de impacto(Afectación Económica o presupuestal y Pérdida Reputacional)",L19)</f>
        <v>El riesgo afecta la imagen de la entidad internamente, de conocimiento general, nivel interno, de junta dircetiva y accionistas y/o de provedores</v>
      </c>
      <c r="N19" s="254" t="str">
        <f>+IF(OR(M19='[1]Tabla Impacto'!$C$11,M19='[1]Tabla Impacto'!$D$11),"Leve",IF(OR(M19='[1]Tabla Impacto'!$C$12,M19='[1]Tabla Impacto'!$D$12),"Menor",IF(OR(M19='[1]Tabla Impacto'!$C$13,M19='[1]Tabla Impacto'!$D$13),"Moderado",IF(OR(M19='[1]Tabla Impacto'!$C$14,M19='[1]Tabla Impacto'!$D$14),"Mayor",IF(OR(M19='[1]Tabla Impacto'!$C$15,M19='[1]Tabla Impacto'!$D$15),"Catastrófico","")))))</f>
        <v>Menor</v>
      </c>
      <c r="O19" s="258">
        <f>IF(N19="","",IF(N19="Leve",0.2,IF(N19="Menor",0.4,IF(N19="Moderado",0.6,IF(N19="Mayor",0.8,IF(N19="Catastrófico",1,))))))</f>
        <v>0.4</v>
      </c>
      <c r="P19" s="356" t="str">
        <f>IF(OR(AND(J19="Muy Baja",N19="Leve"),AND(J19="Muy Baja",N19="Menor"),AND(J19="Baja",N19="Leve")),"Bajo",IF(OR(AND(J19="Muy baja",N19="Moderado"),AND(J19="Baja",N19="Menor"),AND(J19="Baja",N19="Moderado"),AND(J19="Media",N19="Leve"),AND(J19="Media",N19="Menor"),AND(J19="Media",N19="Moderado"),AND(J19="Alta",N19="Leve"),AND(J19="Alta",N19="Menor")),"Moderado",IF(OR(AND(J19="Muy Baja",N19="Mayor"),AND(J19="Baja",N19="Mayor"),AND(J19="Media",N19="Mayor"),AND(J19="Alta",N19="Moderado"),AND(J19="Alta",N19="Mayor"),AND(J19="Muy Alta",N19="Leve"),AND(J19="Muy Alta",N19="Menor"),AND(J19="Muy Alta",N19="Moderado"),AND(J19="Muy Alta",N19="Mayor")),"Alto",IF(OR(AND(J19="Muy Baja",N19="Catastrófico"),AND(J19="Baja",N19="Catastrófico"),AND(J19="Media",N19="Catastrófico"),AND(J19="Alta",N19="Catastrófico"),AND(J19="Muy Alta",N19="Catastrófico")),"Extremo",""))))</f>
        <v>Moderado</v>
      </c>
      <c r="Q19" s="148">
        <v>1</v>
      </c>
      <c r="R19" s="112" t="s">
        <v>455</v>
      </c>
      <c r="S19" s="148" t="str">
        <f t="shared" ref="S19:S20" si="6">IF(OR(T19="Preventivo",T19="Detectivo"),"Probabilidad",IF(T19="Correctivo","Impacto",""))</f>
        <v>Probabilidad</v>
      </c>
      <c r="T19" s="113" t="s">
        <v>14</v>
      </c>
      <c r="U19" s="113" t="s">
        <v>9</v>
      </c>
      <c r="V19" s="167" t="str">
        <f t="shared" ref="V19:V20" si="7">IF(AND(T19="Preventivo",U19="Automático"),"50%",IF(AND(T19="Preventivo",U19="Manual"),"40%",IF(AND(T19="Detectivo",U19="Automático"),"40%",IF(AND(T19="Detectivo",U19="Manual"),"30%",IF(AND(T19="Correctivo",U19="Automático"),"35%",IF(AND(T19="Correctivo",U19="Manual"),"25%",""))))))</f>
        <v>40%</v>
      </c>
      <c r="W19" s="113" t="s">
        <v>19</v>
      </c>
      <c r="X19" s="113" t="s">
        <v>22</v>
      </c>
      <c r="Y19" s="113" t="s">
        <v>117</v>
      </c>
      <c r="Z19" s="165">
        <f t="shared" ref="Z19" si="8">IFERROR(IF(S19="Probabilidad",(K19-(+K19*V19)),IF(S19="Impacto",K19,"")),"")</f>
        <v>0.48</v>
      </c>
      <c r="AA19" s="166" t="str">
        <f t="shared" ref="AA19:AA20" si="9">IFERROR(IF(Z19="","",IF(Z19&lt;=0.2,"Muy Baja",IF(Z19&lt;=0.4,"Baja",IF(Z19&lt;=0.6,"Media",IF(Z19&lt;=0.8,"Alta","Muy Alta"))))),"")</f>
        <v>Media</v>
      </c>
      <c r="AB19" s="167">
        <f t="shared" ref="AB19:AB20" si="10">+Z19</f>
        <v>0.48</v>
      </c>
      <c r="AC19" s="166" t="str">
        <f t="shared" ref="AC19:AC20" si="11">IFERROR(IF(AD19="","",IF(AD19&lt;=0.2,"Leve",IF(AD19&lt;=0.4,"Menor",IF(AD19&lt;=0.6,"Moderado",IF(AD19&lt;=0.8,"Mayor","Catastrófico"))))),"")</f>
        <v>Menor</v>
      </c>
      <c r="AD19" s="167">
        <f t="shared" ref="AD19" si="12">IFERROR(IF(S19="Impacto",(O19-(+O19*V19)),IF(S19="Probabilidad",O19,"")),"")</f>
        <v>0.4</v>
      </c>
      <c r="AE19" s="168" t="str">
        <f t="shared" ref="AE19:AE20" si="13">IFERROR(IF(OR(AND(AA19="Muy Baja",AC19="Leve"),AND(AA19="Muy Baja",AC19="Menor"),AND(AA19="Baja",AC19="Leve")),"Bajo",IF(OR(AND(AA19="Muy baja",AC19="Moderado"),AND(AA19="Baja",AC19="Menor"),AND(AA19="Baja",AC19="Moderado"),AND(AA19="Media",AC19="Leve"),AND(AA19="Media",AC19="Menor"),AND(AA19="Media",AC19="Moderado"),AND(AA19="Alta",AC19="Leve"),AND(AA19="Alta",AC19="Menor")),"Moderado",IF(OR(AND(AA19="Muy Baja",AC19="Mayor"),AND(AA19="Baja",AC19="Mayor"),AND(AA19="Media",AC19="Mayor"),AND(AA19="Alta",AC19="Moderado"),AND(AA19="Alta",AC19="Mayor"),AND(AA19="Muy Alta",AC19="Leve"),AND(AA19="Muy Alta",AC19="Menor"),AND(AA19="Muy Alta",AC19="Moderado"),AND(AA19="Muy Alta",AC19="Mayor")),"Alto",IF(OR(AND(AA19="Muy Baja",AC19="Catastrófico"),AND(AA19="Baja",AC19="Catastrófico"),AND(AA19="Media",AC19="Catastrófico"),AND(AA19="Alta",AC19="Catastrófico"),AND(AA19="Muy Alta",AC19="Catastrófico")),"Extremo","")))),"")</f>
        <v>Moderado</v>
      </c>
      <c r="AF19" s="113" t="s">
        <v>31</v>
      </c>
      <c r="AG19" s="191"/>
      <c r="AH19" s="192"/>
      <c r="AI19" s="114"/>
      <c r="AJ19" s="114"/>
      <c r="AK19" s="191"/>
      <c r="AL19" s="192"/>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c r="BI19" s="155"/>
      <c r="BJ19" s="155"/>
      <c r="BK19" s="155"/>
      <c r="BL19" s="155"/>
      <c r="BM19" s="155"/>
      <c r="BN19" s="155"/>
      <c r="BO19" s="155"/>
      <c r="BP19" s="155"/>
      <c r="BQ19" s="155"/>
      <c r="BR19" s="155"/>
    </row>
    <row r="20" spans="1:70" s="156" customFormat="1" ht="64.5" x14ac:dyDescent="0.25">
      <c r="A20" s="266"/>
      <c r="B20" s="294"/>
      <c r="C20" s="294"/>
      <c r="D20" s="294"/>
      <c r="E20" s="294"/>
      <c r="F20" s="294"/>
      <c r="G20" s="296"/>
      <c r="H20" s="294"/>
      <c r="I20" s="300"/>
      <c r="J20" s="255"/>
      <c r="K20" s="259"/>
      <c r="L20" s="263"/>
      <c r="M20" s="259">
        <f ca="1">IF(NOT(ISERROR(MATCH(L20,_xlfn.ANCHORARRAY(G31),0))),K33&amp;"Por favor no seleccionar los criterios de impacto",L20)</f>
        <v>0</v>
      </c>
      <c r="N20" s="255"/>
      <c r="O20" s="259"/>
      <c r="P20" s="357"/>
      <c r="Q20" s="148">
        <v>2</v>
      </c>
      <c r="R20" s="112" t="s">
        <v>456</v>
      </c>
      <c r="S20" s="148" t="str">
        <f t="shared" si="6"/>
        <v>Probabilidad</v>
      </c>
      <c r="T20" s="113" t="s">
        <v>14</v>
      </c>
      <c r="U20" s="113" t="s">
        <v>9</v>
      </c>
      <c r="V20" s="167" t="str">
        <f t="shared" si="7"/>
        <v>40%</v>
      </c>
      <c r="W20" s="113" t="s">
        <v>19</v>
      </c>
      <c r="X20" s="113" t="s">
        <v>22</v>
      </c>
      <c r="Y20" s="113" t="s">
        <v>117</v>
      </c>
      <c r="Z20" s="165">
        <f>IFERROR(IF(S20="Probabilidad",(K19-(+K19*V20)),IF(S20="Impacto",K19,"")),"")</f>
        <v>0.48</v>
      </c>
      <c r="AA20" s="166" t="str">
        <f t="shared" si="9"/>
        <v>Media</v>
      </c>
      <c r="AB20" s="167">
        <f t="shared" si="10"/>
        <v>0.48</v>
      </c>
      <c r="AC20" s="166" t="str">
        <f t="shared" si="11"/>
        <v>Menor</v>
      </c>
      <c r="AD20" s="167">
        <f>IFERROR(IF(S20="Impacto",(O19-(+O19*V20)),IF(S20="Probabilidad",O19,"")),"")</f>
        <v>0.4</v>
      </c>
      <c r="AE20" s="168" t="str">
        <f t="shared" si="13"/>
        <v>Moderado</v>
      </c>
      <c r="AF20" s="113" t="s">
        <v>31</v>
      </c>
      <c r="AG20" s="191"/>
      <c r="AH20" s="192"/>
      <c r="AI20" s="114"/>
      <c r="AJ20" s="114"/>
      <c r="AK20" s="191"/>
      <c r="AL20" s="192"/>
      <c r="AM20" s="155"/>
      <c r="AN20" s="155"/>
      <c r="AO20" s="155"/>
      <c r="AP20" s="155"/>
      <c r="AQ20" s="155"/>
      <c r="AR20" s="155"/>
      <c r="AS20" s="155"/>
      <c r="AT20" s="155"/>
      <c r="AU20" s="155"/>
      <c r="AV20" s="155"/>
      <c r="AW20" s="155"/>
      <c r="AX20" s="155"/>
      <c r="AY20" s="155"/>
      <c r="AZ20" s="155"/>
      <c r="BA20" s="155"/>
      <c r="BB20" s="155"/>
      <c r="BC20" s="155"/>
      <c r="BD20" s="155"/>
      <c r="BE20" s="155"/>
      <c r="BF20" s="155"/>
      <c r="BG20" s="155"/>
      <c r="BH20" s="155"/>
      <c r="BI20" s="155"/>
      <c r="BJ20" s="155"/>
      <c r="BK20" s="155"/>
      <c r="BL20" s="155"/>
      <c r="BM20" s="155"/>
      <c r="BN20" s="155"/>
      <c r="BO20" s="155"/>
      <c r="BP20" s="155"/>
      <c r="BQ20" s="155"/>
      <c r="BR20" s="155"/>
    </row>
    <row r="21" spans="1:70" s="156" customFormat="1" hidden="1" x14ac:dyDescent="0.25">
      <c r="A21" s="266"/>
      <c r="B21" s="268"/>
      <c r="C21" s="268"/>
      <c r="D21" s="268"/>
      <c r="E21" s="268"/>
      <c r="F21" s="268"/>
      <c r="G21" s="297"/>
      <c r="H21" s="268"/>
      <c r="I21" s="301"/>
      <c r="J21" s="256"/>
      <c r="K21" s="260"/>
      <c r="L21" s="264"/>
      <c r="M21" s="260">
        <f ca="1">IF(NOT(ISERROR(MATCH(L21,_xlfn.ANCHORARRAY(G32),0))),K34&amp;"Por favor no seleccionar los criterios de impacto",L21)</f>
        <v>0</v>
      </c>
      <c r="N21" s="256"/>
      <c r="O21" s="260"/>
      <c r="P21" s="358"/>
      <c r="Q21" s="148">
        <v>3</v>
      </c>
      <c r="R21" s="112"/>
      <c r="S21" s="148"/>
      <c r="T21" s="113"/>
      <c r="U21" s="113"/>
      <c r="V21" s="167"/>
      <c r="W21" s="113"/>
      <c r="X21" s="113"/>
      <c r="Y21" s="113"/>
      <c r="Z21" s="165"/>
      <c r="AA21" s="166"/>
      <c r="AB21" s="167"/>
      <c r="AC21" s="166"/>
      <c r="AD21" s="167"/>
      <c r="AE21" s="168"/>
      <c r="AF21" s="113"/>
      <c r="AG21" s="191"/>
      <c r="AH21" s="192"/>
      <c r="AI21" s="114"/>
      <c r="AJ21" s="114"/>
      <c r="AK21" s="191"/>
      <c r="AL21" s="192"/>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55"/>
      <c r="BR21" s="155"/>
    </row>
    <row r="22" spans="1:70" s="156" customFormat="1" hidden="1" x14ac:dyDescent="0.25">
      <c r="A22" s="266"/>
      <c r="B22" s="268"/>
      <c r="C22" s="268"/>
      <c r="D22" s="268"/>
      <c r="E22" s="268"/>
      <c r="F22" s="268"/>
      <c r="G22" s="297"/>
      <c r="H22" s="268"/>
      <c r="I22" s="301"/>
      <c r="J22" s="256"/>
      <c r="K22" s="260"/>
      <c r="L22" s="264"/>
      <c r="M22" s="260">
        <f ca="1">IF(NOT(ISERROR(MATCH(L22,_xlfn.ANCHORARRAY(G33),0))),K35&amp;"Por favor no seleccionar los criterios de impacto",L22)</f>
        <v>0</v>
      </c>
      <c r="N22" s="256"/>
      <c r="O22" s="260"/>
      <c r="P22" s="358"/>
      <c r="Q22" s="148">
        <v>4</v>
      </c>
      <c r="R22" s="112"/>
      <c r="S22" s="148"/>
      <c r="T22" s="113"/>
      <c r="U22" s="113"/>
      <c r="V22" s="167"/>
      <c r="W22" s="113"/>
      <c r="X22" s="113"/>
      <c r="Y22" s="113"/>
      <c r="Z22" s="165"/>
      <c r="AA22" s="166"/>
      <c r="AB22" s="167"/>
      <c r="AC22" s="166"/>
      <c r="AD22" s="167"/>
      <c r="AE22" s="168"/>
      <c r="AF22" s="113"/>
      <c r="AG22" s="191"/>
      <c r="AH22" s="192"/>
      <c r="AI22" s="114"/>
      <c r="AJ22" s="114"/>
      <c r="AK22" s="191"/>
      <c r="AL22" s="192"/>
      <c r="AM22" s="155"/>
      <c r="AN22" s="155"/>
      <c r="AO22" s="155"/>
      <c r="AP22" s="155"/>
      <c r="AQ22" s="155"/>
      <c r="AR22" s="155"/>
      <c r="AS22" s="155"/>
      <c r="AT22" s="155"/>
      <c r="AU22" s="155"/>
      <c r="AV22" s="155"/>
      <c r="AW22" s="155"/>
      <c r="AX22" s="155"/>
      <c r="AY22" s="155"/>
      <c r="AZ22" s="155"/>
      <c r="BA22" s="155"/>
      <c r="BB22" s="155"/>
      <c r="BC22" s="155"/>
      <c r="BD22" s="155"/>
      <c r="BE22" s="155"/>
      <c r="BF22" s="155"/>
      <c r="BG22" s="155"/>
      <c r="BH22" s="155"/>
      <c r="BI22" s="155"/>
      <c r="BJ22" s="155"/>
      <c r="BK22" s="155"/>
      <c r="BL22" s="155"/>
      <c r="BM22" s="155"/>
      <c r="BN22" s="155"/>
      <c r="BO22" s="155"/>
      <c r="BP22" s="155"/>
      <c r="BQ22" s="155"/>
      <c r="BR22" s="155"/>
    </row>
    <row r="23" spans="1:70" s="156" customFormat="1" hidden="1" x14ac:dyDescent="0.25">
      <c r="A23" s="266"/>
      <c r="B23" s="268"/>
      <c r="C23" s="268"/>
      <c r="D23" s="268"/>
      <c r="E23" s="268"/>
      <c r="F23" s="268"/>
      <c r="G23" s="297"/>
      <c r="H23" s="268"/>
      <c r="I23" s="301"/>
      <c r="J23" s="256"/>
      <c r="K23" s="260"/>
      <c r="L23" s="264"/>
      <c r="M23" s="260">
        <f ca="1">IF(NOT(ISERROR(MATCH(L23,_xlfn.ANCHORARRAY(G34),0))),K36&amp;"Por favor no seleccionar los criterios de impacto",L23)</f>
        <v>0</v>
      </c>
      <c r="N23" s="256"/>
      <c r="O23" s="260"/>
      <c r="P23" s="358"/>
      <c r="Q23" s="148">
        <v>5</v>
      </c>
      <c r="R23" s="112"/>
      <c r="S23" s="148"/>
      <c r="T23" s="113"/>
      <c r="U23" s="113"/>
      <c r="V23" s="167"/>
      <c r="W23" s="113"/>
      <c r="X23" s="113"/>
      <c r="Y23" s="113"/>
      <c r="Z23" s="165"/>
      <c r="AA23" s="166"/>
      <c r="AB23" s="167"/>
      <c r="AC23" s="166"/>
      <c r="AD23" s="167"/>
      <c r="AE23" s="168"/>
      <c r="AF23" s="113"/>
      <c r="AG23" s="191"/>
      <c r="AH23" s="192"/>
      <c r="AI23" s="114"/>
      <c r="AJ23" s="114"/>
      <c r="AK23" s="191"/>
      <c r="AL23" s="192"/>
      <c r="AM23" s="155"/>
      <c r="AN23" s="155"/>
      <c r="AO23" s="155"/>
      <c r="AP23" s="155"/>
      <c r="AQ23" s="155"/>
      <c r="AR23" s="155"/>
      <c r="AS23" s="155"/>
      <c r="AT23" s="155"/>
      <c r="AU23" s="155"/>
      <c r="AV23" s="155"/>
      <c r="AW23" s="155"/>
      <c r="AX23" s="155"/>
      <c r="AY23" s="155"/>
      <c r="AZ23" s="155"/>
      <c r="BA23" s="155"/>
      <c r="BB23" s="155"/>
      <c r="BC23" s="155"/>
      <c r="BD23" s="155"/>
      <c r="BE23" s="155"/>
      <c r="BF23" s="155"/>
      <c r="BG23" s="155"/>
      <c r="BH23" s="155"/>
      <c r="BI23" s="155"/>
      <c r="BJ23" s="155"/>
      <c r="BK23" s="155"/>
      <c r="BL23" s="155"/>
      <c r="BM23" s="155"/>
      <c r="BN23" s="155"/>
      <c r="BO23" s="155"/>
      <c r="BP23" s="155"/>
      <c r="BQ23" s="155"/>
      <c r="BR23" s="155"/>
    </row>
    <row r="24" spans="1:70" s="156" customFormat="1" hidden="1" x14ac:dyDescent="0.25">
      <c r="A24" s="266"/>
      <c r="B24" s="269"/>
      <c r="C24" s="269"/>
      <c r="D24" s="269"/>
      <c r="E24" s="269"/>
      <c r="F24" s="269"/>
      <c r="G24" s="298"/>
      <c r="H24" s="269"/>
      <c r="I24" s="302"/>
      <c r="J24" s="257"/>
      <c r="K24" s="261"/>
      <c r="L24" s="265"/>
      <c r="M24" s="261">
        <f ca="1">IF(NOT(ISERROR(MATCH(L24,_xlfn.ANCHORARRAY(G35),0))),K37&amp;"Por favor no seleccionar los criterios de impacto",L24)</f>
        <v>0</v>
      </c>
      <c r="N24" s="257"/>
      <c r="O24" s="261"/>
      <c r="P24" s="359"/>
      <c r="Q24" s="148">
        <v>6</v>
      </c>
      <c r="R24" s="112"/>
      <c r="S24" s="148"/>
      <c r="T24" s="113"/>
      <c r="U24" s="113"/>
      <c r="V24" s="167"/>
      <c r="W24" s="113"/>
      <c r="X24" s="113"/>
      <c r="Y24" s="113"/>
      <c r="Z24" s="165"/>
      <c r="AA24" s="166"/>
      <c r="AB24" s="167"/>
      <c r="AC24" s="166"/>
      <c r="AD24" s="167"/>
      <c r="AE24" s="168"/>
      <c r="AF24" s="113"/>
      <c r="AG24" s="191"/>
      <c r="AH24" s="192"/>
      <c r="AI24" s="114"/>
      <c r="AJ24" s="114"/>
      <c r="AK24" s="191"/>
      <c r="AL24" s="192"/>
      <c r="AM24" s="155"/>
      <c r="AN24" s="155"/>
      <c r="AO24" s="155"/>
      <c r="AP24" s="155"/>
      <c r="AQ24" s="155"/>
      <c r="AR24" s="155"/>
      <c r="AS24" s="155"/>
      <c r="AT24" s="155"/>
      <c r="AU24" s="155"/>
      <c r="AV24" s="155"/>
      <c r="AW24" s="155"/>
      <c r="AX24" s="155"/>
      <c r="AY24" s="155"/>
      <c r="AZ24" s="155"/>
      <c r="BA24" s="155"/>
      <c r="BB24" s="155"/>
      <c r="BC24" s="155"/>
      <c r="BD24" s="155"/>
      <c r="BE24" s="155"/>
      <c r="BF24" s="155"/>
      <c r="BG24" s="155"/>
      <c r="BH24" s="155"/>
      <c r="BI24" s="155"/>
      <c r="BJ24" s="155"/>
      <c r="BK24" s="155"/>
      <c r="BL24" s="155"/>
      <c r="BM24" s="155"/>
      <c r="BN24" s="155"/>
      <c r="BO24" s="155"/>
      <c r="BP24" s="155"/>
      <c r="BQ24" s="155"/>
      <c r="BR24" s="155"/>
    </row>
    <row r="25" spans="1:70" s="156" customFormat="1" ht="64.5" x14ac:dyDescent="0.25">
      <c r="A25" s="266">
        <v>3</v>
      </c>
      <c r="B25" s="267" t="s">
        <v>208</v>
      </c>
      <c r="C25" s="267" t="s">
        <v>457</v>
      </c>
      <c r="D25" s="270" t="s">
        <v>132</v>
      </c>
      <c r="E25" s="270" t="s">
        <v>458</v>
      </c>
      <c r="F25" s="270" t="s">
        <v>459</v>
      </c>
      <c r="G25" s="362" t="s">
        <v>460</v>
      </c>
      <c r="H25" s="270" t="s">
        <v>437</v>
      </c>
      <c r="I25" s="281">
        <v>500</v>
      </c>
      <c r="J25" s="275" t="str">
        <f>IF(I25&lt;=0,"",IF(I25&lt;=2,"Muy Baja",IF(I25&lt;=24,"Baja",IF(I25&lt;=500,"Media",IF(I25&lt;=5000,"Alta","Muy Alta")))))</f>
        <v>Media</v>
      </c>
      <c r="K25" s="277">
        <f>IF(J25="","",IF(J25="Muy Baja",0.2,IF(J25="Baja",0.4,IF(J25="Media",0.6,IF(J25="Alta",0.8,IF(J25="Muy Alta",1,))))))</f>
        <v>0.6</v>
      </c>
      <c r="L25" s="273" t="s">
        <v>98</v>
      </c>
      <c r="M25" s="277" t="str">
        <f>IF(NOT(ISERROR(MATCH(L25,'[1]Tabla Impacto'!$B$221:$B$223,0))),'[1]Tabla Impacto'!$F$223&amp;"Por favor no seleccionar los criterios de impacto(Afectación Económica o presupuestal y Pérdida Reputacional)",L25)</f>
        <v>El riesgo afecta la imagen de la entidad con algunos usuarios de relevancia frente al logro de los objetivos</v>
      </c>
      <c r="N25" s="275" t="str">
        <f>+IF(OR(M25='[1]Tabla Impacto'!$C$11,M25='[1]Tabla Impacto'!$D$11),"Leve",IF(OR(M25='[1]Tabla Impacto'!$C$12,M25='[1]Tabla Impacto'!$D$12),"Menor",IF(OR(M25='[1]Tabla Impacto'!$C$13,M25='[1]Tabla Impacto'!$D$13),"Moderado",IF(OR(M25='[1]Tabla Impacto'!$C$14,M25='[1]Tabla Impacto'!$D$14),"Mayor",IF(OR(M25='[1]Tabla Impacto'!$C$15,M25='[1]Tabla Impacto'!$D$15),"Catastrófico","")))))</f>
        <v>Moderado</v>
      </c>
      <c r="O25" s="277">
        <f>IF(N25="","",IF(N25="Leve",0.2,IF(N25="Menor",0.4,IF(N25="Moderado",0.6,IF(N25="Mayor",0.8,IF(N25="Catastrófico",1,))))))</f>
        <v>0.6</v>
      </c>
      <c r="P25" s="279" t="str">
        <f>IF(OR(AND(J25="Muy Baja",N25="Leve"),AND(J25="Muy Baja",N25="Menor"),AND(J25="Baja",N25="Leve")),"Bajo",IF(OR(AND(J25="Muy baja",N25="Moderado"),AND(J25="Baja",N25="Menor"),AND(J25="Baja",N25="Moderado"),AND(J25="Media",N25="Leve"),AND(J25="Media",N25="Menor"),AND(J25="Media",N25="Moderado"),AND(J25="Alta",N25="Leve"),AND(J25="Alta",N25="Menor")),"Moderado",IF(OR(AND(J25="Muy Baja",N25="Mayor"),AND(J25="Baja",N25="Mayor"),AND(J25="Media",N25="Mayor"),AND(J25="Alta",N25="Moderado"),AND(J25="Alta",N25="Mayor"),AND(J25="Muy Alta",N25="Leve"),AND(J25="Muy Alta",N25="Menor"),AND(J25="Muy Alta",N25="Moderado"),AND(J25="Muy Alta",N25="Mayor")),"Alto",IF(OR(AND(J25="Muy Baja",N25="Catastrófico"),AND(J25="Baja",N25="Catastrófico"),AND(J25="Media",N25="Catastrófico"),AND(J25="Alta",N25="Catastrófico"),AND(J25="Muy Alta",N25="Catastrófico")),"Extremo",""))))</f>
        <v>Moderado</v>
      </c>
      <c r="Q25" s="148">
        <v>1</v>
      </c>
      <c r="R25" s="112" t="s">
        <v>461</v>
      </c>
      <c r="S25" s="148" t="str">
        <f t="shared" ref="S25:S26" si="14">IF(OR(T25="Preventivo",T25="Detectivo"),"Probabilidad",IF(T25="Correctivo","Impacto",""))</f>
        <v>Probabilidad</v>
      </c>
      <c r="T25" s="113" t="s">
        <v>14</v>
      </c>
      <c r="U25" s="113" t="s">
        <v>9</v>
      </c>
      <c r="V25" s="167" t="str">
        <f t="shared" ref="V25:V26" si="15">IF(AND(T25="Preventivo",U25="Automático"),"50%",IF(AND(T25="Preventivo",U25="Manual"),"40%",IF(AND(T25="Detectivo",U25="Automático"),"40%",IF(AND(T25="Detectivo",U25="Manual"),"30%",IF(AND(T25="Correctivo",U25="Automático"),"35%",IF(AND(T25="Correctivo",U25="Manual"),"25%",""))))))</f>
        <v>40%</v>
      </c>
      <c r="W25" s="113" t="s">
        <v>19</v>
      </c>
      <c r="X25" s="113" t="s">
        <v>22</v>
      </c>
      <c r="Y25" s="113" t="s">
        <v>117</v>
      </c>
      <c r="Z25" s="165">
        <f t="shared" ref="Z25" si="16">IFERROR(IF(S25="Probabilidad",(K25-(+K25*V25)),IF(S25="Impacto",K25,"")),"")</f>
        <v>0.36</v>
      </c>
      <c r="AA25" s="166" t="str">
        <f t="shared" ref="AA25:AA26" si="17">IFERROR(IF(Z25="","",IF(Z25&lt;=0.2,"Muy Baja",IF(Z25&lt;=0.4,"Baja",IF(Z25&lt;=0.6,"Media",IF(Z25&lt;=0.8,"Alta","Muy Alta"))))),"")</f>
        <v>Baja</v>
      </c>
      <c r="AB25" s="167">
        <f t="shared" ref="AB25:AB26" si="18">+Z25</f>
        <v>0.36</v>
      </c>
      <c r="AC25" s="166" t="str">
        <f t="shared" ref="AC25:AC26" si="19">IFERROR(IF(AD25="","",IF(AD25&lt;=0.2,"Leve",IF(AD25&lt;=0.4,"Menor",IF(AD25&lt;=0.6,"Moderado",IF(AD25&lt;=0.8,"Mayor","Catastrófico"))))),"")</f>
        <v>Moderado</v>
      </c>
      <c r="AD25" s="167">
        <f t="shared" ref="AD25" si="20">IFERROR(IF(S25="Impacto",(O25-(+O25*V25)),IF(S25="Probabilidad",O25,"")),"")</f>
        <v>0.6</v>
      </c>
      <c r="AE25" s="168" t="str">
        <f t="shared" ref="AE25:AE26" si="21">IFERROR(IF(OR(AND(AA25="Muy Baja",AC25="Leve"),AND(AA25="Muy Baja",AC25="Menor"),AND(AA25="Baja",AC25="Leve")),"Bajo",IF(OR(AND(AA25="Muy baja",AC25="Moderado"),AND(AA25="Baja",AC25="Menor"),AND(AA25="Baja",AC25="Moderado"),AND(AA25="Media",AC25="Leve"),AND(AA25="Media",AC25="Menor"),AND(AA25="Media",AC25="Moderado"),AND(AA25="Alta",AC25="Leve"),AND(AA25="Alta",AC25="Menor")),"Moderado",IF(OR(AND(AA25="Muy Baja",AC25="Mayor"),AND(AA25="Baja",AC25="Mayor"),AND(AA25="Media",AC25="Mayor"),AND(AA25="Alta",AC25="Moderado"),AND(AA25="Alta",AC25="Mayor"),AND(AA25="Muy Alta",AC25="Leve"),AND(AA25="Muy Alta",AC25="Menor"),AND(AA25="Muy Alta",AC25="Moderado"),AND(AA25="Muy Alta",AC25="Mayor")),"Alto",IF(OR(AND(AA25="Muy Baja",AC25="Catastrófico"),AND(AA25="Baja",AC25="Catastrófico"),AND(AA25="Media",AC25="Catastrófico"),AND(AA25="Alta",AC25="Catastrófico"),AND(AA25="Muy Alta",AC25="Catastrófico")),"Extremo","")))),"")</f>
        <v>Moderado</v>
      </c>
      <c r="AF25" s="113" t="s">
        <v>31</v>
      </c>
      <c r="AG25" s="191"/>
      <c r="AH25" s="192"/>
      <c r="AI25" s="114"/>
      <c r="AJ25" s="114"/>
      <c r="AK25" s="191"/>
      <c r="AL25" s="192"/>
      <c r="AM25" s="155"/>
      <c r="AN25" s="155"/>
      <c r="AO25" s="155"/>
      <c r="AP25" s="155"/>
      <c r="AQ25" s="155"/>
      <c r="AR25" s="155"/>
      <c r="AS25" s="155"/>
      <c r="AT25" s="155"/>
      <c r="AU25" s="155"/>
      <c r="AV25" s="155"/>
      <c r="AW25" s="155"/>
      <c r="AX25" s="155"/>
      <c r="AY25" s="155"/>
      <c r="AZ25" s="155"/>
      <c r="BA25" s="155"/>
      <c r="BB25" s="155"/>
      <c r="BC25" s="155"/>
      <c r="BD25" s="155"/>
      <c r="BE25" s="155"/>
      <c r="BF25" s="155"/>
      <c r="BG25" s="155"/>
      <c r="BH25" s="155"/>
      <c r="BI25" s="155"/>
      <c r="BJ25" s="155"/>
      <c r="BK25" s="155"/>
      <c r="BL25" s="155"/>
      <c r="BM25" s="155"/>
      <c r="BN25" s="155"/>
      <c r="BO25" s="155"/>
      <c r="BP25" s="155"/>
      <c r="BQ25" s="155"/>
      <c r="BR25" s="155"/>
    </row>
    <row r="26" spans="1:70" s="156" customFormat="1" ht="90" customHeight="1" x14ac:dyDescent="0.25">
      <c r="A26" s="266"/>
      <c r="B26" s="294"/>
      <c r="C26" s="294"/>
      <c r="D26" s="270"/>
      <c r="E26" s="270"/>
      <c r="F26" s="270"/>
      <c r="G26" s="362"/>
      <c r="H26" s="270"/>
      <c r="I26" s="281"/>
      <c r="J26" s="275"/>
      <c r="K26" s="277"/>
      <c r="L26" s="273"/>
      <c r="M26" s="277">
        <f ca="1">IF(NOT(ISERROR(MATCH(L26,_xlfn.ANCHORARRAY(G37),0))),K39&amp;"Por favor no seleccionar los criterios de impacto",L26)</f>
        <v>0</v>
      </c>
      <c r="N26" s="275"/>
      <c r="O26" s="277"/>
      <c r="P26" s="279"/>
      <c r="Q26" s="148">
        <v>2</v>
      </c>
      <c r="R26" s="112" t="s">
        <v>462</v>
      </c>
      <c r="S26" s="148" t="str">
        <f t="shared" si="14"/>
        <v>Probabilidad</v>
      </c>
      <c r="T26" s="113" t="s">
        <v>14</v>
      </c>
      <c r="U26" s="113" t="s">
        <v>9</v>
      </c>
      <c r="V26" s="167" t="str">
        <f t="shared" si="15"/>
        <v>40%</v>
      </c>
      <c r="W26" s="113" t="s">
        <v>19</v>
      </c>
      <c r="X26" s="113" t="s">
        <v>22</v>
      </c>
      <c r="Y26" s="113" t="s">
        <v>117</v>
      </c>
      <c r="Z26" s="165">
        <f>IFERROR(IF(S26="Probabilidad",(K25-(+K25*V26)),IF(S26="Impacto",K25,"")),"")</f>
        <v>0.36</v>
      </c>
      <c r="AA26" s="166" t="str">
        <f t="shared" si="17"/>
        <v>Baja</v>
      </c>
      <c r="AB26" s="167">
        <f t="shared" si="18"/>
        <v>0.36</v>
      </c>
      <c r="AC26" s="166" t="str">
        <f t="shared" si="19"/>
        <v>Moderado</v>
      </c>
      <c r="AD26" s="167">
        <f>IFERROR(IF(S26="Impacto",(O25-(+O25*V26)),IF(S26="Probabilidad",O25,"")),"")</f>
        <v>0.6</v>
      </c>
      <c r="AE26" s="168" t="str">
        <f t="shared" si="21"/>
        <v>Moderado</v>
      </c>
      <c r="AF26" s="113" t="s">
        <v>31</v>
      </c>
      <c r="AG26" s="191"/>
      <c r="AH26" s="192"/>
      <c r="AI26" s="114"/>
      <c r="AJ26" s="114"/>
      <c r="AK26" s="191"/>
      <c r="AL26" s="192"/>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5"/>
      <c r="BL26" s="155"/>
      <c r="BM26" s="155"/>
      <c r="BN26" s="155"/>
      <c r="BO26" s="155"/>
      <c r="BP26" s="155"/>
      <c r="BQ26" s="155"/>
      <c r="BR26" s="155"/>
    </row>
    <row r="27" spans="1:70" s="156" customFormat="1" ht="16.5" hidden="1" customHeight="1" x14ac:dyDescent="0.25">
      <c r="A27" s="266"/>
      <c r="B27" s="268"/>
      <c r="C27" s="268"/>
      <c r="D27" s="271"/>
      <c r="E27" s="271"/>
      <c r="F27" s="271"/>
      <c r="G27" s="363"/>
      <c r="H27" s="271"/>
      <c r="I27" s="266"/>
      <c r="J27" s="276"/>
      <c r="K27" s="278"/>
      <c r="L27" s="274"/>
      <c r="M27" s="278">
        <f ca="1">IF(NOT(ISERROR(MATCH(L27,_xlfn.ANCHORARRAY(G38),0))),K40&amp;"Por favor no seleccionar los criterios de impacto",L27)</f>
        <v>0</v>
      </c>
      <c r="N27" s="276"/>
      <c r="O27" s="278"/>
      <c r="P27" s="280"/>
      <c r="Q27" s="148">
        <v>3</v>
      </c>
      <c r="R27" s="112"/>
      <c r="S27" s="148"/>
      <c r="T27" s="113"/>
      <c r="U27" s="113"/>
      <c r="V27" s="167"/>
      <c r="W27" s="113"/>
      <c r="X27" s="113"/>
      <c r="Y27" s="113"/>
      <c r="Z27" s="165"/>
      <c r="AA27" s="166"/>
      <c r="AB27" s="167"/>
      <c r="AC27" s="166"/>
      <c r="AD27" s="167"/>
      <c r="AE27" s="168"/>
      <c r="AF27" s="113"/>
      <c r="AG27" s="191"/>
      <c r="AH27" s="192"/>
      <c r="AI27" s="114"/>
      <c r="AJ27" s="114"/>
      <c r="AK27" s="191"/>
      <c r="AL27" s="192"/>
      <c r="AM27" s="155"/>
      <c r="AN27" s="155"/>
      <c r="AO27" s="155"/>
      <c r="AP27" s="155"/>
      <c r="AQ27" s="155"/>
      <c r="AR27" s="155"/>
      <c r="AS27" s="155"/>
      <c r="AT27" s="155"/>
      <c r="AU27" s="155"/>
      <c r="AV27" s="155"/>
      <c r="AW27" s="155"/>
      <c r="AX27" s="155"/>
      <c r="AY27" s="155"/>
      <c r="AZ27" s="155"/>
      <c r="BA27" s="155"/>
      <c r="BB27" s="155"/>
      <c r="BC27" s="155"/>
      <c r="BD27" s="155"/>
      <c r="BE27" s="155"/>
      <c r="BF27" s="155"/>
      <c r="BG27" s="155"/>
      <c r="BH27" s="155"/>
      <c r="BI27" s="155"/>
      <c r="BJ27" s="155"/>
      <c r="BK27" s="155"/>
      <c r="BL27" s="155"/>
      <c r="BM27" s="155"/>
      <c r="BN27" s="155"/>
      <c r="BO27" s="155"/>
      <c r="BP27" s="155"/>
      <c r="BQ27" s="155"/>
      <c r="BR27" s="155"/>
    </row>
    <row r="28" spans="1:70" s="156" customFormat="1" ht="16.5" hidden="1" customHeight="1" x14ac:dyDescent="0.25">
      <c r="A28" s="266"/>
      <c r="B28" s="268"/>
      <c r="C28" s="268"/>
      <c r="D28" s="271"/>
      <c r="E28" s="271"/>
      <c r="F28" s="271"/>
      <c r="G28" s="363"/>
      <c r="H28" s="271"/>
      <c r="I28" s="266"/>
      <c r="J28" s="276"/>
      <c r="K28" s="278"/>
      <c r="L28" s="274"/>
      <c r="M28" s="278">
        <f ca="1">IF(NOT(ISERROR(MATCH(L28,_xlfn.ANCHORARRAY(G39),0))),K41&amp;"Por favor no seleccionar los criterios de impacto",L28)</f>
        <v>0</v>
      </c>
      <c r="N28" s="276"/>
      <c r="O28" s="278"/>
      <c r="P28" s="280"/>
      <c r="Q28" s="148">
        <v>4</v>
      </c>
      <c r="R28" s="112"/>
      <c r="S28" s="148"/>
      <c r="T28" s="113"/>
      <c r="U28" s="113"/>
      <c r="V28" s="167"/>
      <c r="W28" s="113"/>
      <c r="X28" s="113"/>
      <c r="Y28" s="113"/>
      <c r="Z28" s="165"/>
      <c r="AA28" s="166"/>
      <c r="AB28" s="167"/>
      <c r="AC28" s="166"/>
      <c r="AD28" s="167"/>
      <c r="AE28" s="168"/>
      <c r="AF28" s="113"/>
      <c r="AG28" s="191"/>
      <c r="AH28" s="192"/>
      <c r="AI28" s="114"/>
      <c r="AJ28" s="114"/>
      <c r="AK28" s="191"/>
      <c r="AL28" s="192"/>
      <c r="AM28" s="155"/>
      <c r="AN28" s="155"/>
      <c r="AO28" s="155"/>
      <c r="AP28" s="155"/>
      <c r="AQ28" s="155"/>
      <c r="AR28" s="155"/>
      <c r="AS28" s="155"/>
      <c r="AT28" s="155"/>
      <c r="AU28" s="155"/>
      <c r="AV28" s="155"/>
      <c r="AW28" s="155"/>
      <c r="AX28" s="155"/>
      <c r="AY28" s="155"/>
      <c r="AZ28" s="155"/>
      <c r="BA28" s="155"/>
      <c r="BB28" s="155"/>
      <c r="BC28" s="155"/>
      <c r="BD28" s="155"/>
      <c r="BE28" s="155"/>
      <c r="BF28" s="155"/>
      <c r="BG28" s="155"/>
      <c r="BH28" s="155"/>
      <c r="BI28" s="155"/>
      <c r="BJ28" s="155"/>
      <c r="BK28" s="155"/>
      <c r="BL28" s="155"/>
      <c r="BM28" s="155"/>
      <c r="BN28" s="155"/>
      <c r="BO28" s="155"/>
      <c r="BP28" s="155"/>
      <c r="BQ28" s="155"/>
      <c r="BR28" s="155"/>
    </row>
    <row r="29" spans="1:70" s="156" customFormat="1" ht="16.5" hidden="1" customHeight="1" x14ac:dyDescent="0.25">
      <c r="A29" s="266"/>
      <c r="B29" s="268"/>
      <c r="C29" s="268"/>
      <c r="D29" s="271"/>
      <c r="E29" s="271"/>
      <c r="F29" s="271"/>
      <c r="G29" s="363"/>
      <c r="H29" s="271"/>
      <c r="I29" s="266"/>
      <c r="J29" s="276"/>
      <c r="K29" s="278"/>
      <c r="L29" s="274"/>
      <c r="M29" s="278">
        <f ca="1">IF(NOT(ISERROR(MATCH(L29,_xlfn.ANCHORARRAY(G40),0))),K42&amp;"Por favor no seleccionar los criterios de impacto",L29)</f>
        <v>0</v>
      </c>
      <c r="N29" s="276"/>
      <c r="O29" s="278"/>
      <c r="P29" s="280"/>
      <c r="Q29" s="148">
        <v>5</v>
      </c>
      <c r="R29" s="112"/>
      <c r="S29" s="148"/>
      <c r="T29" s="113"/>
      <c r="U29" s="113"/>
      <c r="V29" s="167"/>
      <c r="W29" s="113"/>
      <c r="X29" s="113"/>
      <c r="Y29" s="113"/>
      <c r="Z29" s="165"/>
      <c r="AA29" s="166"/>
      <c r="AB29" s="167"/>
      <c r="AC29" s="166"/>
      <c r="AD29" s="167"/>
      <c r="AE29" s="168"/>
      <c r="AF29" s="113"/>
      <c r="AG29" s="191"/>
      <c r="AH29" s="192"/>
      <c r="AI29" s="114"/>
      <c r="AJ29" s="114"/>
      <c r="AK29" s="191"/>
      <c r="AL29" s="192"/>
      <c r="AM29" s="155"/>
      <c r="AN29" s="155"/>
      <c r="AO29" s="155"/>
      <c r="AP29" s="155"/>
      <c r="AQ29" s="155"/>
      <c r="AR29" s="155"/>
      <c r="AS29" s="155"/>
      <c r="AT29" s="155"/>
      <c r="AU29" s="155"/>
      <c r="AV29" s="155"/>
      <c r="AW29" s="155"/>
      <c r="AX29" s="155"/>
      <c r="AY29" s="155"/>
      <c r="AZ29" s="155"/>
      <c r="BA29" s="155"/>
      <c r="BB29" s="155"/>
      <c r="BC29" s="155"/>
      <c r="BD29" s="155"/>
      <c r="BE29" s="155"/>
      <c r="BF29" s="155"/>
      <c r="BG29" s="155"/>
      <c r="BH29" s="155"/>
      <c r="BI29" s="155"/>
      <c r="BJ29" s="155"/>
      <c r="BK29" s="155"/>
      <c r="BL29" s="155"/>
      <c r="BM29" s="155"/>
      <c r="BN29" s="155"/>
      <c r="BO29" s="155"/>
      <c r="BP29" s="155"/>
      <c r="BQ29" s="155"/>
      <c r="BR29" s="155"/>
    </row>
    <row r="30" spans="1:70" s="156" customFormat="1" ht="16.5" hidden="1" customHeight="1" x14ac:dyDescent="0.25">
      <c r="A30" s="266"/>
      <c r="B30" s="269"/>
      <c r="C30" s="269"/>
      <c r="D30" s="271"/>
      <c r="E30" s="271"/>
      <c r="F30" s="271"/>
      <c r="G30" s="363"/>
      <c r="H30" s="271"/>
      <c r="I30" s="266"/>
      <c r="J30" s="276"/>
      <c r="K30" s="278"/>
      <c r="L30" s="274"/>
      <c r="M30" s="278">
        <f ca="1">IF(NOT(ISERROR(MATCH(L30,_xlfn.ANCHORARRAY(G41),0))),K43&amp;"Por favor no seleccionar los criterios de impacto",L30)</f>
        <v>0</v>
      </c>
      <c r="N30" s="276"/>
      <c r="O30" s="278"/>
      <c r="P30" s="280"/>
      <c r="Q30" s="148">
        <v>6</v>
      </c>
      <c r="R30" s="112"/>
      <c r="S30" s="148"/>
      <c r="T30" s="113"/>
      <c r="U30" s="113"/>
      <c r="V30" s="167"/>
      <c r="W30" s="113"/>
      <c r="X30" s="113"/>
      <c r="Y30" s="113"/>
      <c r="Z30" s="165"/>
      <c r="AA30" s="166"/>
      <c r="AB30" s="167"/>
      <c r="AC30" s="166"/>
      <c r="AD30" s="167"/>
      <c r="AE30" s="168"/>
      <c r="AF30" s="113"/>
      <c r="AG30" s="191"/>
      <c r="AH30" s="192"/>
      <c r="AI30" s="114"/>
      <c r="AJ30" s="114"/>
      <c r="AK30" s="191"/>
      <c r="AL30" s="192"/>
      <c r="AM30" s="155"/>
      <c r="AN30" s="155"/>
      <c r="AO30" s="155"/>
      <c r="AP30" s="155"/>
      <c r="AQ30" s="155"/>
      <c r="AR30" s="155"/>
      <c r="AS30" s="155"/>
      <c r="AT30" s="155"/>
      <c r="AU30" s="155"/>
      <c r="AV30" s="155"/>
      <c r="AW30" s="155"/>
      <c r="AX30" s="155"/>
      <c r="AY30" s="155"/>
      <c r="AZ30" s="155"/>
      <c r="BA30" s="155"/>
      <c r="BB30" s="155"/>
      <c r="BC30" s="155"/>
      <c r="BD30" s="155"/>
      <c r="BE30" s="155"/>
      <c r="BF30" s="155"/>
      <c r="BG30" s="155"/>
      <c r="BH30" s="155"/>
      <c r="BI30" s="155"/>
      <c r="BJ30" s="155"/>
      <c r="BK30" s="155"/>
      <c r="BL30" s="155"/>
      <c r="BM30" s="155"/>
      <c r="BN30" s="155"/>
      <c r="BO30" s="155"/>
      <c r="BP30" s="155"/>
      <c r="BQ30" s="155"/>
      <c r="BR30" s="155"/>
    </row>
    <row r="31" spans="1:70" s="156" customFormat="1" ht="87" customHeight="1" x14ac:dyDescent="0.25">
      <c r="A31" s="266">
        <v>4</v>
      </c>
      <c r="B31" s="267" t="s">
        <v>209</v>
      </c>
      <c r="C31" s="267" t="s">
        <v>463</v>
      </c>
      <c r="D31" s="270" t="s">
        <v>131</v>
      </c>
      <c r="E31" s="270" t="s">
        <v>464</v>
      </c>
      <c r="F31" s="270" t="s">
        <v>465</v>
      </c>
      <c r="G31" s="362" t="s">
        <v>466</v>
      </c>
      <c r="H31" s="270" t="s">
        <v>437</v>
      </c>
      <c r="I31" s="281">
        <v>1</v>
      </c>
      <c r="J31" s="275" t="str">
        <f>IF(I31&lt;=0,"",IF(I31&lt;=2,"Muy Baja",IF(I31&lt;=24,"Baja",IF(I31&lt;=500,"Media",IF(I31&lt;=5000,"Alta","Muy Alta")))))</f>
        <v>Muy Baja</v>
      </c>
      <c r="K31" s="277">
        <f>IF(J31="","",IF(J31="Muy Baja",0.2,IF(J31="Baja",0.4,IF(J31="Media",0.6,IF(J31="Alta",0.8,IF(J31="Muy Alta",1,))))))</f>
        <v>0.2</v>
      </c>
      <c r="L31" s="273" t="s">
        <v>93</v>
      </c>
      <c r="M31" s="277" t="str">
        <f>IF(NOT(ISERROR(MATCH(L31,'[2]Tabla Impacto'!$B$221:$B$223,0))),'[2]Tabla Impacto'!$F$223&amp;"Por favor no seleccionar los criterios de impacto(Afectación Económica o presupuestal y Pérdida Reputacional)",L31)</f>
        <v xml:space="preserve">Entre 100 y 500 SMLMV </v>
      </c>
      <c r="N31" s="275" t="str">
        <f>+IF(OR(M31='[2]Tabla Impacto'!$C$11,M31='[2]Tabla Impacto'!$D$11),"Leve",IF(OR(M31='[2]Tabla Impacto'!$C$12,M31='[2]Tabla Impacto'!$D$12),"Menor",IF(OR(M31='[2]Tabla Impacto'!$C$13,M31='[2]Tabla Impacto'!$D$13),"Moderado",IF(OR(M31='[2]Tabla Impacto'!$C$14,M31='[2]Tabla Impacto'!$D$14),"Mayor",IF(OR(M31='[2]Tabla Impacto'!$C$15,M31='[2]Tabla Impacto'!$D$15),"Catastrófico","")))))</f>
        <v>Mayor</v>
      </c>
      <c r="O31" s="277">
        <f>IF(N31="","",IF(N31="Leve",0.2,IF(N31="Menor",0.4,IF(N31="Moderado",0.6,IF(N31="Mayor",0.8,IF(N31="Catastrófico",1,))))))</f>
        <v>0.8</v>
      </c>
      <c r="P31" s="279" t="str">
        <f>IF(OR(AND(J31="Muy Baja",N31="Leve"),AND(J31="Muy Baja",N31="Menor"),AND(J31="Baja",N31="Leve")),"Bajo",IF(OR(AND(J31="Muy baja",N31="Moderado"),AND(J31="Baja",N31="Menor"),AND(J31="Baja",N31="Moderado"),AND(J31="Media",N31="Leve"),AND(J31="Media",N31="Menor"),AND(J31="Media",N31="Moderado"),AND(J31="Alta",N31="Leve"),AND(J31="Alta",N31="Menor")),"Moderado",IF(OR(AND(J31="Muy Baja",N31="Mayor"),AND(J31="Baja",N31="Mayor"),AND(J31="Media",N31="Mayor"),AND(J31="Alta",N31="Moderado"),AND(J31="Alta",N31="Mayor"),AND(J31="Muy Alta",N31="Leve"),AND(J31="Muy Alta",N31="Menor"),AND(J31="Muy Alta",N31="Moderado"),AND(J31="Muy Alta",N31="Mayor")),"Alto",IF(OR(AND(J31="Muy Baja",N31="Catastrófico"),AND(J31="Baja",N31="Catastrófico"),AND(J31="Media",N31="Catastrófico"),AND(J31="Alta",N31="Catastrófico"),AND(J31="Muy Alta",N31="Catastrófico")),"Extremo",""))))</f>
        <v>Alto</v>
      </c>
      <c r="Q31" s="201">
        <v>1</v>
      </c>
      <c r="R31" s="112" t="s">
        <v>496</v>
      </c>
      <c r="S31" s="201" t="str">
        <f>IF(OR(T31="Preventivo",T31="Detectivo"),"Probabilidad",IF(T31="Correctivo","Impacto",""))</f>
        <v>Probabilidad</v>
      </c>
      <c r="T31" s="113" t="s">
        <v>14</v>
      </c>
      <c r="U31" s="113" t="s">
        <v>9</v>
      </c>
      <c r="V31" s="167" t="str">
        <f>IF(AND(T31="Preventivo",U31="Automático"),"50%",IF(AND(T31="Preventivo",U31="Manual"),"40%",IF(AND(T31="Detectivo",U31="Automático"),"40%",IF(AND(T31="Detectivo",U31="Manual"),"30%",IF(AND(T31="Correctivo",U31="Automático"),"35%",IF(AND(T31="Correctivo",U31="Manual"),"25%",""))))))</f>
        <v>40%</v>
      </c>
      <c r="W31" s="113" t="s">
        <v>19</v>
      </c>
      <c r="X31" s="113" t="s">
        <v>22</v>
      </c>
      <c r="Y31" s="113" t="s">
        <v>117</v>
      </c>
      <c r="Z31" s="165">
        <f>IFERROR(IF(S31="Probabilidad",(K31-(+K31*V31)),IF(S31="Impacto",K31,"")),"")</f>
        <v>0.12</v>
      </c>
      <c r="AA31" s="166" t="str">
        <f>IFERROR(IF(Z31="","",IF(Z31&lt;=0.2,"Muy Baja",IF(Z31&lt;=0.4,"Baja",IF(Z31&lt;=0.6,"Media",IF(Z31&lt;=0.8,"Alta","Muy Alta"))))),"")</f>
        <v>Muy Baja</v>
      </c>
      <c r="AB31" s="167">
        <f>+Z31</f>
        <v>0.12</v>
      </c>
      <c r="AC31" s="166" t="str">
        <f>IFERROR(IF(AD31="","",IF(AD31&lt;=0.2,"Leve",IF(AD31&lt;=0.4,"Menor",IF(AD31&lt;=0.6,"Moderado",IF(AD31&lt;=0.8,"Mayor","Catastrófico"))))),"")</f>
        <v>Mayor</v>
      </c>
      <c r="AD31" s="167">
        <f>IFERROR(IF(S31="Impacto",(O31-(+O31*V31)),IF(S31="Probabilidad",O31,"")),"")</f>
        <v>0.8</v>
      </c>
      <c r="AE31" s="168" t="str">
        <f>IFERROR(IF(OR(AND(AA31="Muy Baja",AC31="Leve"),AND(AA31="Muy Baja",AC31="Menor"),AND(AA31="Baja",AC31="Leve")),"Bajo",IF(OR(AND(AA31="Muy baja",AC31="Moderado"),AND(AA31="Baja",AC31="Menor"),AND(AA31="Baja",AC31="Moderado"),AND(AA31="Media",AC31="Leve"),AND(AA31="Media",AC31="Menor"),AND(AA31="Media",AC31="Moderado"),AND(AA31="Alta",AC31="Leve"),AND(AA31="Alta",AC31="Menor")),"Moderado",IF(OR(AND(AA31="Muy Baja",AC31="Mayor"),AND(AA31="Baja",AC31="Mayor"),AND(AA31="Media",AC31="Mayor"),AND(AA31="Alta",AC31="Moderado"),AND(AA31="Alta",AC31="Mayor"),AND(AA31="Muy Alta",AC31="Leve"),AND(AA31="Muy Alta",AC31="Menor"),AND(AA31="Muy Alta",AC31="Moderado"),AND(AA31="Muy Alta",AC31="Mayor")),"Alto",IF(OR(AND(AA31="Muy Baja",AC31="Catastrófico"),AND(AA31="Baja",AC31="Catastrófico"),AND(AA31="Media",AC31="Catastrófico"),AND(AA31="Alta",AC31="Catastrófico"),AND(AA31="Muy Alta",AC31="Catastrófico")),"Extremo","")))),"")</f>
        <v>Alto</v>
      </c>
      <c r="AF31" s="113" t="s">
        <v>31</v>
      </c>
      <c r="AG31" s="191"/>
      <c r="AH31" s="192"/>
      <c r="AI31" s="114"/>
      <c r="AJ31" s="114"/>
      <c r="AK31" s="191"/>
      <c r="AL31" s="192"/>
      <c r="AM31" s="155"/>
      <c r="AN31" s="155"/>
      <c r="AO31" s="155"/>
      <c r="AP31" s="155"/>
      <c r="AQ31" s="155"/>
      <c r="AR31" s="155"/>
      <c r="AS31" s="155"/>
      <c r="AT31" s="155"/>
      <c r="AU31" s="155"/>
      <c r="AV31" s="155"/>
      <c r="AW31" s="155"/>
      <c r="AX31" s="155"/>
      <c r="AY31" s="155"/>
      <c r="AZ31" s="155"/>
      <c r="BA31" s="155"/>
      <c r="BB31" s="155"/>
      <c r="BC31" s="155"/>
      <c r="BD31" s="155"/>
      <c r="BE31" s="155"/>
      <c r="BF31" s="155"/>
      <c r="BG31" s="155"/>
      <c r="BH31" s="155"/>
      <c r="BI31" s="155"/>
      <c r="BJ31" s="155"/>
      <c r="BK31" s="155"/>
      <c r="BL31" s="155"/>
      <c r="BM31" s="155"/>
      <c r="BN31" s="155"/>
      <c r="BO31" s="155"/>
      <c r="BP31" s="155"/>
      <c r="BQ31" s="155"/>
      <c r="BR31" s="155"/>
    </row>
    <row r="32" spans="1:70" s="156" customFormat="1" ht="87" customHeight="1" x14ac:dyDescent="0.25">
      <c r="A32" s="266"/>
      <c r="B32" s="294"/>
      <c r="C32" s="294"/>
      <c r="D32" s="270"/>
      <c r="E32" s="270"/>
      <c r="F32" s="270"/>
      <c r="G32" s="362"/>
      <c r="H32" s="270"/>
      <c r="I32" s="281"/>
      <c r="J32" s="275"/>
      <c r="K32" s="277"/>
      <c r="L32" s="273"/>
      <c r="M32" s="277">
        <f ca="1">IF(NOT(ISERROR(MATCH(L32,_xlfn.ANCHORARRAY(G43),0))),K45&amp;"Por favor no seleccionar los criterios de impacto",L32)</f>
        <v>0</v>
      </c>
      <c r="N32" s="275"/>
      <c r="O32" s="277"/>
      <c r="P32" s="279"/>
      <c r="Q32" s="201">
        <v>2</v>
      </c>
      <c r="R32" s="112" t="s">
        <v>497</v>
      </c>
      <c r="S32" s="201" t="str">
        <f t="shared" ref="S32:S60" si="22">IF(OR(T32="Preventivo",T32="Detectivo"),"Probabilidad",IF(T32="Correctivo","Impacto",""))</f>
        <v>Probabilidad</v>
      </c>
      <c r="T32" s="113" t="s">
        <v>14</v>
      </c>
      <c r="U32" s="113" t="s">
        <v>9</v>
      </c>
      <c r="V32" s="167" t="str">
        <f t="shared" ref="V32:V84" si="23">IF(AND(T32="Preventivo",U32="Automático"),"50%",IF(AND(T32="Preventivo",U32="Manual"),"40%",IF(AND(T32="Detectivo",U32="Automático"),"40%",IF(AND(T32="Detectivo",U32="Manual"),"30%",IF(AND(T32="Correctivo",U32="Automático"),"35%",IF(AND(T32="Correctivo",U32="Manual"),"25%",""))))))</f>
        <v>40%</v>
      </c>
      <c r="W32" s="113" t="s">
        <v>19</v>
      </c>
      <c r="X32" s="113" t="s">
        <v>22</v>
      </c>
      <c r="Y32" s="113" t="s">
        <v>117</v>
      </c>
      <c r="Z32" s="165">
        <f>IFERROR(IF(S32="Probabilidad",(K31-(+K31*V32)),IF(S32="Impacto",K31,"")),"")</f>
        <v>0.12</v>
      </c>
      <c r="AA32" s="166" t="str">
        <f t="shared" ref="AA32:AA60" si="24">IFERROR(IF(Z32="","",IF(Z32&lt;=0.2,"Muy Baja",IF(Z32&lt;=0.4,"Baja",IF(Z32&lt;=0.6,"Media",IF(Z32&lt;=0.8,"Alta","Muy Alta"))))),"")</f>
        <v>Muy Baja</v>
      </c>
      <c r="AB32" s="167">
        <f t="shared" ref="AB32:AB60" si="25">+Z32</f>
        <v>0.12</v>
      </c>
      <c r="AC32" s="166" t="str">
        <f t="shared" ref="AC32:AC60" si="26">IFERROR(IF(AD32="","",IF(AD32&lt;=0.2,"Leve",IF(AD32&lt;=0.4,"Menor",IF(AD32&lt;=0.6,"Moderado",IF(AD32&lt;=0.8,"Mayor","Catastrófico"))))),"")</f>
        <v>Mayor</v>
      </c>
      <c r="AD32" s="167">
        <f>IFERROR(IF(S32="Impacto",(O31-(+O31*V32)),IF(S32="Probabilidad",O31,"")),"")</f>
        <v>0.8</v>
      </c>
      <c r="AE32" s="168" t="str">
        <f t="shared" ref="AE32:AE60" si="27">IFERROR(IF(OR(AND(AA32="Muy Baja",AC32="Leve"),AND(AA32="Muy Baja",AC32="Menor"),AND(AA32="Baja",AC32="Leve")),"Bajo",IF(OR(AND(AA32="Muy baja",AC32="Moderado"),AND(AA32="Baja",AC32="Menor"),AND(AA32="Baja",AC32="Moderado"),AND(AA32="Media",AC32="Leve"),AND(AA32="Media",AC32="Menor"),AND(AA32="Media",AC32="Moderado"),AND(AA32="Alta",AC32="Leve"),AND(AA32="Alta",AC32="Menor")),"Moderado",IF(OR(AND(AA32="Muy Baja",AC32="Mayor"),AND(AA32="Baja",AC32="Mayor"),AND(AA32="Media",AC32="Mayor"),AND(AA32="Alta",AC32="Moderado"),AND(AA32="Alta",AC32="Mayor"),AND(AA32="Muy Alta",AC32="Leve"),AND(AA32="Muy Alta",AC32="Menor"),AND(AA32="Muy Alta",AC32="Moderado"),AND(AA32="Muy Alta",AC32="Mayor")),"Alto",IF(OR(AND(AA32="Muy Baja",AC32="Catastrófico"),AND(AA32="Baja",AC32="Catastrófico"),AND(AA32="Media",AC32="Catastrófico"),AND(AA32="Alta",AC32="Catastrófico"),AND(AA32="Muy Alta",AC32="Catastrófico")),"Extremo","")))),"")</f>
        <v>Alto</v>
      </c>
      <c r="AF32" s="113" t="s">
        <v>31</v>
      </c>
      <c r="AG32" s="191"/>
      <c r="AH32" s="192"/>
      <c r="AI32" s="114"/>
      <c r="AJ32" s="114"/>
      <c r="AK32" s="191"/>
      <c r="AL32" s="192"/>
      <c r="AM32" s="155"/>
      <c r="AN32" s="155"/>
      <c r="AO32" s="155"/>
      <c r="AP32" s="155"/>
      <c r="AQ32" s="155"/>
      <c r="AR32" s="155"/>
      <c r="AS32" s="155"/>
      <c r="AT32" s="155"/>
      <c r="AU32" s="155"/>
      <c r="AV32" s="155"/>
      <c r="AW32" s="155"/>
      <c r="AX32" s="155"/>
      <c r="AY32" s="155"/>
      <c r="AZ32" s="155"/>
      <c r="BA32" s="155"/>
      <c r="BB32" s="155"/>
      <c r="BC32" s="155"/>
      <c r="BD32" s="155"/>
      <c r="BE32" s="155"/>
      <c r="BF32" s="155"/>
      <c r="BG32" s="155"/>
      <c r="BH32" s="155"/>
      <c r="BI32" s="155"/>
      <c r="BJ32" s="155"/>
      <c r="BK32" s="155"/>
      <c r="BL32" s="155"/>
      <c r="BM32" s="155"/>
      <c r="BN32" s="155"/>
      <c r="BO32" s="155"/>
      <c r="BP32" s="155"/>
      <c r="BQ32" s="155"/>
      <c r="BR32" s="155"/>
    </row>
    <row r="33" spans="1:70" s="156" customFormat="1" ht="87" customHeight="1" x14ac:dyDescent="0.25">
      <c r="A33" s="266"/>
      <c r="B33" s="294"/>
      <c r="C33" s="294"/>
      <c r="D33" s="270"/>
      <c r="E33" s="270"/>
      <c r="F33" s="270"/>
      <c r="G33" s="362"/>
      <c r="H33" s="270"/>
      <c r="I33" s="281"/>
      <c r="J33" s="275"/>
      <c r="K33" s="277"/>
      <c r="L33" s="273"/>
      <c r="M33" s="277">
        <f ca="1">IF(NOT(ISERROR(MATCH(L33,_xlfn.ANCHORARRAY(G44),0))),K46&amp;"Por favor no seleccionar los criterios de impacto",L33)</f>
        <v>0</v>
      </c>
      <c r="N33" s="275"/>
      <c r="O33" s="277"/>
      <c r="P33" s="279"/>
      <c r="Q33" s="201">
        <v>3</v>
      </c>
      <c r="R33" s="112" t="s">
        <v>498</v>
      </c>
      <c r="S33" s="201" t="str">
        <f t="shared" si="22"/>
        <v>Probabilidad</v>
      </c>
      <c r="T33" s="113" t="s">
        <v>14</v>
      </c>
      <c r="U33" s="113" t="s">
        <v>9</v>
      </c>
      <c r="V33" s="167" t="str">
        <f t="shared" si="23"/>
        <v>40%</v>
      </c>
      <c r="W33" s="113" t="s">
        <v>19</v>
      </c>
      <c r="X33" s="113" t="s">
        <v>22</v>
      </c>
      <c r="Y33" s="113" t="s">
        <v>117</v>
      </c>
      <c r="Z33" s="165">
        <f>IFERROR(IF(S33="Probabilidad",(K31-(+K31*V33)),IF(S33="Impacto",K31,"")),"")</f>
        <v>0.12</v>
      </c>
      <c r="AA33" s="166" t="str">
        <f t="shared" si="24"/>
        <v>Muy Baja</v>
      </c>
      <c r="AB33" s="167">
        <f t="shared" si="25"/>
        <v>0.12</v>
      </c>
      <c r="AC33" s="166" t="str">
        <f t="shared" si="26"/>
        <v>Mayor</v>
      </c>
      <c r="AD33" s="167">
        <f>IFERROR(IF(S33="Impacto",(O31-(+O31*V33)),IF(S33="Probabilidad",O31,"")),"")</f>
        <v>0.8</v>
      </c>
      <c r="AE33" s="168" t="str">
        <f t="shared" si="27"/>
        <v>Alto</v>
      </c>
      <c r="AF33" s="113" t="s">
        <v>31</v>
      </c>
      <c r="AG33" s="191"/>
      <c r="AH33" s="192"/>
      <c r="AI33" s="114"/>
      <c r="AJ33" s="114"/>
      <c r="AK33" s="191"/>
      <c r="AL33" s="192"/>
      <c r="AM33" s="155"/>
      <c r="AN33" s="155"/>
      <c r="AO33" s="155"/>
      <c r="AP33" s="155"/>
      <c r="AQ33" s="155"/>
      <c r="AR33" s="155"/>
      <c r="AS33" s="155"/>
      <c r="AT33" s="155"/>
      <c r="AU33" s="155"/>
      <c r="AV33" s="155"/>
      <c r="AW33" s="155"/>
      <c r="AX33" s="155"/>
      <c r="AY33" s="155"/>
      <c r="AZ33" s="155"/>
      <c r="BA33" s="155"/>
      <c r="BB33" s="155"/>
      <c r="BC33" s="155"/>
      <c r="BD33" s="155"/>
      <c r="BE33" s="155"/>
      <c r="BF33" s="155"/>
      <c r="BG33" s="155"/>
      <c r="BH33" s="155"/>
      <c r="BI33" s="155"/>
      <c r="BJ33" s="155"/>
      <c r="BK33" s="155"/>
      <c r="BL33" s="155"/>
      <c r="BM33" s="155"/>
      <c r="BN33" s="155"/>
      <c r="BO33" s="155"/>
      <c r="BP33" s="155"/>
      <c r="BQ33" s="155"/>
      <c r="BR33" s="155"/>
    </row>
    <row r="34" spans="1:70" s="156" customFormat="1" ht="16.5" hidden="1" customHeight="1" x14ac:dyDescent="0.25">
      <c r="A34" s="266"/>
      <c r="B34" s="268"/>
      <c r="C34" s="268"/>
      <c r="D34" s="271"/>
      <c r="E34" s="271"/>
      <c r="F34" s="271"/>
      <c r="G34" s="363"/>
      <c r="H34" s="271"/>
      <c r="I34" s="266"/>
      <c r="J34" s="276"/>
      <c r="K34" s="278"/>
      <c r="L34" s="274"/>
      <c r="M34" s="278">
        <f ca="1">IF(NOT(ISERROR(MATCH(L34,_xlfn.ANCHORARRAY(G45),0))),K47&amp;"Por favor no seleccionar los criterios de impacto",L34)</f>
        <v>0</v>
      </c>
      <c r="N34" s="276"/>
      <c r="O34" s="278"/>
      <c r="P34" s="280"/>
      <c r="Q34" s="201">
        <v>4</v>
      </c>
      <c r="R34" s="112"/>
      <c r="S34" s="201" t="str">
        <f t="shared" si="22"/>
        <v/>
      </c>
      <c r="T34" s="113"/>
      <c r="U34" s="113"/>
      <c r="V34" s="167" t="str">
        <f t="shared" si="23"/>
        <v/>
      </c>
      <c r="W34" s="113"/>
      <c r="X34" s="113"/>
      <c r="Y34" s="113"/>
      <c r="Z34" s="165" t="str">
        <f>IFERROR(IF(S34="Probabilidad",(K31-(+K31*V34)),IF(S34="Impacto",K31,"")),"")</f>
        <v/>
      </c>
      <c r="AA34" s="166" t="str">
        <f t="shared" si="24"/>
        <v/>
      </c>
      <c r="AB34" s="167" t="str">
        <f t="shared" si="25"/>
        <v/>
      </c>
      <c r="AC34" s="166" t="str">
        <f t="shared" si="26"/>
        <v/>
      </c>
      <c r="AD34" s="167" t="str">
        <f t="shared" ref="AD34:AD60" si="28">IFERROR(IF(S34="Impacto",(O34-(+O34*V34)),IF(S34="Probabilidad",O34,"")),"")</f>
        <v/>
      </c>
      <c r="AE34" s="168" t="str">
        <f t="shared" si="27"/>
        <v/>
      </c>
      <c r="AF34" s="113"/>
      <c r="AG34" s="191"/>
      <c r="AH34" s="192"/>
      <c r="AI34" s="114"/>
      <c r="AJ34" s="114"/>
      <c r="AK34" s="191"/>
      <c r="AL34" s="192"/>
      <c r="AM34" s="155"/>
      <c r="AN34" s="155"/>
      <c r="AO34" s="155"/>
      <c r="AP34" s="155"/>
      <c r="AQ34" s="155"/>
      <c r="AR34" s="155"/>
      <c r="AS34" s="155"/>
      <c r="AT34" s="155"/>
      <c r="AU34" s="155"/>
      <c r="AV34" s="155"/>
      <c r="AW34" s="155"/>
      <c r="AX34" s="155"/>
      <c r="AY34" s="155"/>
      <c r="AZ34" s="155"/>
      <c r="BA34" s="155"/>
      <c r="BB34" s="155"/>
      <c r="BC34" s="155"/>
      <c r="BD34" s="155"/>
      <c r="BE34" s="155"/>
      <c r="BF34" s="155"/>
      <c r="BG34" s="155"/>
      <c r="BH34" s="155"/>
      <c r="BI34" s="155"/>
      <c r="BJ34" s="155"/>
      <c r="BK34" s="155"/>
      <c r="BL34" s="155"/>
      <c r="BM34" s="155"/>
      <c r="BN34" s="155"/>
      <c r="BO34" s="155"/>
      <c r="BP34" s="155"/>
      <c r="BQ34" s="155"/>
      <c r="BR34" s="155"/>
    </row>
    <row r="35" spans="1:70" s="156" customFormat="1" ht="16.5" hidden="1" customHeight="1" x14ac:dyDescent="0.25">
      <c r="A35" s="266"/>
      <c r="B35" s="268"/>
      <c r="C35" s="268"/>
      <c r="D35" s="271"/>
      <c r="E35" s="271"/>
      <c r="F35" s="271"/>
      <c r="G35" s="363"/>
      <c r="H35" s="271"/>
      <c r="I35" s="266"/>
      <c r="J35" s="276"/>
      <c r="K35" s="278"/>
      <c r="L35" s="274"/>
      <c r="M35" s="278">
        <f ca="1">IF(NOT(ISERROR(MATCH(L35,_xlfn.ANCHORARRAY(G46),0))),K48&amp;"Por favor no seleccionar los criterios de impacto",L35)</f>
        <v>0</v>
      </c>
      <c r="N35" s="276"/>
      <c r="O35" s="278"/>
      <c r="P35" s="280"/>
      <c r="Q35" s="201">
        <v>5</v>
      </c>
      <c r="R35" s="112"/>
      <c r="S35" s="201" t="str">
        <f t="shared" si="22"/>
        <v/>
      </c>
      <c r="T35" s="113"/>
      <c r="U35" s="113"/>
      <c r="V35" s="167" t="str">
        <f t="shared" si="23"/>
        <v/>
      </c>
      <c r="W35" s="113"/>
      <c r="X35" s="113"/>
      <c r="Y35" s="113"/>
      <c r="Z35" s="165" t="str">
        <f>IFERROR(IF(S35="Probabilidad",(K31-(+K31*V35)),IF(S35="Impacto",K31,"")),"")</f>
        <v/>
      </c>
      <c r="AA35" s="166" t="str">
        <f t="shared" si="24"/>
        <v/>
      </c>
      <c r="AB35" s="167" t="str">
        <f t="shared" si="25"/>
        <v/>
      </c>
      <c r="AC35" s="166" t="str">
        <f t="shared" si="26"/>
        <v/>
      </c>
      <c r="AD35" s="167" t="str">
        <f t="shared" si="28"/>
        <v/>
      </c>
      <c r="AE35" s="168" t="str">
        <f t="shared" si="27"/>
        <v/>
      </c>
      <c r="AF35" s="113"/>
      <c r="AG35" s="191"/>
      <c r="AH35" s="192"/>
      <c r="AI35" s="114"/>
      <c r="AJ35" s="114"/>
      <c r="AK35" s="191"/>
      <c r="AL35" s="192"/>
      <c r="AM35" s="155"/>
      <c r="AN35" s="155"/>
      <c r="AO35" s="155"/>
      <c r="AP35" s="155"/>
      <c r="AQ35" s="155"/>
      <c r="AR35" s="155"/>
      <c r="AS35" s="155"/>
      <c r="AT35" s="155"/>
      <c r="AU35" s="155"/>
      <c r="AV35" s="155"/>
      <c r="AW35" s="155"/>
      <c r="AX35" s="155"/>
      <c r="AY35" s="155"/>
      <c r="AZ35" s="155"/>
      <c r="BA35" s="155"/>
      <c r="BB35" s="155"/>
      <c r="BC35" s="155"/>
      <c r="BD35" s="155"/>
      <c r="BE35" s="155"/>
      <c r="BF35" s="155"/>
      <c r="BG35" s="155"/>
      <c r="BH35" s="155"/>
      <c r="BI35" s="155"/>
      <c r="BJ35" s="155"/>
      <c r="BK35" s="155"/>
      <c r="BL35" s="155"/>
      <c r="BM35" s="155"/>
      <c r="BN35" s="155"/>
      <c r="BO35" s="155"/>
      <c r="BP35" s="155"/>
      <c r="BQ35" s="155"/>
      <c r="BR35" s="155"/>
    </row>
    <row r="36" spans="1:70" s="156" customFormat="1" ht="16.5" hidden="1" customHeight="1" x14ac:dyDescent="0.25">
      <c r="A36" s="266"/>
      <c r="B36" s="269"/>
      <c r="C36" s="269"/>
      <c r="D36" s="271"/>
      <c r="E36" s="271"/>
      <c r="F36" s="271"/>
      <c r="G36" s="363"/>
      <c r="H36" s="271"/>
      <c r="I36" s="266"/>
      <c r="J36" s="276"/>
      <c r="K36" s="278"/>
      <c r="L36" s="274"/>
      <c r="M36" s="278">
        <f ca="1">IF(NOT(ISERROR(MATCH(L36,_xlfn.ANCHORARRAY(G47),0))),K49&amp;"Por favor no seleccionar los criterios de impacto",L36)</f>
        <v>0</v>
      </c>
      <c r="N36" s="276"/>
      <c r="O36" s="278"/>
      <c r="P36" s="280"/>
      <c r="Q36" s="201">
        <v>6</v>
      </c>
      <c r="R36" s="112"/>
      <c r="S36" s="201" t="str">
        <f t="shared" si="22"/>
        <v/>
      </c>
      <c r="T36" s="113"/>
      <c r="U36" s="113"/>
      <c r="V36" s="167" t="str">
        <f t="shared" si="23"/>
        <v/>
      </c>
      <c r="W36" s="113"/>
      <c r="X36" s="113"/>
      <c r="Y36" s="113"/>
      <c r="Z36" s="165" t="str">
        <f>IFERROR(IF(S35="Probabilidad",(K31-(+K31*V36)),IF(S36="Impacto",K31,"")),"")</f>
        <v/>
      </c>
      <c r="AA36" s="166" t="str">
        <f t="shared" si="24"/>
        <v/>
      </c>
      <c r="AB36" s="167" t="str">
        <f t="shared" si="25"/>
        <v/>
      </c>
      <c r="AC36" s="166" t="str">
        <f t="shared" si="26"/>
        <v/>
      </c>
      <c r="AD36" s="167" t="str">
        <f t="shared" si="28"/>
        <v/>
      </c>
      <c r="AE36" s="168" t="str">
        <f t="shared" si="27"/>
        <v/>
      </c>
      <c r="AF36" s="113"/>
      <c r="AG36" s="191"/>
      <c r="AH36" s="192"/>
      <c r="AI36" s="114"/>
      <c r="AJ36" s="114"/>
      <c r="AK36" s="191"/>
      <c r="AL36" s="192"/>
      <c r="AM36" s="155"/>
      <c r="AN36" s="155"/>
      <c r="AO36" s="155"/>
      <c r="AP36" s="155"/>
      <c r="AQ36" s="155"/>
      <c r="AR36" s="155"/>
      <c r="AS36" s="155"/>
      <c r="AT36" s="155"/>
      <c r="AU36" s="155"/>
      <c r="AV36" s="155"/>
      <c r="AW36" s="155"/>
      <c r="AX36" s="155"/>
      <c r="AY36" s="155"/>
      <c r="AZ36" s="155"/>
      <c r="BA36" s="155"/>
      <c r="BB36" s="155"/>
      <c r="BC36" s="155"/>
      <c r="BD36" s="155"/>
      <c r="BE36" s="155"/>
      <c r="BF36" s="155"/>
      <c r="BG36" s="155"/>
      <c r="BH36" s="155"/>
      <c r="BI36" s="155"/>
      <c r="BJ36" s="155"/>
      <c r="BK36" s="155"/>
      <c r="BL36" s="155"/>
      <c r="BM36" s="155"/>
      <c r="BN36" s="155"/>
      <c r="BO36" s="155"/>
      <c r="BP36" s="155"/>
      <c r="BQ36" s="155"/>
      <c r="BR36" s="155"/>
    </row>
    <row r="37" spans="1:70" s="156" customFormat="1" ht="78.75" customHeight="1" x14ac:dyDescent="0.25">
      <c r="A37" s="266">
        <v>5</v>
      </c>
      <c r="B37" s="267" t="s">
        <v>209</v>
      </c>
      <c r="C37" s="267" t="s">
        <v>463</v>
      </c>
      <c r="D37" s="270" t="s">
        <v>132</v>
      </c>
      <c r="E37" s="270" t="s">
        <v>467</v>
      </c>
      <c r="F37" s="270" t="s">
        <v>468</v>
      </c>
      <c r="G37" s="362" t="s">
        <v>469</v>
      </c>
      <c r="H37" s="270" t="s">
        <v>437</v>
      </c>
      <c r="I37" s="281">
        <v>12</v>
      </c>
      <c r="J37" s="275" t="str">
        <f>IF(I37&lt;=0,"",IF(I37&lt;=2,"Muy Baja",IF(I37&lt;=24,"Baja",IF(I37&lt;=500,"Media",IF(I37&lt;=5000,"Alta","Muy Alta")))))</f>
        <v>Baja</v>
      </c>
      <c r="K37" s="277">
        <f>IF(J37="","",IF(J37="Muy Baja",0.2,IF(J37="Baja",0.4,IF(J37="Media",0.6,IF(J37="Alta",0.8,IF(J37="Muy Alta",1,))))))</f>
        <v>0.4</v>
      </c>
      <c r="L37" s="273" t="s">
        <v>98</v>
      </c>
      <c r="M37" s="277" t="str">
        <f>IF(NOT(ISERROR(MATCH(L37,'[2]Tabla Impacto'!$B$221:$B$223,0))),'[2]Tabla Impacto'!$F$223&amp;"Por favor no seleccionar los criterios de impacto(Afectación Económica o presupuestal y Pérdida Reputacional)",L37)</f>
        <v>El riesgo afecta la imagen de la entidad con algunos usuarios de relevancia frente al logro de los objetivos</v>
      </c>
      <c r="N37" s="275" t="str">
        <f>+IF(OR(M37='[2]Tabla Impacto'!$C$11,M37='[2]Tabla Impacto'!$D$11),"Leve",IF(OR(M37='[2]Tabla Impacto'!$C$12,M37='[2]Tabla Impacto'!$D$12),"Menor",IF(OR(M37='[2]Tabla Impacto'!$C$13,M37='[2]Tabla Impacto'!$D$13),"Moderado",IF(OR(M37='[2]Tabla Impacto'!$C$14,M37='[2]Tabla Impacto'!$D$14),"Mayor",IF(OR(M37='[2]Tabla Impacto'!$C$15,M37='[2]Tabla Impacto'!$D$15),"Catastrófico","")))))</f>
        <v>Moderado</v>
      </c>
      <c r="O37" s="277">
        <f>IF(N37="","",IF(N37="Leve",0.2,IF(N37="Menor",0.4,IF(N37="Moderado",0.6,IF(N37="Mayor",0.8,IF(N37="Catastrófico",1,))))))</f>
        <v>0.6</v>
      </c>
      <c r="P37" s="279" t="str">
        <f>IF(OR(AND(J37="Muy Baja",N37="Leve"),AND(J37="Muy Baja",N37="Menor"),AND(J37="Baja",N37="Leve")),"Bajo",IF(OR(AND(J37="Muy baja",N37="Moderado"),AND(J37="Baja",N37="Menor"),AND(J37="Baja",N37="Moderado"),AND(J37="Media",N37="Leve"),AND(J37="Media",N37="Menor"),AND(J37="Media",N37="Moderado"),AND(J37="Alta",N37="Leve"),AND(J37="Alta",N37="Menor")),"Moderado",IF(OR(AND(J37="Muy Baja",N37="Mayor"),AND(J37="Baja",N37="Mayor"),AND(J37="Media",N37="Mayor"),AND(J37="Alta",N37="Moderado"),AND(J37="Alta",N37="Mayor"),AND(J37="Muy Alta",N37="Leve"),AND(J37="Muy Alta",N37="Menor"),AND(J37="Muy Alta",N37="Moderado"),AND(J37="Muy Alta",N37="Mayor")),"Alto",IF(OR(AND(J37="Muy Baja",N37="Catastrófico"),AND(J37="Baja",N37="Catastrófico"),AND(J37="Media",N37="Catastrófico"),AND(J37="Alta",N37="Catastrófico"),AND(J37="Muy Alta",N37="Catastrófico")),"Extremo",""))))</f>
        <v>Moderado</v>
      </c>
      <c r="Q37" s="201">
        <v>1</v>
      </c>
      <c r="R37" s="112" t="s">
        <v>499</v>
      </c>
      <c r="S37" s="201" t="str">
        <f t="shared" si="22"/>
        <v>Probabilidad</v>
      </c>
      <c r="T37" s="113" t="s">
        <v>15</v>
      </c>
      <c r="U37" s="113" t="s">
        <v>9</v>
      </c>
      <c r="V37" s="167" t="str">
        <f t="shared" si="23"/>
        <v>30%</v>
      </c>
      <c r="W37" s="113" t="s">
        <v>19</v>
      </c>
      <c r="X37" s="113" t="s">
        <v>22</v>
      </c>
      <c r="Y37" s="113" t="s">
        <v>117</v>
      </c>
      <c r="Z37" s="165">
        <f t="shared" ref="Z37:Z55" si="29">IFERROR(IF(S37="Probabilidad",(K37-(+K37*V37)),IF(S37="Impacto",K37,"")),"")</f>
        <v>0.28000000000000003</v>
      </c>
      <c r="AA37" s="166" t="str">
        <f t="shared" si="24"/>
        <v>Baja</v>
      </c>
      <c r="AB37" s="167">
        <f t="shared" si="25"/>
        <v>0.28000000000000003</v>
      </c>
      <c r="AC37" s="166" t="str">
        <f t="shared" si="26"/>
        <v>Moderado</v>
      </c>
      <c r="AD37" s="167">
        <f t="shared" si="28"/>
        <v>0.6</v>
      </c>
      <c r="AE37" s="168" t="str">
        <f t="shared" si="27"/>
        <v>Moderado</v>
      </c>
      <c r="AF37" s="113" t="s">
        <v>31</v>
      </c>
      <c r="AG37" s="191"/>
      <c r="AH37" s="192"/>
      <c r="AI37" s="114"/>
      <c r="AJ37" s="114"/>
      <c r="AK37" s="191"/>
      <c r="AL37" s="192"/>
      <c r="AM37" s="155"/>
      <c r="AN37" s="155"/>
      <c r="AO37" s="155"/>
      <c r="AP37" s="155"/>
      <c r="AQ37" s="155"/>
      <c r="AR37" s="155"/>
      <c r="AS37" s="155"/>
      <c r="AT37" s="155"/>
      <c r="AU37" s="155"/>
      <c r="AV37" s="155"/>
      <c r="AW37" s="155"/>
      <c r="AX37" s="155"/>
      <c r="AY37" s="155"/>
      <c r="AZ37" s="155"/>
      <c r="BA37" s="155"/>
      <c r="BB37" s="155"/>
      <c r="BC37" s="155"/>
      <c r="BD37" s="155"/>
      <c r="BE37" s="155"/>
      <c r="BF37" s="155"/>
      <c r="BG37" s="155"/>
      <c r="BH37" s="155"/>
      <c r="BI37" s="155"/>
      <c r="BJ37" s="155"/>
      <c r="BK37" s="155"/>
      <c r="BL37" s="155"/>
      <c r="BM37" s="155"/>
      <c r="BN37" s="155"/>
      <c r="BO37" s="155"/>
      <c r="BP37" s="155"/>
      <c r="BQ37" s="155"/>
      <c r="BR37" s="155"/>
    </row>
    <row r="38" spans="1:70" s="156" customFormat="1" ht="78.75" customHeight="1" x14ac:dyDescent="0.25">
      <c r="A38" s="266"/>
      <c r="B38" s="294"/>
      <c r="C38" s="294"/>
      <c r="D38" s="270"/>
      <c r="E38" s="270"/>
      <c r="F38" s="270"/>
      <c r="G38" s="362"/>
      <c r="H38" s="270"/>
      <c r="I38" s="281"/>
      <c r="J38" s="275"/>
      <c r="K38" s="277"/>
      <c r="L38" s="273"/>
      <c r="M38" s="277">
        <f ca="1">IF(NOT(ISERROR(MATCH(L38,_xlfn.ANCHORARRAY(G49),0))),K51&amp;"Por favor no seleccionar los criterios de impacto",L38)</f>
        <v>0</v>
      </c>
      <c r="N38" s="275"/>
      <c r="O38" s="277"/>
      <c r="P38" s="279"/>
      <c r="Q38" s="201">
        <v>2</v>
      </c>
      <c r="R38" s="112" t="s">
        <v>500</v>
      </c>
      <c r="S38" s="201" t="str">
        <f t="shared" si="22"/>
        <v>Probabilidad</v>
      </c>
      <c r="T38" s="113" t="s">
        <v>15</v>
      </c>
      <c r="U38" s="113" t="s">
        <v>9</v>
      </c>
      <c r="V38" s="167" t="str">
        <f t="shared" si="23"/>
        <v>30%</v>
      </c>
      <c r="W38" s="113" t="s">
        <v>19</v>
      </c>
      <c r="X38" s="113" t="s">
        <v>22</v>
      </c>
      <c r="Y38" s="113" t="s">
        <v>117</v>
      </c>
      <c r="Z38" s="165">
        <f>IFERROR(IF(S38="Probabilidad",(K37-(+K37*V38)),IF(S38="Impacto",K37,"")),"")</f>
        <v>0.28000000000000003</v>
      </c>
      <c r="AA38" s="166" t="str">
        <f t="shared" si="24"/>
        <v>Baja</v>
      </c>
      <c r="AB38" s="167">
        <f t="shared" si="25"/>
        <v>0.28000000000000003</v>
      </c>
      <c r="AC38" s="166" t="str">
        <f t="shared" si="26"/>
        <v>Moderado</v>
      </c>
      <c r="AD38" s="167">
        <f>IFERROR(IF(S38="Impacto",(O37-(+O37*V38)),IF(S38="Probabilidad",O37,"")),"")</f>
        <v>0.6</v>
      </c>
      <c r="AE38" s="168" t="str">
        <f t="shared" si="27"/>
        <v>Moderado</v>
      </c>
      <c r="AF38" s="113" t="s">
        <v>31</v>
      </c>
      <c r="AG38" s="191"/>
      <c r="AH38" s="192"/>
      <c r="AI38" s="114"/>
      <c r="AJ38" s="114"/>
      <c r="AK38" s="191"/>
      <c r="AL38" s="192"/>
      <c r="AM38" s="155"/>
      <c r="AN38" s="155"/>
      <c r="AO38" s="155"/>
      <c r="AP38" s="155"/>
      <c r="AQ38" s="155"/>
      <c r="AR38" s="155"/>
      <c r="AS38" s="155"/>
      <c r="AT38" s="155"/>
      <c r="AU38" s="155"/>
      <c r="AV38" s="155"/>
      <c r="AW38" s="155"/>
      <c r="AX38" s="155"/>
      <c r="AY38" s="155"/>
      <c r="AZ38" s="155"/>
      <c r="BA38" s="155"/>
      <c r="BB38" s="155"/>
      <c r="BC38" s="155"/>
      <c r="BD38" s="155"/>
      <c r="BE38" s="155"/>
      <c r="BF38" s="155"/>
      <c r="BG38" s="155"/>
      <c r="BH38" s="155"/>
      <c r="BI38" s="155"/>
      <c r="BJ38" s="155"/>
      <c r="BK38" s="155"/>
      <c r="BL38" s="155"/>
      <c r="BM38" s="155"/>
      <c r="BN38" s="155"/>
      <c r="BO38" s="155"/>
      <c r="BP38" s="155"/>
      <c r="BQ38" s="155"/>
      <c r="BR38" s="155"/>
    </row>
    <row r="39" spans="1:70" s="156" customFormat="1" ht="16.5" hidden="1" customHeight="1" x14ac:dyDescent="0.25">
      <c r="A39" s="266"/>
      <c r="B39" s="268"/>
      <c r="C39" s="268"/>
      <c r="D39" s="271"/>
      <c r="E39" s="271"/>
      <c r="F39" s="271"/>
      <c r="G39" s="363"/>
      <c r="H39" s="271"/>
      <c r="I39" s="266"/>
      <c r="J39" s="276"/>
      <c r="K39" s="278"/>
      <c r="L39" s="274"/>
      <c r="M39" s="278">
        <f ca="1">IF(NOT(ISERROR(MATCH(L39,_xlfn.ANCHORARRAY(G50),0))),K52&amp;"Por favor no seleccionar los criterios de impacto",L39)</f>
        <v>0</v>
      </c>
      <c r="N39" s="276"/>
      <c r="O39" s="278"/>
      <c r="P39" s="280"/>
      <c r="Q39" s="201">
        <v>3</v>
      </c>
      <c r="R39" s="112"/>
      <c r="S39" s="201" t="str">
        <f t="shared" si="22"/>
        <v/>
      </c>
      <c r="T39" s="113"/>
      <c r="U39" s="113"/>
      <c r="V39" s="167" t="str">
        <f t="shared" si="23"/>
        <v/>
      </c>
      <c r="W39" s="113"/>
      <c r="X39" s="113"/>
      <c r="Y39" s="113"/>
      <c r="Z39" s="165" t="str">
        <f>IFERROR(IF(S39="Probabilidad",(K37-(+K37*V39)),IF(S39="Impacto",K37,"")),"")</f>
        <v/>
      </c>
      <c r="AA39" s="166" t="str">
        <f t="shared" si="24"/>
        <v/>
      </c>
      <c r="AB39" s="167" t="str">
        <f t="shared" si="25"/>
        <v/>
      </c>
      <c r="AC39" s="166" t="str">
        <f t="shared" si="26"/>
        <v/>
      </c>
      <c r="AD39" s="167" t="str">
        <f t="shared" si="28"/>
        <v/>
      </c>
      <c r="AE39" s="168" t="str">
        <f t="shared" si="27"/>
        <v/>
      </c>
      <c r="AF39" s="113"/>
      <c r="AG39" s="191"/>
      <c r="AH39" s="192"/>
      <c r="AI39" s="114"/>
      <c r="AJ39" s="114"/>
      <c r="AK39" s="191"/>
      <c r="AL39" s="192"/>
      <c r="AM39" s="155"/>
      <c r="AN39" s="155"/>
      <c r="AO39" s="155"/>
      <c r="AP39" s="155"/>
      <c r="AQ39" s="155"/>
      <c r="AR39" s="155"/>
      <c r="AS39" s="155"/>
      <c r="AT39" s="155"/>
      <c r="AU39" s="155"/>
      <c r="AV39" s="155"/>
      <c r="AW39" s="155"/>
      <c r="AX39" s="155"/>
      <c r="AY39" s="155"/>
      <c r="AZ39" s="155"/>
      <c r="BA39" s="155"/>
      <c r="BB39" s="155"/>
      <c r="BC39" s="155"/>
      <c r="BD39" s="155"/>
      <c r="BE39" s="155"/>
      <c r="BF39" s="155"/>
      <c r="BG39" s="155"/>
      <c r="BH39" s="155"/>
      <c r="BI39" s="155"/>
      <c r="BJ39" s="155"/>
      <c r="BK39" s="155"/>
      <c r="BL39" s="155"/>
      <c r="BM39" s="155"/>
      <c r="BN39" s="155"/>
      <c r="BO39" s="155"/>
      <c r="BP39" s="155"/>
      <c r="BQ39" s="155"/>
      <c r="BR39" s="155"/>
    </row>
    <row r="40" spans="1:70" s="156" customFormat="1" ht="16.5" hidden="1" customHeight="1" x14ac:dyDescent="0.25">
      <c r="A40" s="266"/>
      <c r="B40" s="268"/>
      <c r="C40" s="268"/>
      <c r="D40" s="271"/>
      <c r="E40" s="271"/>
      <c r="F40" s="271"/>
      <c r="G40" s="363"/>
      <c r="H40" s="271"/>
      <c r="I40" s="266"/>
      <c r="J40" s="276"/>
      <c r="K40" s="278"/>
      <c r="L40" s="274"/>
      <c r="M40" s="278">
        <f ca="1">IF(NOT(ISERROR(MATCH(L40,_xlfn.ANCHORARRAY(G51),0))),K53&amp;"Por favor no seleccionar los criterios de impacto",L40)</f>
        <v>0</v>
      </c>
      <c r="N40" s="276"/>
      <c r="O40" s="278"/>
      <c r="P40" s="280"/>
      <c r="Q40" s="201">
        <v>4</v>
      </c>
      <c r="R40" s="112"/>
      <c r="S40" s="201" t="str">
        <f t="shared" si="22"/>
        <v/>
      </c>
      <c r="T40" s="113"/>
      <c r="U40" s="113"/>
      <c r="V40" s="167" t="str">
        <f t="shared" si="23"/>
        <v/>
      </c>
      <c r="W40" s="113"/>
      <c r="X40" s="113"/>
      <c r="Y40" s="113"/>
      <c r="Z40" s="165" t="str">
        <f>IFERROR(IF(S40="Probabilidad",(K37-(+K37*V40)),IF(S40="Impacto",K37,"")),"")</f>
        <v/>
      </c>
      <c r="AA40" s="166" t="str">
        <f t="shared" si="24"/>
        <v/>
      </c>
      <c r="AB40" s="167" t="str">
        <f t="shared" si="25"/>
        <v/>
      </c>
      <c r="AC40" s="166" t="str">
        <f t="shared" si="26"/>
        <v/>
      </c>
      <c r="AD40" s="167" t="str">
        <f t="shared" si="28"/>
        <v/>
      </c>
      <c r="AE40" s="168" t="str">
        <f t="shared" si="27"/>
        <v/>
      </c>
      <c r="AF40" s="113"/>
      <c r="AG40" s="191"/>
      <c r="AH40" s="192"/>
      <c r="AI40" s="114"/>
      <c r="AJ40" s="114"/>
      <c r="AK40" s="191"/>
      <c r="AL40" s="192"/>
      <c r="AM40" s="155"/>
      <c r="AN40" s="155"/>
      <c r="AO40" s="155"/>
      <c r="AP40" s="155"/>
      <c r="AQ40" s="155"/>
      <c r="AR40" s="155"/>
      <c r="AS40" s="155"/>
      <c r="AT40" s="155"/>
      <c r="AU40" s="155"/>
      <c r="AV40" s="155"/>
      <c r="AW40" s="155"/>
      <c r="AX40" s="155"/>
      <c r="AY40" s="155"/>
      <c r="AZ40" s="155"/>
      <c r="BA40" s="155"/>
      <c r="BB40" s="155"/>
      <c r="BC40" s="155"/>
      <c r="BD40" s="155"/>
      <c r="BE40" s="155"/>
      <c r="BF40" s="155"/>
      <c r="BG40" s="155"/>
      <c r="BH40" s="155"/>
      <c r="BI40" s="155"/>
      <c r="BJ40" s="155"/>
      <c r="BK40" s="155"/>
      <c r="BL40" s="155"/>
      <c r="BM40" s="155"/>
      <c r="BN40" s="155"/>
      <c r="BO40" s="155"/>
      <c r="BP40" s="155"/>
      <c r="BQ40" s="155"/>
      <c r="BR40" s="155"/>
    </row>
    <row r="41" spans="1:70" s="156" customFormat="1" ht="16.5" hidden="1" customHeight="1" x14ac:dyDescent="0.25">
      <c r="A41" s="266"/>
      <c r="B41" s="268"/>
      <c r="C41" s="268"/>
      <c r="D41" s="271"/>
      <c r="E41" s="271"/>
      <c r="F41" s="271"/>
      <c r="G41" s="363"/>
      <c r="H41" s="271"/>
      <c r="I41" s="266"/>
      <c r="J41" s="276"/>
      <c r="K41" s="278"/>
      <c r="L41" s="274"/>
      <c r="M41" s="278">
        <f ca="1">IF(NOT(ISERROR(MATCH(L41,_xlfn.ANCHORARRAY(G52),0))),K54&amp;"Por favor no seleccionar los criterios de impacto",L41)</f>
        <v>0</v>
      </c>
      <c r="N41" s="276"/>
      <c r="O41" s="278"/>
      <c r="P41" s="280"/>
      <c r="Q41" s="201">
        <v>5</v>
      </c>
      <c r="R41" s="112"/>
      <c r="S41" s="201" t="str">
        <f t="shared" si="22"/>
        <v/>
      </c>
      <c r="T41" s="113"/>
      <c r="U41" s="113"/>
      <c r="V41" s="167" t="str">
        <f t="shared" si="23"/>
        <v/>
      </c>
      <c r="W41" s="113"/>
      <c r="X41" s="113"/>
      <c r="Y41" s="113"/>
      <c r="Z41" s="165" t="str">
        <f>IFERROR(IF(S41="Probabilidad",(K37-(+K37*V41)),IF(S41="Impacto",K37,"")),"")</f>
        <v/>
      </c>
      <c r="AA41" s="166" t="str">
        <f t="shared" si="24"/>
        <v/>
      </c>
      <c r="AB41" s="167" t="str">
        <f t="shared" si="25"/>
        <v/>
      </c>
      <c r="AC41" s="166" t="str">
        <f t="shared" si="26"/>
        <v/>
      </c>
      <c r="AD41" s="167" t="str">
        <f t="shared" si="28"/>
        <v/>
      </c>
      <c r="AE41" s="168" t="str">
        <f t="shared" si="27"/>
        <v/>
      </c>
      <c r="AF41" s="113"/>
      <c r="AG41" s="191"/>
      <c r="AH41" s="192"/>
      <c r="AI41" s="114"/>
      <c r="AJ41" s="114"/>
      <c r="AK41" s="191"/>
      <c r="AL41" s="192"/>
      <c r="AM41" s="155"/>
      <c r="AN41" s="155"/>
      <c r="AO41" s="155"/>
      <c r="AP41" s="155"/>
      <c r="AQ41" s="155"/>
      <c r="AR41" s="155"/>
      <c r="AS41" s="155"/>
      <c r="AT41" s="155"/>
      <c r="AU41" s="155"/>
      <c r="AV41" s="155"/>
      <c r="AW41" s="155"/>
      <c r="AX41" s="155"/>
      <c r="AY41" s="155"/>
      <c r="AZ41" s="155"/>
      <c r="BA41" s="155"/>
      <c r="BB41" s="155"/>
      <c r="BC41" s="155"/>
      <c r="BD41" s="155"/>
      <c r="BE41" s="155"/>
      <c r="BF41" s="155"/>
      <c r="BG41" s="155"/>
      <c r="BH41" s="155"/>
      <c r="BI41" s="155"/>
      <c r="BJ41" s="155"/>
      <c r="BK41" s="155"/>
      <c r="BL41" s="155"/>
      <c r="BM41" s="155"/>
      <c r="BN41" s="155"/>
      <c r="BO41" s="155"/>
      <c r="BP41" s="155"/>
      <c r="BQ41" s="155"/>
      <c r="BR41" s="155"/>
    </row>
    <row r="42" spans="1:70" s="156" customFormat="1" ht="16.5" hidden="1" customHeight="1" x14ac:dyDescent="0.25">
      <c r="A42" s="266"/>
      <c r="B42" s="269"/>
      <c r="C42" s="269"/>
      <c r="D42" s="271"/>
      <c r="E42" s="271"/>
      <c r="F42" s="271"/>
      <c r="G42" s="363"/>
      <c r="H42" s="271"/>
      <c r="I42" s="266"/>
      <c r="J42" s="276"/>
      <c r="K42" s="278"/>
      <c r="L42" s="274"/>
      <c r="M42" s="278">
        <f ca="1">IF(NOT(ISERROR(MATCH(L42,_xlfn.ANCHORARRAY(G53),0))),K55&amp;"Por favor no seleccionar los criterios de impacto",L42)</f>
        <v>0</v>
      </c>
      <c r="N42" s="276"/>
      <c r="O42" s="278"/>
      <c r="P42" s="280"/>
      <c r="Q42" s="201">
        <v>6</v>
      </c>
      <c r="R42" s="112"/>
      <c r="S42" s="201" t="str">
        <f t="shared" si="22"/>
        <v/>
      </c>
      <c r="T42" s="113"/>
      <c r="U42" s="113"/>
      <c r="V42" s="167" t="str">
        <f t="shared" si="23"/>
        <v/>
      </c>
      <c r="W42" s="113"/>
      <c r="X42" s="113"/>
      <c r="Y42" s="113"/>
      <c r="Z42" s="165" t="str">
        <f>IFERROR(IF(S42="Probabilidad",(K37-(+K37*V42)),IF(S42="Impacto",K37,"")),"")</f>
        <v/>
      </c>
      <c r="AA42" s="166" t="str">
        <f t="shared" si="24"/>
        <v/>
      </c>
      <c r="AB42" s="167" t="str">
        <f t="shared" si="25"/>
        <v/>
      </c>
      <c r="AC42" s="166" t="str">
        <f t="shared" si="26"/>
        <v/>
      </c>
      <c r="AD42" s="167" t="str">
        <f t="shared" si="28"/>
        <v/>
      </c>
      <c r="AE42" s="168" t="str">
        <f t="shared" si="27"/>
        <v/>
      </c>
      <c r="AF42" s="113"/>
      <c r="AG42" s="191"/>
      <c r="AH42" s="192"/>
      <c r="AI42" s="114"/>
      <c r="AJ42" s="114"/>
      <c r="AK42" s="191"/>
      <c r="AL42" s="192"/>
      <c r="AM42" s="155"/>
      <c r="AN42" s="155"/>
      <c r="AO42" s="155"/>
      <c r="AP42" s="155"/>
      <c r="AQ42" s="155"/>
      <c r="AR42" s="155"/>
      <c r="AS42" s="155"/>
      <c r="AT42" s="155"/>
      <c r="AU42" s="155"/>
      <c r="AV42" s="155"/>
      <c r="AW42" s="155"/>
      <c r="AX42" s="155"/>
      <c r="AY42" s="155"/>
      <c r="AZ42" s="155"/>
      <c r="BA42" s="155"/>
      <c r="BB42" s="155"/>
      <c r="BC42" s="155"/>
      <c r="BD42" s="155"/>
      <c r="BE42" s="155"/>
      <c r="BF42" s="155"/>
      <c r="BG42" s="155"/>
      <c r="BH42" s="155"/>
      <c r="BI42" s="155"/>
      <c r="BJ42" s="155"/>
      <c r="BK42" s="155"/>
      <c r="BL42" s="155"/>
      <c r="BM42" s="155"/>
      <c r="BN42" s="155"/>
      <c r="BO42" s="155"/>
      <c r="BP42" s="155"/>
      <c r="BQ42" s="155"/>
      <c r="BR42" s="155"/>
    </row>
    <row r="43" spans="1:70" s="156" customFormat="1" ht="103.5" customHeight="1" x14ac:dyDescent="0.25">
      <c r="A43" s="266">
        <v>6</v>
      </c>
      <c r="B43" s="267" t="s">
        <v>209</v>
      </c>
      <c r="C43" s="267" t="s">
        <v>463</v>
      </c>
      <c r="D43" s="270" t="s">
        <v>130</v>
      </c>
      <c r="E43" s="270" t="s">
        <v>470</v>
      </c>
      <c r="F43" s="270" t="s">
        <v>471</v>
      </c>
      <c r="G43" s="362" t="s">
        <v>472</v>
      </c>
      <c r="H43" s="270" t="s">
        <v>437</v>
      </c>
      <c r="I43" s="281">
        <v>1</v>
      </c>
      <c r="J43" s="275" t="str">
        <f>IF(I43&lt;=0,"",IF(I43&lt;=2,"Muy Baja",IF(I43&lt;=24,"Baja",IF(I43&lt;=500,"Media",IF(I43&lt;=5000,"Alta","Muy Alta")))))</f>
        <v>Muy Baja</v>
      </c>
      <c r="K43" s="277">
        <f>IF(J43="","",IF(J43="Muy Baja",0.2,IF(J43="Baja",0.4,IF(J43="Media",0.6,IF(J43="Alta",0.8,IF(J43="Muy Alta",1,))))))</f>
        <v>0.2</v>
      </c>
      <c r="L43" s="273" t="s">
        <v>97</v>
      </c>
      <c r="M43" s="277" t="str">
        <f>IF(NOT(ISERROR(MATCH(L43,'[2]Tabla Impacto'!$B$221:$B$223,0))),'[2]Tabla Impacto'!$F$223&amp;"Por favor no seleccionar los criterios de impacto(Afectación Económica o presupuestal y Pérdida Reputacional)",L43)</f>
        <v>El riesgo afecta la imagen de de la entidad con efecto publicitario sostenido a nivel de sector administrativo, nivel departamental o municipal</v>
      </c>
      <c r="N43" s="275" t="str">
        <f>+IF(OR(M43='[2]Tabla Impacto'!$C$11,M43='[2]Tabla Impacto'!$D$11),"Leve",IF(OR(M43='[2]Tabla Impacto'!$C$12,M43='[2]Tabla Impacto'!$D$12),"Menor",IF(OR(M43='[2]Tabla Impacto'!$C$13,M43='[2]Tabla Impacto'!$D$13),"Moderado",IF(OR(M43='[2]Tabla Impacto'!$C$14,M43='[2]Tabla Impacto'!$D$14),"Mayor",IF(OR(M43='[2]Tabla Impacto'!$C$15,M43='[2]Tabla Impacto'!$D$15),"Catastrófico","")))))</f>
        <v>Mayor</v>
      </c>
      <c r="O43" s="277">
        <f>IF(N43="","",IF(N43="Leve",0.2,IF(N43="Menor",0.4,IF(N43="Moderado",0.6,IF(N43="Mayor",0.8,IF(N43="Catastrófico",1,))))))</f>
        <v>0.8</v>
      </c>
      <c r="P43" s="279" t="str">
        <f>IF(OR(AND(J43="Muy Baja",N43="Leve"),AND(J43="Muy Baja",N43="Menor"),AND(J43="Baja",N43="Leve")),"Bajo",IF(OR(AND(J43="Muy baja",N43="Moderado"),AND(J43="Baja",N43="Menor"),AND(J43="Baja",N43="Moderado"),AND(J43="Media",N43="Leve"),AND(J43="Media",N43="Menor"),AND(J43="Media",N43="Moderado"),AND(J43="Alta",N43="Leve"),AND(J43="Alta",N43="Menor")),"Moderado",IF(OR(AND(J43="Muy Baja",N43="Mayor"),AND(J43="Baja",N43="Mayor"),AND(J43="Media",N43="Mayor"),AND(J43="Alta",N43="Moderado"),AND(J43="Alta",N43="Mayor"),AND(J43="Muy Alta",N43="Leve"),AND(J43="Muy Alta",N43="Menor"),AND(J43="Muy Alta",N43="Moderado"),AND(J43="Muy Alta",N43="Mayor")),"Alto",IF(OR(AND(J43="Muy Baja",N43="Catastrófico"),AND(J43="Baja",N43="Catastrófico"),AND(J43="Media",N43="Catastrófico"),AND(J43="Alta",N43="Catastrófico"),AND(J43="Muy Alta",N43="Catastrófico")),"Extremo",""))))</f>
        <v>Alto</v>
      </c>
      <c r="Q43" s="201">
        <v>1</v>
      </c>
      <c r="R43" s="112" t="s">
        <v>501</v>
      </c>
      <c r="S43" s="201" t="str">
        <f t="shared" si="22"/>
        <v>Probabilidad</v>
      </c>
      <c r="T43" s="113" t="s">
        <v>14</v>
      </c>
      <c r="U43" s="113" t="s">
        <v>9</v>
      </c>
      <c r="V43" s="167" t="str">
        <f t="shared" si="23"/>
        <v>40%</v>
      </c>
      <c r="W43" s="113" t="s">
        <v>20</v>
      </c>
      <c r="X43" s="113" t="s">
        <v>22</v>
      </c>
      <c r="Y43" s="113" t="s">
        <v>117</v>
      </c>
      <c r="Z43" s="165">
        <f t="shared" si="29"/>
        <v>0.12</v>
      </c>
      <c r="AA43" s="166" t="str">
        <f t="shared" si="24"/>
        <v>Muy Baja</v>
      </c>
      <c r="AB43" s="167">
        <f t="shared" si="25"/>
        <v>0.12</v>
      </c>
      <c r="AC43" s="166" t="str">
        <f t="shared" si="26"/>
        <v>Mayor</v>
      </c>
      <c r="AD43" s="167">
        <f t="shared" si="28"/>
        <v>0.8</v>
      </c>
      <c r="AE43" s="168" t="str">
        <f t="shared" si="27"/>
        <v>Alto</v>
      </c>
      <c r="AF43" s="113" t="s">
        <v>31</v>
      </c>
      <c r="AG43" s="191"/>
      <c r="AH43" s="192"/>
      <c r="AI43" s="114"/>
      <c r="AJ43" s="114"/>
      <c r="AK43" s="191"/>
      <c r="AL43" s="192"/>
      <c r="AM43" s="155"/>
      <c r="AN43" s="155"/>
      <c r="AO43" s="155"/>
      <c r="AP43" s="155"/>
      <c r="AQ43" s="155"/>
      <c r="AR43" s="155"/>
      <c r="AS43" s="155"/>
      <c r="AT43" s="155"/>
      <c r="AU43" s="155"/>
      <c r="AV43" s="155"/>
      <c r="AW43" s="155"/>
      <c r="AX43" s="155"/>
      <c r="AY43" s="155"/>
      <c r="AZ43" s="155"/>
      <c r="BA43" s="155"/>
      <c r="BB43" s="155"/>
      <c r="BC43" s="155"/>
      <c r="BD43" s="155"/>
      <c r="BE43" s="155"/>
      <c r="BF43" s="155"/>
      <c r="BG43" s="155"/>
      <c r="BH43" s="155"/>
      <c r="BI43" s="155"/>
      <c r="BJ43" s="155"/>
      <c r="BK43" s="155"/>
      <c r="BL43" s="155"/>
      <c r="BM43" s="155"/>
      <c r="BN43" s="155"/>
      <c r="BO43" s="155"/>
      <c r="BP43" s="155"/>
      <c r="BQ43" s="155"/>
      <c r="BR43" s="155"/>
    </row>
    <row r="44" spans="1:70" s="156" customFormat="1" ht="103.5" customHeight="1" x14ac:dyDescent="0.25">
      <c r="A44" s="266"/>
      <c r="B44" s="294"/>
      <c r="C44" s="294"/>
      <c r="D44" s="270"/>
      <c r="E44" s="270"/>
      <c r="F44" s="270"/>
      <c r="G44" s="362"/>
      <c r="H44" s="270"/>
      <c r="I44" s="281"/>
      <c r="J44" s="275"/>
      <c r="K44" s="277"/>
      <c r="L44" s="273"/>
      <c r="M44" s="277">
        <f ca="1">IF(NOT(ISERROR(MATCH(L44,_xlfn.ANCHORARRAY(G55),0))),K57&amp;"Por favor no seleccionar los criterios de impacto",L44)</f>
        <v>0</v>
      </c>
      <c r="N44" s="275"/>
      <c r="O44" s="277"/>
      <c r="P44" s="279"/>
      <c r="Q44" s="201">
        <v>2</v>
      </c>
      <c r="R44" s="112" t="s">
        <v>502</v>
      </c>
      <c r="S44" s="201" t="str">
        <f t="shared" si="22"/>
        <v>Probabilidad</v>
      </c>
      <c r="T44" s="113" t="s">
        <v>14</v>
      </c>
      <c r="U44" s="113" t="s">
        <v>9</v>
      </c>
      <c r="V44" s="167" t="str">
        <f t="shared" si="23"/>
        <v>40%</v>
      </c>
      <c r="W44" s="113" t="s">
        <v>20</v>
      </c>
      <c r="X44" s="113" t="s">
        <v>22</v>
      </c>
      <c r="Y44" s="113" t="s">
        <v>117</v>
      </c>
      <c r="Z44" s="165">
        <f>IFERROR(IF(S44="Probabilidad",(K43-(+K43*V44)),IF(S44="Impacto",K43,"")),"")</f>
        <v>0.12</v>
      </c>
      <c r="AA44" s="166" t="str">
        <f t="shared" si="24"/>
        <v>Muy Baja</v>
      </c>
      <c r="AB44" s="167">
        <f t="shared" si="25"/>
        <v>0.12</v>
      </c>
      <c r="AC44" s="166" t="str">
        <f t="shared" si="26"/>
        <v>Mayor</v>
      </c>
      <c r="AD44" s="167">
        <f>IFERROR(IF(S44="Impacto",(O43-(+O43*V44)),IF(S44="Probabilidad",O43,"")),"")</f>
        <v>0.8</v>
      </c>
      <c r="AE44" s="168" t="str">
        <f t="shared" si="27"/>
        <v>Alto</v>
      </c>
      <c r="AF44" s="113" t="s">
        <v>31</v>
      </c>
      <c r="AG44" s="191"/>
      <c r="AH44" s="192"/>
      <c r="AI44" s="114"/>
      <c r="AJ44" s="114"/>
      <c r="AK44" s="191"/>
      <c r="AL44" s="192"/>
      <c r="AM44" s="155"/>
      <c r="AN44" s="155"/>
      <c r="AO44" s="155"/>
      <c r="AP44" s="155"/>
      <c r="AQ44" s="155"/>
      <c r="AR44" s="155"/>
      <c r="AS44" s="155"/>
      <c r="AT44" s="155"/>
      <c r="AU44" s="155"/>
      <c r="AV44" s="155"/>
      <c r="AW44" s="155"/>
      <c r="AX44" s="155"/>
      <c r="AY44" s="155"/>
      <c r="AZ44" s="155"/>
      <c r="BA44" s="155"/>
      <c r="BB44" s="155"/>
      <c r="BC44" s="155"/>
      <c r="BD44" s="155"/>
      <c r="BE44" s="155"/>
      <c r="BF44" s="155"/>
      <c r="BG44" s="155"/>
      <c r="BH44" s="155"/>
      <c r="BI44" s="155"/>
      <c r="BJ44" s="155"/>
      <c r="BK44" s="155"/>
      <c r="BL44" s="155"/>
      <c r="BM44" s="155"/>
      <c r="BN44" s="155"/>
      <c r="BO44" s="155"/>
      <c r="BP44" s="155"/>
      <c r="BQ44" s="155"/>
      <c r="BR44" s="155"/>
    </row>
    <row r="45" spans="1:70" s="156" customFormat="1" ht="103.5" customHeight="1" x14ac:dyDescent="0.25">
      <c r="A45" s="266"/>
      <c r="B45" s="294"/>
      <c r="C45" s="294"/>
      <c r="D45" s="270"/>
      <c r="E45" s="270"/>
      <c r="F45" s="270"/>
      <c r="G45" s="362"/>
      <c r="H45" s="270"/>
      <c r="I45" s="281"/>
      <c r="J45" s="275"/>
      <c r="K45" s="277"/>
      <c r="L45" s="273"/>
      <c r="M45" s="277">
        <f ca="1">IF(NOT(ISERROR(MATCH(L45,_xlfn.ANCHORARRAY(G56),0))),K58&amp;"Por favor no seleccionar los criterios de impacto",L45)</f>
        <v>0</v>
      </c>
      <c r="N45" s="275"/>
      <c r="O45" s="277"/>
      <c r="P45" s="279"/>
      <c r="Q45" s="201">
        <v>3</v>
      </c>
      <c r="R45" s="112" t="s">
        <v>503</v>
      </c>
      <c r="S45" s="201" t="str">
        <f t="shared" si="22"/>
        <v>Probabilidad</v>
      </c>
      <c r="T45" s="113" t="s">
        <v>14</v>
      </c>
      <c r="U45" s="113" t="s">
        <v>9</v>
      </c>
      <c r="V45" s="167" t="str">
        <f t="shared" si="23"/>
        <v>40%</v>
      </c>
      <c r="W45" s="113" t="s">
        <v>20</v>
      </c>
      <c r="X45" s="113" t="s">
        <v>22</v>
      </c>
      <c r="Y45" s="113" t="s">
        <v>117</v>
      </c>
      <c r="Z45" s="165">
        <f>IFERROR(IF(S45="Probabilidad",(K43-(+K43*V45)),IF(S45="Impacto",K43,"")),"")</f>
        <v>0.12</v>
      </c>
      <c r="AA45" s="166" t="str">
        <f t="shared" si="24"/>
        <v>Muy Baja</v>
      </c>
      <c r="AB45" s="167">
        <f t="shared" si="25"/>
        <v>0.12</v>
      </c>
      <c r="AC45" s="166" t="str">
        <f t="shared" si="26"/>
        <v>Mayor</v>
      </c>
      <c r="AD45" s="167">
        <f>IFERROR(IF(S45="Impacto",(O43-(+O43*V45)),IF(S45="Probabilidad",O43,"")),"")</f>
        <v>0.8</v>
      </c>
      <c r="AE45" s="168" t="str">
        <f t="shared" si="27"/>
        <v>Alto</v>
      </c>
      <c r="AF45" s="113" t="s">
        <v>31</v>
      </c>
      <c r="AG45" s="191"/>
      <c r="AH45" s="192"/>
      <c r="AI45" s="114"/>
      <c r="AJ45" s="114"/>
      <c r="AK45" s="191"/>
      <c r="AL45" s="192"/>
      <c r="AM45" s="155"/>
      <c r="AN45" s="155"/>
      <c r="AO45" s="155"/>
      <c r="AP45" s="155"/>
      <c r="AQ45" s="155"/>
      <c r="AR45" s="155"/>
      <c r="AS45" s="155"/>
      <c r="AT45" s="155"/>
      <c r="AU45" s="155"/>
      <c r="AV45" s="155"/>
      <c r="AW45" s="155"/>
      <c r="AX45" s="155"/>
      <c r="AY45" s="155"/>
      <c r="AZ45" s="155"/>
      <c r="BA45" s="155"/>
      <c r="BB45" s="155"/>
      <c r="BC45" s="155"/>
      <c r="BD45" s="155"/>
      <c r="BE45" s="155"/>
      <c r="BF45" s="155"/>
      <c r="BG45" s="155"/>
      <c r="BH45" s="155"/>
      <c r="BI45" s="155"/>
      <c r="BJ45" s="155"/>
      <c r="BK45" s="155"/>
      <c r="BL45" s="155"/>
      <c r="BM45" s="155"/>
      <c r="BN45" s="155"/>
      <c r="BO45" s="155"/>
      <c r="BP45" s="155"/>
      <c r="BQ45" s="155"/>
      <c r="BR45" s="155"/>
    </row>
    <row r="46" spans="1:70" s="156" customFormat="1" ht="16.5" hidden="1" customHeight="1" x14ac:dyDescent="0.25">
      <c r="A46" s="266"/>
      <c r="B46" s="268"/>
      <c r="C46" s="268"/>
      <c r="D46" s="271"/>
      <c r="E46" s="271"/>
      <c r="F46" s="271"/>
      <c r="G46" s="363"/>
      <c r="H46" s="271"/>
      <c r="I46" s="266"/>
      <c r="J46" s="276"/>
      <c r="K46" s="278"/>
      <c r="L46" s="274"/>
      <c r="M46" s="278">
        <f ca="1">IF(NOT(ISERROR(MATCH(L46,_xlfn.ANCHORARRAY(G57),0))),K59&amp;"Por favor no seleccionar los criterios de impacto",L46)</f>
        <v>0</v>
      </c>
      <c r="N46" s="276"/>
      <c r="O46" s="278"/>
      <c r="P46" s="280"/>
      <c r="Q46" s="201">
        <v>4</v>
      </c>
      <c r="R46" s="112"/>
      <c r="S46" s="201" t="str">
        <f t="shared" si="22"/>
        <v/>
      </c>
      <c r="T46" s="113"/>
      <c r="U46" s="113"/>
      <c r="V46" s="167" t="str">
        <f t="shared" si="23"/>
        <v/>
      </c>
      <c r="W46" s="113"/>
      <c r="X46" s="113"/>
      <c r="Y46" s="113"/>
      <c r="Z46" s="165" t="str">
        <f>IFERROR(IF(S46="Probabilidad",(K43-(+K43*V46)),IF(S46="Impacto",K43,"")),"")</f>
        <v/>
      </c>
      <c r="AA46" s="166" t="str">
        <f t="shared" si="24"/>
        <v/>
      </c>
      <c r="AB46" s="167" t="str">
        <f t="shared" si="25"/>
        <v/>
      </c>
      <c r="AC46" s="166" t="str">
        <f t="shared" si="26"/>
        <v/>
      </c>
      <c r="AD46" s="167" t="str">
        <f t="shared" si="28"/>
        <v/>
      </c>
      <c r="AE46" s="168" t="str">
        <f t="shared" si="27"/>
        <v/>
      </c>
      <c r="AF46" s="113"/>
      <c r="AG46" s="191"/>
      <c r="AH46" s="192"/>
      <c r="AI46" s="114"/>
      <c r="AJ46" s="114"/>
      <c r="AK46" s="191"/>
      <c r="AL46" s="192"/>
      <c r="AM46" s="155"/>
      <c r="AN46" s="155"/>
      <c r="AO46" s="155"/>
      <c r="AP46" s="155"/>
      <c r="AQ46" s="155"/>
      <c r="AR46" s="155"/>
      <c r="AS46" s="155"/>
      <c r="AT46" s="155"/>
      <c r="AU46" s="155"/>
      <c r="AV46" s="155"/>
      <c r="AW46" s="155"/>
      <c r="AX46" s="155"/>
      <c r="AY46" s="155"/>
      <c r="AZ46" s="155"/>
      <c r="BA46" s="155"/>
      <c r="BB46" s="155"/>
      <c r="BC46" s="155"/>
      <c r="BD46" s="155"/>
      <c r="BE46" s="155"/>
      <c r="BF46" s="155"/>
      <c r="BG46" s="155"/>
      <c r="BH46" s="155"/>
      <c r="BI46" s="155"/>
      <c r="BJ46" s="155"/>
      <c r="BK46" s="155"/>
      <c r="BL46" s="155"/>
      <c r="BM46" s="155"/>
      <c r="BN46" s="155"/>
      <c r="BO46" s="155"/>
      <c r="BP46" s="155"/>
      <c r="BQ46" s="155"/>
      <c r="BR46" s="155"/>
    </row>
    <row r="47" spans="1:70" s="156" customFormat="1" ht="16.5" hidden="1" customHeight="1" x14ac:dyDescent="0.25">
      <c r="A47" s="266"/>
      <c r="B47" s="268"/>
      <c r="C47" s="268"/>
      <c r="D47" s="271"/>
      <c r="E47" s="271"/>
      <c r="F47" s="271"/>
      <c r="G47" s="363"/>
      <c r="H47" s="271"/>
      <c r="I47" s="266"/>
      <c r="J47" s="276"/>
      <c r="K47" s="278"/>
      <c r="L47" s="274"/>
      <c r="M47" s="278">
        <f ca="1">IF(NOT(ISERROR(MATCH(L47,_xlfn.ANCHORARRAY(G58),0))),K60&amp;"Por favor no seleccionar los criterios de impacto",L47)</f>
        <v>0</v>
      </c>
      <c r="N47" s="276"/>
      <c r="O47" s="278"/>
      <c r="P47" s="280"/>
      <c r="Q47" s="201">
        <v>5</v>
      </c>
      <c r="R47" s="112"/>
      <c r="S47" s="201" t="str">
        <f t="shared" si="22"/>
        <v/>
      </c>
      <c r="T47" s="113"/>
      <c r="U47" s="113"/>
      <c r="V47" s="167" t="str">
        <f t="shared" si="23"/>
        <v/>
      </c>
      <c r="W47" s="113"/>
      <c r="X47" s="113"/>
      <c r="Y47" s="113"/>
      <c r="Z47" s="165" t="str">
        <f>IFERROR(IF(S47="Probabilidad",(K43-(+K43*V47)),IF(S47="Impacto",K43,"")),"")</f>
        <v/>
      </c>
      <c r="AA47" s="166" t="str">
        <f t="shared" si="24"/>
        <v/>
      </c>
      <c r="AB47" s="167" t="str">
        <f t="shared" si="25"/>
        <v/>
      </c>
      <c r="AC47" s="166" t="str">
        <f t="shared" si="26"/>
        <v/>
      </c>
      <c r="AD47" s="167" t="str">
        <f t="shared" si="28"/>
        <v/>
      </c>
      <c r="AE47" s="168" t="str">
        <f t="shared" si="27"/>
        <v/>
      </c>
      <c r="AF47" s="113"/>
      <c r="AG47" s="191"/>
      <c r="AH47" s="192"/>
      <c r="AI47" s="114"/>
      <c r="AJ47" s="114"/>
      <c r="AK47" s="191"/>
      <c r="AL47" s="192"/>
      <c r="AM47" s="155"/>
      <c r="AN47" s="155"/>
      <c r="AO47" s="155"/>
      <c r="AP47" s="155"/>
      <c r="AQ47" s="155"/>
      <c r="AR47" s="155"/>
      <c r="AS47" s="155"/>
      <c r="AT47" s="155"/>
      <c r="AU47" s="155"/>
      <c r="AV47" s="155"/>
      <c r="AW47" s="155"/>
      <c r="AX47" s="155"/>
      <c r="AY47" s="155"/>
      <c r="AZ47" s="155"/>
      <c r="BA47" s="155"/>
      <c r="BB47" s="155"/>
      <c r="BC47" s="155"/>
      <c r="BD47" s="155"/>
      <c r="BE47" s="155"/>
      <c r="BF47" s="155"/>
      <c r="BG47" s="155"/>
      <c r="BH47" s="155"/>
      <c r="BI47" s="155"/>
      <c r="BJ47" s="155"/>
      <c r="BK47" s="155"/>
      <c r="BL47" s="155"/>
      <c r="BM47" s="155"/>
      <c r="BN47" s="155"/>
      <c r="BO47" s="155"/>
      <c r="BP47" s="155"/>
      <c r="BQ47" s="155"/>
      <c r="BR47" s="155"/>
    </row>
    <row r="48" spans="1:70" s="156" customFormat="1" ht="16.5" hidden="1" customHeight="1" x14ac:dyDescent="0.25">
      <c r="A48" s="266"/>
      <c r="B48" s="269"/>
      <c r="C48" s="269"/>
      <c r="D48" s="271"/>
      <c r="E48" s="271"/>
      <c r="F48" s="271"/>
      <c r="G48" s="363"/>
      <c r="H48" s="271"/>
      <c r="I48" s="266"/>
      <c r="J48" s="276"/>
      <c r="K48" s="278"/>
      <c r="L48" s="274"/>
      <c r="M48" s="278">
        <f ca="1">IF(NOT(ISERROR(MATCH(L48,_xlfn.ANCHORARRAY(G59),0))),K61&amp;"Por favor no seleccionar los criterios de impacto",L48)</f>
        <v>0</v>
      </c>
      <c r="N48" s="276"/>
      <c r="O48" s="278"/>
      <c r="P48" s="280"/>
      <c r="Q48" s="201">
        <v>6</v>
      </c>
      <c r="R48" s="112"/>
      <c r="S48" s="201" t="str">
        <f t="shared" si="22"/>
        <v/>
      </c>
      <c r="T48" s="113"/>
      <c r="U48" s="113"/>
      <c r="V48" s="167" t="str">
        <f t="shared" si="23"/>
        <v/>
      </c>
      <c r="W48" s="113"/>
      <c r="X48" s="113"/>
      <c r="Y48" s="113"/>
      <c r="Z48" s="165" t="str">
        <f>IFERROR(IF(S48="Probabilidad",(K43-(+K43*V48)),IF(S48="Impacto",K43,"")),"")</f>
        <v/>
      </c>
      <c r="AA48" s="166" t="str">
        <f t="shared" si="24"/>
        <v/>
      </c>
      <c r="AB48" s="167" t="str">
        <f t="shared" si="25"/>
        <v/>
      </c>
      <c r="AC48" s="166" t="str">
        <f t="shared" si="26"/>
        <v/>
      </c>
      <c r="AD48" s="167" t="str">
        <f t="shared" si="28"/>
        <v/>
      </c>
      <c r="AE48" s="168" t="str">
        <f t="shared" si="27"/>
        <v/>
      </c>
      <c r="AF48" s="113"/>
      <c r="AG48" s="191"/>
      <c r="AH48" s="192"/>
      <c r="AI48" s="114"/>
      <c r="AJ48" s="114"/>
      <c r="AK48" s="191"/>
      <c r="AL48" s="192"/>
      <c r="AM48" s="155"/>
      <c r="AN48" s="155"/>
      <c r="AO48" s="155"/>
      <c r="AP48" s="155"/>
      <c r="AQ48" s="155"/>
      <c r="AR48" s="155"/>
      <c r="AS48" s="155"/>
      <c r="AT48" s="155"/>
      <c r="AU48" s="155"/>
      <c r="AV48" s="155"/>
      <c r="AW48" s="155"/>
      <c r="AX48" s="155"/>
      <c r="AY48" s="155"/>
      <c r="AZ48" s="155"/>
      <c r="BA48" s="155"/>
      <c r="BB48" s="155"/>
      <c r="BC48" s="155"/>
      <c r="BD48" s="155"/>
      <c r="BE48" s="155"/>
      <c r="BF48" s="155"/>
      <c r="BG48" s="155"/>
      <c r="BH48" s="155"/>
      <c r="BI48" s="155"/>
      <c r="BJ48" s="155"/>
      <c r="BK48" s="155"/>
      <c r="BL48" s="155"/>
      <c r="BM48" s="155"/>
      <c r="BN48" s="155"/>
      <c r="BO48" s="155"/>
      <c r="BP48" s="155"/>
      <c r="BQ48" s="155"/>
      <c r="BR48" s="155"/>
    </row>
    <row r="49" spans="1:70" s="156" customFormat="1" ht="74.25" customHeight="1" x14ac:dyDescent="0.25">
      <c r="A49" s="266">
        <v>7</v>
      </c>
      <c r="B49" s="267" t="s">
        <v>209</v>
      </c>
      <c r="C49" s="267" t="s">
        <v>473</v>
      </c>
      <c r="D49" s="270" t="s">
        <v>132</v>
      </c>
      <c r="E49" s="270" t="s">
        <v>474</v>
      </c>
      <c r="F49" s="270" t="s">
        <v>475</v>
      </c>
      <c r="G49" s="362" t="s">
        <v>476</v>
      </c>
      <c r="H49" s="270" t="s">
        <v>437</v>
      </c>
      <c r="I49" s="281">
        <v>365</v>
      </c>
      <c r="J49" s="275" t="str">
        <f>IF(I49&lt;=0,"",IF(I49&lt;=2,"Muy Baja",IF(I49&lt;=24,"Baja",IF(I49&lt;=500,"Media",IF(I49&lt;=5000,"Alta","Muy Alta")))))</f>
        <v>Media</v>
      </c>
      <c r="K49" s="277">
        <f>IF(J49="","",IF(J49="Muy Baja",0.2,IF(J49="Baja",0.4,IF(J49="Media",0.6,IF(J49="Alta",0.8,IF(J49="Muy Alta",1,))))))</f>
        <v>0.6</v>
      </c>
      <c r="L49" s="273" t="s">
        <v>98</v>
      </c>
      <c r="M49" s="277" t="str">
        <f>IF(NOT(ISERROR(MATCH(L49,'[2]Tabla Impacto'!$B$221:$B$223,0))),'[2]Tabla Impacto'!$F$223&amp;"Por favor no seleccionar los criterios de impacto(Afectación Económica o presupuestal y Pérdida Reputacional)",L49)</f>
        <v>El riesgo afecta la imagen de la entidad con algunos usuarios de relevancia frente al logro de los objetivos</v>
      </c>
      <c r="N49" s="275" t="str">
        <f>+IF(OR(M49='[2]Tabla Impacto'!$C$11,M49='[2]Tabla Impacto'!$D$11),"Leve",IF(OR(M49='[2]Tabla Impacto'!$C$12,M49='[2]Tabla Impacto'!$D$12),"Menor",IF(OR(M49='[2]Tabla Impacto'!$C$13,M49='[2]Tabla Impacto'!$D$13),"Moderado",IF(OR(M49='[2]Tabla Impacto'!$C$14,M49='[2]Tabla Impacto'!$D$14),"Mayor",IF(OR(M49='[2]Tabla Impacto'!$C$15,M49='[2]Tabla Impacto'!$D$15),"Catastrófico","")))))</f>
        <v>Moderado</v>
      </c>
      <c r="O49" s="277">
        <f>IF(N49="","",IF(N49="Leve",0.2,IF(N49="Menor",0.4,IF(N49="Moderado",0.6,IF(N49="Mayor",0.8,IF(N49="Catastrófico",1,))))))</f>
        <v>0.6</v>
      </c>
      <c r="P49" s="279" t="str">
        <f>IF(OR(AND(J49="Muy Baja",N49="Leve"),AND(J49="Muy Baja",N49="Menor"),AND(J49="Baja",N49="Leve")),"Bajo",IF(OR(AND(J49="Muy baja",N49="Moderado"),AND(J49="Baja",N49="Menor"),AND(J49="Baja",N49="Moderado"),AND(J49="Media",N49="Leve"),AND(J49="Media",N49="Menor"),AND(J49="Media",N49="Moderado"),AND(J49="Alta",N49="Leve"),AND(J49="Alta",N49="Menor")),"Moderado",IF(OR(AND(J49="Muy Baja",N49="Mayor"),AND(J49="Baja",N49="Mayor"),AND(J49="Media",N49="Mayor"),AND(J49="Alta",N49="Moderado"),AND(J49="Alta",N49="Mayor"),AND(J49="Muy Alta",N49="Leve"),AND(J49="Muy Alta",N49="Menor"),AND(J49="Muy Alta",N49="Moderado"),AND(J49="Muy Alta",N49="Mayor")),"Alto",IF(OR(AND(J49="Muy Baja",N49="Catastrófico"),AND(J49="Baja",N49="Catastrófico"),AND(J49="Media",N49="Catastrófico"),AND(J49="Alta",N49="Catastrófico"),AND(J49="Muy Alta",N49="Catastrófico")),"Extremo",""))))</f>
        <v>Moderado</v>
      </c>
      <c r="Q49" s="201">
        <v>1</v>
      </c>
      <c r="R49" s="112" t="s">
        <v>504</v>
      </c>
      <c r="S49" s="201" t="str">
        <f t="shared" si="22"/>
        <v>Probabilidad</v>
      </c>
      <c r="T49" s="113" t="s">
        <v>14</v>
      </c>
      <c r="U49" s="113" t="s">
        <v>9</v>
      </c>
      <c r="V49" s="167" t="str">
        <f t="shared" si="23"/>
        <v>40%</v>
      </c>
      <c r="W49" s="113" t="s">
        <v>19</v>
      </c>
      <c r="X49" s="113" t="s">
        <v>22</v>
      </c>
      <c r="Y49" s="113" t="s">
        <v>117</v>
      </c>
      <c r="Z49" s="165">
        <f t="shared" si="29"/>
        <v>0.36</v>
      </c>
      <c r="AA49" s="166" t="str">
        <f t="shared" si="24"/>
        <v>Baja</v>
      </c>
      <c r="AB49" s="167">
        <f t="shared" si="25"/>
        <v>0.36</v>
      </c>
      <c r="AC49" s="166" t="str">
        <f t="shared" si="26"/>
        <v>Moderado</v>
      </c>
      <c r="AD49" s="167">
        <f t="shared" si="28"/>
        <v>0.6</v>
      </c>
      <c r="AE49" s="168" t="str">
        <f t="shared" si="27"/>
        <v>Moderado</v>
      </c>
      <c r="AF49" s="113" t="s">
        <v>31</v>
      </c>
      <c r="AG49" s="191"/>
      <c r="AH49" s="192"/>
      <c r="AI49" s="114"/>
      <c r="AJ49" s="114"/>
      <c r="AK49" s="191"/>
      <c r="AL49" s="192"/>
      <c r="AM49" s="155"/>
      <c r="AN49" s="155"/>
      <c r="AO49" s="155"/>
      <c r="AP49" s="155"/>
      <c r="AQ49" s="155"/>
      <c r="AR49" s="155"/>
      <c r="AS49" s="155"/>
      <c r="AT49" s="155"/>
      <c r="AU49" s="155"/>
      <c r="AV49" s="155"/>
      <c r="AW49" s="155"/>
      <c r="AX49" s="155"/>
      <c r="AY49" s="155"/>
      <c r="AZ49" s="155"/>
      <c r="BA49" s="155"/>
      <c r="BB49" s="155"/>
      <c r="BC49" s="155"/>
      <c r="BD49" s="155"/>
      <c r="BE49" s="155"/>
      <c r="BF49" s="155"/>
      <c r="BG49" s="155"/>
      <c r="BH49" s="155"/>
      <c r="BI49" s="155"/>
      <c r="BJ49" s="155"/>
      <c r="BK49" s="155"/>
      <c r="BL49" s="155"/>
      <c r="BM49" s="155"/>
      <c r="BN49" s="155"/>
      <c r="BO49" s="155"/>
      <c r="BP49" s="155"/>
      <c r="BQ49" s="155"/>
      <c r="BR49" s="155"/>
    </row>
    <row r="50" spans="1:70" s="156" customFormat="1" ht="74.25" customHeight="1" x14ac:dyDescent="0.25">
      <c r="A50" s="266"/>
      <c r="B50" s="294"/>
      <c r="C50" s="294"/>
      <c r="D50" s="270"/>
      <c r="E50" s="270"/>
      <c r="F50" s="270"/>
      <c r="G50" s="362"/>
      <c r="H50" s="270"/>
      <c r="I50" s="281"/>
      <c r="J50" s="275"/>
      <c r="K50" s="277"/>
      <c r="L50" s="273"/>
      <c r="M50" s="277">
        <f ca="1">IF(NOT(ISERROR(MATCH(L50,_xlfn.ANCHORARRAY(G61),0))),K63&amp;"Por favor no seleccionar los criterios de impacto",L50)</f>
        <v>0</v>
      </c>
      <c r="N50" s="275"/>
      <c r="O50" s="277"/>
      <c r="P50" s="279"/>
      <c r="Q50" s="201">
        <v>2</v>
      </c>
      <c r="R50" s="112" t="s">
        <v>505</v>
      </c>
      <c r="S50" s="201" t="str">
        <f t="shared" si="22"/>
        <v>Probabilidad</v>
      </c>
      <c r="T50" s="113" t="s">
        <v>14</v>
      </c>
      <c r="U50" s="113" t="s">
        <v>9</v>
      </c>
      <c r="V50" s="167" t="str">
        <f t="shared" si="23"/>
        <v>40%</v>
      </c>
      <c r="W50" s="113" t="s">
        <v>19</v>
      </c>
      <c r="X50" s="113" t="s">
        <v>22</v>
      </c>
      <c r="Y50" s="113" t="s">
        <v>117</v>
      </c>
      <c r="Z50" s="165">
        <f>IFERROR(IF(S50="Probabilidad",(K49-(+K49*V50)),IF(S50="Impacto",K49,"")),"")</f>
        <v>0.36</v>
      </c>
      <c r="AA50" s="166" t="str">
        <f t="shared" si="24"/>
        <v>Baja</v>
      </c>
      <c r="AB50" s="167">
        <f t="shared" si="25"/>
        <v>0.36</v>
      </c>
      <c r="AC50" s="166" t="str">
        <f t="shared" si="26"/>
        <v>Moderado</v>
      </c>
      <c r="AD50" s="167">
        <f>IFERROR(IF(S50="Impacto",(O49-(+O49*V50)),IF(S50="Probabilidad",O49,"")),"")</f>
        <v>0.6</v>
      </c>
      <c r="AE50" s="168" t="str">
        <f t="shared" si="27"/>
        <v>Moderado</v>
      </c>
      <c r="AF50" s="113" t="s">
        <v>31</v>
      </c>
      <c r="AG50" s="191"/>
      <c r="AH50" s="192"/>
      <c r="AI50" s="114"/>
      <c r="AJ50" s="114"/>
      <c r="AK50" s="191"/>
      <c r="AL50" s="192"/>
      <c r="AM50" s="155"/>
      <c r="AN50" s="155"/>
      <c r="AO50" s="155"/>
      <c r="AP50" s="155"/>
      <c r="AQ50" s="155"/>
      <c r="AR50" s="155"/>
      <c r="AS50" s="155"/>
      <c r="AT50" s="155"/>
      <c r="AU50" s="155"/>
      <c r="AV50" s="155"/>
      <c r="AW50" s="155"/>
      <c r="AX50" s="155"/>
      <c r="AY50" s="155"/>
      <c r="AZ50" s="155"/>
      <c r="BA50" s="155"/>
      <c r="BB50" s="155"/>
      <c r="BC50" s="155"/>
      <c r="BD50" s="155"/>
      <c r="BE50" s="155"/>
      <c r="BF50" s="155"/>
      <c r="BG50" s="155"/>
      <c r="BH50" s="155"/>
      <c r="BI50" s="155"/>
      <c r="BJ50" s="155"/>
      <c r="BK50" s="155"/>
      <c r="BL50" s="155"/>
      <c r="BM50" s="155"/>
      <c r="BN50" s="155"/>
      <c r="BO50" s="155"/>
      <c r="BP50" s="155"/>
      <c r="BQ50" s="155"/>
      <c r="BR50" s="155"/>
    </row>
    <row r="51" spans="1:70" s="156" customFormat="1" ht="16.5" hidden="1" customHeight="1" x14ac:dyDescent="0.25">
      <c r="A51" s="266"/>
      <c r="B51" s="268"/>
      <c r="C51" s="268"/>
      <c r="D51" s="271"/>
      <c r="E51" s="271"/>
      <c r="F51" s="271"/>
      <c r="G51" s="363"/>
      <c r="H51" s="271"/>
      <c r="I51" s="266"/>
      <c r="J51" s="276"/>
      <c r="K51" s="278"/>
      <c r="L51" s="274"/>
      <c r="M51" s="278">
        <f ca="1">IF(NOT(ISERROR(MATCH(L51,_xlfn.ANCHORARRAY(G62),0))),K64&amp;"Por favor no seleccionar los criterios de impacto",L51)</f>
        <v>0</v>
      </c>
      <c r="N51" s="276"/>
      <c r="O51" s="278"/>
      <c r="P51" s="280"/>
      <c r="Q51" s="201">
        <v>3</v>
      </c>
      <c r="R51" s="112"/>
      <c r="S51" s="201" t="str">
        <f t="shared" si="22"/>
        <v/>
      </c>
      <c r="T51" s="113"/>
      <c r="U51" s="113"/>
      <c r="V51" s="167" t="str">
        <f t="shared" si="23"/>
        <v/>
      </c>
      <c r="W51" s="113"/>
      <c r="X51" s="113"/>
      <c r="Y51" s="113"/>
      <c r="Z51" s="165" t="str">
        <f>IFERROR(IF(S51="Probabilidad",(K49-(+K49*V51)),IF(S51="Impacto",K49,"")),"")</f>
        <v/>
      </c>
      <c r="AA51" s="166" t="str">
        <f t="shared" si="24"/>
        <v/>
      </c>
      <c r="AB51" s="167" t="str">
        <f t="shared" si="25"/>
        <v/>
      </c>
      <c r="AC51" s="166" t="str">
        <f t="shared" si="26"/>
        <v/>
      </c>
      <c r="AD51" s="167" t="str">
        <f t="shared" si="28"/>
        <v/>
      </c>
      <c r="AE51" s="168" t="str">
        <f t="shared" si="27"/>
        <v/>
      </c>
      <c r="AF51" s="113"/>
      <c r="AG51" s="191"/>
      <c r="AH51" s="192"/>
      <c r="AI51" s="114"/>
      <c r="AJ51" s="114"/>
      <c r="AK51" s="191"/>
      <c r="AL51" s="192"/>
      <c r="AM51" s="155"/>
      <c r="AN51" s="155"/>
      <c r="AO51" s="155"/>
      <c r="AP51" s="155"/>
      <c r="AQ51" s="155"/>
      <c r="AR51" s="155"/>
      <c r="AS51" s="155"/>
      <c r="AT51" s="155"/>
      <c r="AU51" s="155"/>
      <c r="AV51" s="155"/>
      <c r="AW51" s="155"/>
      <c r="AX51" s="155"/>
      <c r="AY51" s="155"/>
      <c r="AZ51" s="155"/>
      <c r="BA51" s="155"/>
      <c r="BB51" s="155"/>
      <c r="BC51" s="155"/>
      <c r="BD51" s="155"/>
      <c r="BE51" s="155"/>
      <c r="BF51" s="155"/>
      <c r="BG51" s="155"/>
      <c r="BH51" s="155"/>
      <c r="BI51" s="155"/>
      <c r="BJ51" s="155"/>
      <c r="BK51" s="155"/>
      <c r="BL51" s="155"/>
      <c r="BM51" s="155"/>
      <c r="BN51" s="155"/>
      <c r="BO51" s="155"/>
      <c r="BP51" s="155"/>
      <c r="BQ51" s="155"/>
      <c r="BR51" s="155"/>
    </row>
    <row r="52" spans="1:70" s="156" customFormat="1" ht="16.5" hidden="1" customHeight="1" x14ac:dyDescent="0.25">
      <c r="A52" s="266"/>
      <c r="B52" s="268"/>
      <c r="C52" s="268"/>
      <c r="D52" s="271"/>
      <c r="E52" s="271"/>
      <c r="F52" s="271"/>
      <c r="G52" s="363"/>
      <c r="H52" s="271"/>
      <c r="I52" s="266"/>
      <c r="J52" s="276"/>
      <c r="K52" s="278"/>
      <c r="L52" s="274"/>
      <c r="M52" s="278">
        <f ca="1">IF(NOT(ISERROR(MATCH(L52,_xlfn.ANCHORARRAY(G63),0))),K65&amp;"Por favor no seleccionar los criterios de impacto",L52)</f>
        <v>0</v>
      </c>
      <c r="N52" s="276"/>
      <c r="O52" s="278"/>
      <c r="P52" s="280"/>
      <c r="Q52" s="201">
        <v>4</v>
      </c>
      <c r="R52" s="112"/>
      <c r="S52" s="201" t="str">
        <f t="shared" si="22"/>
        <v/>
      </c>
      <c r="T52" s="113"/>
      <c r="U52" s="113"/>
      <c r="V52" s="167" t="str">
        <f t="shared" si="23"/>
        <v/>
      </c>
      <c r="W52" s="113"/>
      <c r="X52" s="113"/>
      <c r="Y52" s="113"/>
      <c r="Z52" s="165" t="str">
        <f>IFERROR(IF(S52="Probabilidad",(K49-(+K49*V52)),IF(S52="Impacto",K49,"")),"")</f>
        <v/>
      </c>
      <c r="AA52" s="166" t="str">
        <f t="shared" si="24"/>
        <v/>
      </c>
      <c r="AB52" s="167" t="str">
        <f t="shared" si="25"/>
        <v/>
      </c>
      <c r="AC52" s="166" t="str">
        <f t="shared" si="26"/>
        <v/>
      </c>
      <c r="AD52" s="167" t="str">
        <f t="shared" si="28"/>
        <v/>
      </c>
      <c r="AE52" s="168" t="str">
        <f t="shared" si="27"/>
        <v/>
      </c>
      <c r="AF52" s="113"/>
      <c r="AG52" s="191"/>
      <c r="AH52" s="192"/>
      <c r="AI52" s="114"/>
      <c r="AJ52" s="114"/>
      <c r="AK52" s="191"/>
      <c r="AL52" s="192"/>
      <c r="AM52" s="155"/>
      <c r="AN52" s="155"/>
      <c r="AO52" s="155"/>
      <c r="AP52" s="155"/>
      <c r="AQ52" s="155"/>
      <c r="AR52" s="155"/>
      <c r="AS52" s="155"/>
      <c r="AT52" s="155"/>
      <c r="AU52" s="155"/>
      <c r="AV52" s="155"/>
      <c r="AW52" s="155"/>
      <c r="AX52" s="155"/>
      <c r="AY52" s="155"/>
      <c r="AZ52" s="155"/>
      <c r="BA52" s="155"/>
      <c r="BB52" s="155"/>
      <c r="BC52" s="155"/>
      <c r="BD52" s="155"/>
      <c r="BE52" s="155"/>
      <c r="BF52" s="155"/>
      <c r="BG52" s="155"/>
      <c r="BH52" s="155"/>
      <c r="BI52" s="155"/>
      <c r="BJ52" s="155"/>
      <c r="BK52" s="155"/>
      <c r="BL52" s="155"/>
      <c r="BM52" s="155"/>
      <c r="BN52" s="155"/>
      <c r="BO52" s="155"/>
      <c r="BP52" s="155"/>
      <c r="BQ52" s="155"/>
      <c r="BR52" s="155"/>
    </row>
    <row r="53" spans="1:70" s="156" customFormat="1" ht="16.5" hidden="1" customHeight="1" x14ac:dyDescent="0.25">
      <c r="A53" s="266"/>
      <c r="B53" s="268"/>
      <c r="C53" s="268"/>
      <c r="D53" s="271"/>
      <c r="E53" s="271"/>
      <c r="F53" s="271"/>
      <c r="G53" s="363"/>
      <c r="H53" s="271"/>
      <c r="I53" s="266"/>
      <c r="J53" s="276"/>
      <c r="K53" s="278"/>
      <c r="L53" s="274"/>
      <c r="M53" s="278">
        <f ca="1">IF(NOT(ISERROR(MATCH(L53,_xlfn.ANCHORARRAY(G64),0))),K66&amp;"Por favor no seleccionar los criterios de impacto",L53)</f>
        <v>0</v>
      </c>
      <c r="N53" s="276"/>
      <c r="O53" s="278"/>
      <c r="P53" s="280"/>
      <c r="Q53" s="201">
        <v>5</v>
      </c>
      <c r="R53" s="112"/>
      <c r="S53" s="201" t="str">
        <f t="shared" si="22"/>
        <v/>
      </c>
      <c r="T53" s="113"/>
      <c r="U53" s="113"/>
      <c r="V53" s="167" t="str">
        <f t="shared" si="23"/>
        <v/>
      </c>
      <c r="W53" s="113"/>
      <c r="X53" s="113"/>
      <c r="Y53" s="113"/>
      <c r="Z53" s="165" t="str">
        <f>IFERROR(IF(S53="Probabilidad",(K49-(+K49*V53)),IF(S53="Impacto",K49,"")),"")</f>
        <v/>
      </c>
      <c r="AA53" s="166" t="str">
        <f t="shared" si="24"/>
        <v/>
      </c>
      <c r="AB53" s="167" t="str">
        <f t="shared" si="25"/>
        <v/>
      </c>
      <c r="AC53" s="166" t="str">
        <f t="shared" si="26"/>
        <v/>
      </c>
      <c r="AD53" s="167" t="str">
        <f t="shared" si="28"/>
        <v/>
      </c>
      <c r="AE53" s="168" t="str">
        <f t="shared" si="27"/>
        <v/>
      </c>
      <c r="AF53" s="113"/>
      <c r="AG53" s="191"/>
      <c r="AH53" s="192"/>
      <c r="AI53" s="114"/>
      <c r="AJ53" s="114"/>
      <c r="AK53" s="191"/>
      <c r="AL53" s="192"/>
      <c r="AM53" s="155"/>
      <c r="AN53" s="155"/>
      <c r="AO53" s="155"/>
      <c r="AP53" s="155"/>
      <c r="AQ53" s="155"/>
      <c r="AR53" s="155"/>
      <c r="AS53" s="155"/>
      <c r="AT53" s="155"/>
      <c r="AU53" s="155"/>
      <c r="AV53" s="155"/>
      <c r="AW53" s="155"/>
      <c r="AX53" s="155"/>
      <c r="AY53" s="155"/>
      <c r="AZ53" s="155"/>
      <c r="BA53" s="155"/>
      <c r="BB53" s="155"/>
      <c r="BC53" s="155"/>
      <c r="BD53" s="155"/>
      <c r="BE53" s="155"/>
      <c r="BF53" s="155"/>
      <c r="BG53" s="155"/>
      <c r="BH53" s="155"/>
      <c r="BI53" s="155"/>
      <c r="BJ53" s="155"/>
      <c r="BK53" s="155"/>
      <c r="BL53" s="155"/>
      <c r="BM53" s="155"/>
      <c r="BN53" s="155"/>
      <c r="BO53" s="155"/>
      <c r="BP53" s="155"/>
      <c r="BQ53" s="155"/>
      <c r="BR53" s="155"/>
    </row>
    <row r="54" spans="1:70" s="156" customFormat="1" ht="16.5" hidden="1" customHeight="1" x14ac:dyDescent="0.25">
      <c r="A54" s="266"/>
      <c r="B54" s="269"/>
      <c r="C54" s="269"/>
      <c r="D54" s="271"/>
      <c r="E54" s="271"/>
      <c r="F54" s="271"/>
      <c r="G54" s="363"/>
      <c r="H54" s="271"/>
      <c r="I54" s="266"/>
      <c r="J54" s="276"/>
      <c r="K54" s="278"/>
      <c r="L54" s="274"/>
      <c r="M54" s="278">
        <f ca="1">IF(NOT(ISERROR(MATCH(L54,_xlfn.ANCHORARRAY(G65),0))),K67&amp;"Por favor no seleccionar los criterios de impacto",L54)</f>
        <v>0</v>
      </c>
      <c r="N54" s="276"/>
      <c r="O54" s="278"/>
      <c r="P54" s="280"/>
      <c r="Q54" s="201">
        <v>6</v>
      </c>
      <c r="R54" s="112"/>
      <c r="S54" s="201" t="str">
        <f t="shared" si="22"/>
        <v/>
      </c>
      <c r="T54" s="113"/>
      <c r="U54" s="113"/>
      <c r="V54" s="167" t="str">
        <f t="shared" si="23"/>
        <v/>
      </c>
      <c r="W54" s="113"/>
      <c r="X54" s="113"/>
      <c r="Y54" s="113"/>
      <c r="Z54" s="165" t="str">
        <f>IFERROR(IF(S54="Probabilidad",(K49-(+K49*V54)),IF(S54="Impacto",K49,"")),"")</f>
        <v/>
      </c>
      <c r="AA54" s="166" t="str">
        <f t="shared" si="24"/>
        <v/>
      </c>
      <c r="AB54" s="167" t="str">
        <f t="shared" si="25"/>
        <v/>
      </c>
      <c r="AC54" s="166" t="str">
        <f t="shared" si="26"/>
        <v/>
      </c>
      <c r="AD54" s="167" t="str">
        <f t="shared" si="28"/>
        <v/>
      </c>
      <c r="AE54" s="168" t="str">
        <f t="shared" si="27"/>
        <v/>
      </c>
      <c r="AF54" s="113"/>
      <c r="AG54" s="191"/>
      <c r="AH54" s="192"/>
      <c r="AI54" s="114"/>
      <c r="AJ54" s="114"/>
      <c r="AK54" s="191"/>
      <c r="AL54" s="192"/>
      <c r="AM54" s="155"/>
      <c r="AN54" s="155"/>
      <c r="AO54" s="155"/>
      <c r="AP54" s="155"/>
      <c r="AQ54" s="155"/>
      <c r="AR54" s="155"/>
      <c r="AS54" s="155"/>
      <c r="AT54" s="155"/>
      <c r="AU54" s="155"/>
      <c r="AV54" s="155"/>
      <c r="AW54" s="155"/>
      <c r="AX54" s="155"/>
      <c r="AY54" s="155"/>
      <c r="AZ54" s="155"/>
      <c r="BA54" s="155"/>
      <c r="BB54" s="155"/>
      <c r="BC54" s="155"/>
      <c r="BD54" s="155"/>
      <c r="BE54" s="155"/>
      <c r="BF54" s="155"/>
      <c r="BG54" s="155"/>
      <c r="BH54" s="155"/>
      <c r="BI54" s="155"/>
      <c r="BJ54" s="155"/>
      <c r="BK54" s="155"/>
      <c r="BL54" s="155"/>
      <c r="BM54" s="155"/>
      <c r="BN54" s="155"/>
      <c r="BO54" s="155"/>
      <c r="BP54" s="155"/>
      <c r="BQ54" s="155"/>
      <c r="BR54" s="155"/>
    </row>
    <row r="55" spans="1:70" s="156" customFormat="1" ht="81.75" customHeight="1" x14ac:dyDescent="0.25">
      <c r="A55" s="266">
        <v>8</v>
      </c>
      <c r="B55" s="267" t="s">
        <v>209</v>
      </c>
      <c r="C55" s="267" t="s">
        <v>473</v>
      </c>
      <c r="D55" s="270" t="s">
        <v>132</v>
      </c>
      <c r="E55" s="270" t="s">
        <v>477</v>
      </c>
      <c r="F55" s="270" t="s">
        <v>478</v>
      </c>
      <c r="G55" s="362" t="s">
        <v>479</v>
      </c>
      <c r="H55" s="270" t="s">
        <v>437</v>
      </c>
      <c r="I55" s="281">
        <v>365</v>
      </c>
      <c r="J55" s="275" t="str">
        <f>IF(I55&lt;=0,"",IF(I55&lt;=2,"Muy Baja",IF(I55&lt;=24,"Baja",IF(I55&lt;=500,"Media",IF(I55&lt;=5000,"Alta","Muy Alta")))))</f>
        <v>Media</v>
      </c>
      <c r="K55" s="277">
        <f>IF(J55="","",IF(J55="Muy Baja",0.2,IF(J55="Baja",0.4,IF(J55="Media",0.6,IF(J55="Alta",0.8,IF(J55="Muy Alta",1,))))))</f>
        <v>0.6</v>
      </c>
      <c r="L55" s="273" t="s">
        <v>98</v>
      </c>
      <c r="M55" s="277" t="str">
        <f>IF(NOT(ISERROR(MATCH(L55,'[2]Tabla Impacto'!$B$221:$B$223,0))),'[2]Tabla Impacto'!$F$223&amp;"Por favor no seleccionar los criterios de impacto(Afectación Económica o presupuestal y Pérdida Reputacional)",L55)</f>
        <v>El riesgo afecta la imagen de la entidad con algunos usuarios de relevancia frente al logro de los objetivos</v>
      </c>
      <c r="N55" s="275" t="str">
        <f>+IF(OR(M55='[2]Tabla Impacto'!$C$11,M55='[2]Tabla Impacto'!$D$11),"Leve",IF(OR(M55='[2]Tabla Impacto'!$C$12,M55='[2]Tabla Impacto'!$D$12),"Menor",IF(OR(M55='[2]Tabla Impacto'!$C$13,M55='[2]Tabla Impacto'!$D$13),"Moderado",IF(OR(M55='[2]Tabla Impacto'!$C$14,M55='[2]Tabla Impacto'!$D$14),"Mayor",IF(OR(M55='[2]Tabla Impacto'!$C$15,M55='[2]Tabla Impacto'!$D$15),"Catastrófico","")))))</f>
        <v>Moderado</v>
      </c>
      <c r="O55" s="277">
        <f>IF(N55="","",IF(N55="Leve",0.2,IF(N55="Menor",0.4,IF(N55="Moderado",0.6,IF(N55="Mayor",0.8,IF(N55="Catastrófico",1,))))))</f>
        <v>0.6</v>
      </c>
      <c r="P55" s="279" t="str">
        <f>IF(OR(AND(J55="Muy Baja",N55="Leve"),AND(J55="Muy Baja",N55="Menor"),AND(J55="Baja",N55="Leve")),"Bajo",IF(OR(AND(J55="Muy baja",N55="Moderado"),AND(J55="Baja",N55="Menor"),AND(J55="Baja",N55="Moderado"),AND(J55="Media",N55="Leve"),AND(J55="Media",N55="Menor"),AND(J55="Media",N55="Moderado"),AND(J55="Alta",N55="Leve"),AND(J55="Alta",N55="Menor")),"Moderado",IF(OR(AND(J55="Muy Baja",N55="Mayor"),AND(J55="Baja",N55="Mayor"),AND(J55="Media",N55="Mayor"),AND(J55="Alta",N55="Moderado"),AND(J55="Alta",N55="Mayor"),AND(J55="Muy Alta",N55="Leve"),AND(J55="Muy Alta",N55="Menor"),AND(J55="Muy Alta",N55="Moderado"),AND(J55="Muy Alta",N55="Mayor")),"Alto",IF(OR(AND(J55="Muy Baja",N55="Catastrófico"),AND(J55="Baja",N55="Catastrófico"),AND(J55="Media",N55="Catastrófico"),AND(J55="Alta",N55="Catastrófico"),AND(J55="Muy Alta",N55="Catastrófico")),"Extremo",""))))</f>
        <v>Moderado</v>
      </c>
      <c r="Q55" s="201">
        <v>1</v>
      </c>
      <c r="R55" s="112" t="s">
        <v>506</v>
      </c>
      <c r="S55" s="201" t="str">
        <f t="shared" si="22"/>
        <v>Probabilidad</v>
      </c>
      <c r="T55" s="113" t="s">
        <v>14</v>
      </c>
      <c r="U55" s="113" t="s">
        <v>9</v>
      </c>
      <c r="V55" s="167" t="str">
        <f t="shared" si="23"/>
        <v>40%</v>
      </c>
      <c r="W55" s="113" t="s">
        <v>19</v>
      </c>
      <c r="X55" s="113" t="s">
        <v>22</v>
      </c>
      <c r="Y55" s="113" t="s">
        <v>117</v>
      </c>
      <c r="Z55" s="165">
        <f t="shared" si="29"/>
        <v>0.36</v>
      </c>
      <c r="AA55" s="166" t="str">
        <f t="shared" si="24"/>
        <v>Baja</v>
      </c>
      <c r="AB55" s="167">
        <f t="shared" si="25"/>
        <v>0.36</v>
      </c>
      <c r="AC55" s="166" t="str">
        <f t="shared" si="26"/>
        <v>Moderado</v>
      </c>
      <c r="AD55" s="167">
        <f t="shared" si="28"/>
        <v>0.6</v>
      </c>
      <c r="AE55" s="168" t="str">
        <f t="shared" si="27"/>
        <v>Moderado</v>
      </c>
      <c r="AF55" s="113" t="s">
        <v>31</v>
      </c>
      <c r="AG55" s="191"/>
      <c r="AH55" s="192"/>
      <c r="AI55" s="114"/>
      <c r="AJ55" s="114"/>
      <c r="AK55" s="191"/>
      <c r="AL55" s="192"/>
      <c r="AM55" s="155"/>
      <c r="AN55" s="155"/>
      <c r="AO55" s="155"/>
      <c r="AP55" s="155"/>
      <c r="AQ55" s="155"/>
      <c r="AR55" s="155"/>
      <c r="AS55" s="155"/>
      <c r="AT55" s="155"/>
      <c r="AU55" s="155"/>
      <c r="AV55" s="155"/>
      <c r="AW55" s="155"/>
      <c r="AX55" s="155"/>
      <c r="AY55" s="155"/>
      <c r="AZ55" s="155"/>
      <c r="BA55" s="155"/>
      <c r="BB55" s="155"/>
      <c r="BC55" s="155"/>
      <c r="BD55" s="155"/>
      <c r="BE55" s="155"/>
      <c r="BF55" s="155"/>
      <c r="BG55" s="155"/>
      <c r="BH55" s="155"/>
      <c r="BI55" s="155"/>
      <c r="BJ55" s="155"/>
      <c r="BK55" s="155"/>
      <c r="BL55" s="155"/>
      <c r="BM55" s="155"/>
      <c r="BN55" s="155"/>
      <c r="BO55" s="155"/>
      <c r="BP55" s="155"/>
      <c r="BQ55" s="155"/>
      <c r="BR55" s="155"/>
    </row>
    <row r="56" spans="1:70" s="156" customFormat="1" ht="81.75" customHeight="1" x14ac:dyDescent="0.25">
      <c r="A56" s="266"/>
      <c r="B56" s="294"/>
      <c r="C56" s="294"/>
      <c r="D56" s="270"/>
      <c r="E56" s="270"/>
      <c r="F56" s="270"/>
      <c r="G56" s="362"/>
      <c r="H56" s="270"/>
      <c r="I56" s="281"/>
      <c r="J56" s="275"/>
      <c r="K56" s="277"/>
      <c r="L56" s="273"/>
      <c r="M56" s="277">
        <f ca="1">IF(NOT(ISERROR(MATCH(L56,_xlfn.ANCHORARRAY(G67),0))),K69&amp;"Por favor no seleccionar los criterios de impacto",L56)</f>
        <v>0</v>
      </c>
      <c r="N56" s="275"/>
      <c r="O56" s="277"/>
      <c r="P56" s="279"/>
      <c r="Q56" s="201">
        <v>2</v>
      </c>
      <c r="R56" s="112" t="s">
        <v>507</v>
      </c>
      <c r="S56" s="201" t="str">
        <f t="shared" si="22"/>
        <v>Probabilidad</v>
      </c>
      <c r="T56" s="113" t="s">
        <v>14</v>
      </c>
      <c r="U56" s="113" t="s">
        <v>9</v>
      </c>
      <c r="V56" s="167" t="str">
        <f t="shared" si="23"/>
        <v>40%</v>
      </c>
      <c r="W56" s="113" t="s">
        <v>19</v>
      </c>
      <c r="X56" s="113" t="s">
        <v>22</v>
      </c>
      <c r="Y56" s="113" t="s">
        <v>117</v>
      </c>
      <c r="Z56" s="165">
        <f>IFERROR(IF(S56="Probabilidad",(K55-(+K55*V56)),IF(S56="Impacto",K55,"")),"")</f>
        <v>0.36</v>
      </c>
      <c r="AA56" s="166" t="str">
        <f t="shared" si="24"/>
        <v>Baja</v>
      </c>
      <c r="AB56" s="167">
        <f t="shared" si="25"/>
        <v>0.36</v>
      </c>
      <c r="AC56" s="166" t="str">
        <f t="shared" si="26"/>
        <v>Moderado</v>
      </c>
      <c r="AD56" s="167">
        <f>IFERROR(IF(S56="Impacto",(O55-(+O55*V56)),IF(S56="Probabilidad",O55,"")),"")</f>
        <v>0.6</v>
      </c>
      <c r="AE56" s="168" t="str">
        <f t="shared" si="27"/>
        <v>Moderado</v>
      </c>
      <c r="AF56" s="113" t="s">
        <v>31</v>
      </c>
      <c r="AG56" s="191"/>
      <c r="AH56" s="192"/>
      <c r="AI56" s="114"/>
      <c r="AJ56" s="114"/>
      <c r="AK56" s="191"/>
      <c r="AL56" s="192"/>
      <c r="AM56" s="155"/>
      <c r="AN56" s="155"/>
      <c r="AO56" s="155"/>
      <c r="AP56" s="155"/>
      <c r="AQ56" s="155"/>
      <c r="AR56" s="155"/>
      <c r="AS56" s="155"/>
      <c r="AT56" s="155"/>
      <c r="AU56" s="155"/>
      <c r="AV56" s="155"/>
      <c r="AW56" s="155"/>
      <c r="AX56" s="155"/>
      <c r="AY56" s="155"/>
      <c r="AZ56" s="155"/>
      <c r="BA56" s="155"/>
      <c r="BB56" s="155"/>
      <c r="BC56" s="155"/>
      <c r="BD56" s="155"/>
      <c r="BE56" s="155"/>
      <c r="BF56" s="155"/>
      <c r="BG56" s="155"/>
      <c r="BH56" s="155"/>
      <c r="BI56" s="155"/>
      <c r="BJ56" s="155"/>
      <c r="BK56" s="155"/>
      <c r="BL56" s="155"/>
      <c r="BM56" s="155"/>
      <c r="BN56" s="155"/>
      <c r="BO56" s="155"/>
      <c r="BP56" s="155"/>
      <c r="BQ56" s="155"/>
      <c r="BR56" s="155"/>
    </row>
    <row r="57" spans="1:70" s="156" customFormat="1" ht="16.5" hidden="1" customHeight="1" x14ac:dyDescent="0.25">
      <c r="A57" s="266"/>
      <c r="B57" s="268"/>
      <c r="C57" s="268"/>
      <c r="D57" s="271"/>
      <c r="E57" s="271"/>
      <c r="F57" s="271"/>
      <c r="G57" s="363"/>
      <c r="H57" s="271"/>
      <c r="I57" s="266"/>
      <c r="J57" s="276"/>
      <c r="K57" s="278"/>
      <c r="L57" s="274"/>
      <c r="M57" s="278">
        <f ca="1">IF(NOT(ISERROR(MATCH(L57,_xlfn.ANCHORARRAY(G68),0))),K70&amp;"Por favor no seleccionar los criterios de impacto",L57)</f>
        <v>0</v>
      </c>
      <c r="N57" s="276"/>
      <c r="O57" s="278"/>
      <c r="P57" s="280"/>
      <c r="Q57" s="201">
        <v>3</v>
      </c>
      <c r="R57" s="112"/>
      <c r="S57" s="201" t="str">
        <f t="shared" si="22"/>
        <v/>
      </c>
      <c r="T57" s="113"/>
      <c r="U57" s="113"/>
      <c r="V57" s="167" t="str">
        <f t="shared" si="23"/>
        <v/>
      </c>
      <c r="W57" s="113"/>
      <c r="X57" s="113"/>
      <c r="Y57" s="113"/>
      <c r="Z57" s="165" t="str">
        <f>IFERROR(IF(S57="Probabilidad",(K55-(+K55*V57)),IF(S57="Impacto",K55,"")),"")</f>
        <v/>
      </c>
      <c r="AA57" s="166" t="str">
        <f t="shared" si="24"/>
        <v/>
      </c>
      <c r="AB57" s="167" t="str">
        <f t="shared" si="25"/>
        <v/>
      </c>
      <c r="AC57" s="166" t="str">
        <f t="shared" si="26"/>
        <v/>
      </c>
      <c r="AD57" s="167" t="str">
        <f t="shared" si="28"/>
        <v/>
      </c>
      <c r="AE57" s="168" t="str">
        <f t="shared" si="27"/>
        <v/>
      </c>
      <c r="AF57" s="113"/>
      <c r="AG57" s="191"/>
      <c r="AH57" s="192"/>
      <c r="AI57" s="114"/>
      <c r="AJ57" s="114"/>
      <c r="AK57" s="191"/>
      <c r="AL57" s="192"/>
      <c r="AM57" s="155"/>
      <c r="AN57" s="155"/>
      <c r="AO57" s="155"/>
      <c r="AP57" s="155"/>
      <c r="AQ57" s="155"/>
      <c r="AR57" s="155"/>
      <c r="AS57" s="155"/>
      <c r="AT57" s="155"/>
      <c r="AU57" s="155"/>
      <c r="AV57" s="155"/>
      <c r="AW57" s="155"/>
      <c r="AX57" s="155"/>
      <c r="AY57" s="155"/>
      <c r="AZ57" s="155"/>
      <c r="BA57" s="155"/>
      <c r="BB57" s="155"/>
      <c r="BC57" s="155"/>
      <c r="BD57" s="155"/>
      <c r="BE57" s="155"/>
      <c r="BF57" s="155"/>
      <c r="BG57" s="155"/>
      <c r="BH57" s="155"/>
      <c r="BI57" s="155"/>
      <c r="BJ57" s="155"/>
      <c r="BK57" s="155"/>
      <c r="BL57" s="155"/>
      <c r="BM57" s="155"/>
      <c r="BN57" s="155"/>
      <c r="BO57" s="155"/>
      <c r="BP57" s="155"/>
      <c r="BQ57" s="155"/>
      <c r="BR57" s="155"/>
    </row>
    <row r="58" spans="1:70" s="156" customFormat="1" ht="16.5" hidden="1" customHeight="1" x14ac:dyDescent="0.25">
      <c r="A58" s="266"/>
      <c r="B58" s="268"/>
      <c r="C58" s="268"/>
      <c r="D58" s="271"/>
      <c r="E58" s="271"/>
      <c r="F58" s="271"/>
      <c r="G58" s="363"/>
      <c r="H58" s="271"/>
      <c r="I58" s="266"/>
      <c r="J58" s="276"/>
      <c r="K58" s="278"/>
      <c r="L58" s="274"/>
      <c r="M58" s="278">
        <f ca="1">IF(NOT(ISERROR(MATCH(L58,_xlfn.ANCHORARRAY(G69),0))),K71&amp;"Por favor no seleccionar los criterios de impacto",L58)</f>
        <v>0</v>
      </c>
      <c r="N58" s="276"/>
      <c r="O58" s="278"/>
      <c r="P58" s="280"/>
      <c r="Q58" s="201">
        <v>4</v>
      </c>
      <c r="R58" s="112"/>
      <c r="S58" s="201" t="str">
        <f t="shared" si="22"/>
        <v/>
      </c>
      <c r="T58" s="113"/>
      <c r="U58" s="113"/>
      <c r="V58" s="167" t="str">
        <f t="shared" si="23"/>
        <v/>
      </c>
      <c r="W58" s="113"/>
      <c r="X58" s="113"/>
      <c r="Y58" s="113"/>
      <c r="Z58" s="165" t="str">
        <f>IFERROR(IF(S58="Probabilidad",(K55-(+K55*V58)),IF(S58="Impacto",K55,"")),"")</f>
        <v/>
      </c>
      <c r="AA58" s="166" t="str">
        <f t="shared" si="24"/>
        <v/>
      </c>
      <c r="AB58" s="167" t="str">
        <f t="shared" si="25"/>
        <v/>
      </c>
      <c r="AC58" s="166" t="str">
        <f t="shared" si="26"/>
        <v/>
      </c>
      <c r="AD58" s="167" t="str">
        <f t="shared" si="28"/>
        <v/>
      </c>
      <c r="AE58" s="168" t="str">
        <f t="shared" si="27"/>
        <v/>
      </c>
      <c r="AF58" s="113"/>
      <c r="AG58" s="191"/>
      <c r="AH58" s="192"/>
      <c r="AI58" s="114"/>
      <c r="AJ58" s="114"/>
      <c r="AK58" s="191"/>
      <c r="AL58" s="192"/>
      <c r="AM58" s="155"/>
      <c r="AN58" s="155"/>
      <c r="AO58" s="155"/>
      <c r="AP58" s="155"/>
      <c r="AQ58" s="155"/>
      <c r="AR58" s="155"/>
      <c r="AS58" s="155"/>
      <c r="AT58" s="155"/>
      <c r="AU58" s="155"/>
      <c r="AV58" s="155"/>
      <c r="AW58" s="155"/>
      <c r="AX58" s="155"/>
      <c r="AY58" s="155"/>
      <c r="AZ58" s="155"/>
      <c r="BA58" s="155"/>
      <c r="BB58" s="155"/>
      <c r="BC58" s="155"/>
      <c r="BD58" s="155"/>
      <c r="BE58" s="155"/>
      <c r="BF58" s="155"/>
      <c r="BG58" s="155"/>
      <c r="BH58" s="155"/>
      <c r="BI58" s="155"/>
      <c r="BJ58" s="155"/>
      <c r="BK58" s="155"/>
      <c r="BL58" s="155"/>
      <c r="BM58" s="155"/>
      <c r="BN58" s="155"/>
      <c r="BO58" s="155"/>
      <c r="BP58" s="155"/>
      <c r="BQ58" s="155"/>
      <c r="BR58" s="155"/>
    </row>
    <row r="59" spans="1:70" s="156" customFormat="1" ht="16.5" hidden="1" customHeight="1" x14ac:dyDescent="0.25">
      <c r="A59" s="266"/>
      <c r="B59" s="268"/>
      <c r="C59" s="268"/>
      <c r="D59" s="271"/>
      <c r="E59" s="271"/>
      <c r="F59" s="271"/>
      <c r="G59" s="363"/>
      <c r="H59" s="271"/>
      <c r="I59" s="266"/>
      <c r="J59" s="276"/>
      <c r="K59" s="278"/>
      <c r="L59" s="274"/>
      <c r="M59" s="278">
        <f ca="1">IF(NOT(ISERROR(MATCH(L59,_xlfn.ANCHORARRAY(G70),0))),K72&amp;"Por favor no seleccionar los criterios de impacto",L59)</f>
        <v>0</v>
      </c>
      <c r="N59" s="276"/>
      <c r="O59" s="278"/>
      <c r="P59" s="280"/>
      <c r="Q59" s="201">
        <v>5</v>
      </c>
      <c r="R59" s="112"/>
      <c r="S59" s="201" t="str">
        <f t="shared" si="22"/>
        <v/>
      </c>
      <c r="T59" s="113"/>
      <c r="U59" s="113"/>
      <c r="V59" s="167" t="str">
        <f t="shared" si="23"/>
        <v/>
      </c>
      <c r="W59" s="113"/>
      <c r="X59" s="113"/>
      <c r="Y59" s="113"/>
      <c r="Z59" s="165" t="str">
        <f>IFERROR(IF(S59="Probabilidad",(K55-(+K55*V59)),IF(S59="Impacto",K55,"")),"")</f>
        <v/>
      </c>
      <c r="AA59" s="166" t="str">
        <f t="shared" si="24"/>
        <v/>
      </c>
      <c r="AB59" s="167" t="str">
        <f t="shared" si="25"/>
        <v/>
      </c>
      <c r="AC59" s="166" t="str">
        <f t="shared" si="26"/>
        <v/>
      </c>
      <c r="AD59" s="167" t="str">
        <f t="shared" si="28"/>
        <v/>
      </c>
      <c r="AE59" s="168" t="str">
        <f t="shared" si="27"/>
        <v/>
      </c>
      <c r="AF59" s="113"/>
      <c r="AG59" s="191"/>
      <c r="AH59" s="192"/>
      <c r="AI59" s="114"/>
      <c r="AJ59" s="114"/>
      <c r="AK59" s="191"/>
      <c r="AL59" s="192"/>
      <c r="AM59" s="155"/>
      <c r="AN59" s="155"/>
      <c r="AO59" s="155"/>
      <c r="AP59" s="155"/>
      <c r="AQ59" s="155"/>
      <c r="AR59" s="155"/>
      <c r="AS59" s="155"/>
      <c r="AT59" s="155"/>
      <c r="AU59" s="155"/>
      <c r="AV59" s="155"/>
      <c r="AW59" s="155"/>
      <c r="AX59" s="155"/>
      <c r="AY59" s="155"/>
      <c r="AZ59" s="155"/>
      <c r="BA59" s="155"/>
      <c r="BB59" s="155"/>
      <c r="BC59" s="155"/>
      <c r="BD59" s="155"/>
      <c r="BE59" s="155"/>
      <c r="BF59" s="155"/>
      <c r="BG59" s="155"/>
      <c r="BH59" s="155"/>
      <c r="BI59" s="155"/>
      <c r="BJ59" s="155"/>
      <c r="BK59" s="155"/>
      <c r="BL59" s="155"/>
      <c r="BM59" s="155"/>
      <c r="BN59" s="155"/>
      <c r="BO59" s="155"/>
      <c r="BP59" s="155"/>
      <c r="BQ59" s="155"/>
      <c r="BR59" s="155"/>
    </row>
    <row r="60" spans="1:70" s="156" customFormat="1" ht="16.5" hidden="1" customHeight="1" x14ac:dyDescent="0.25">
      <c r="A60" s="266"/>
      <c r="B60" s="269"/>
      <c r="C60" s="269"/>
      <c r="D60" s="271"/>
      <c r="E60" s="271"/>
      <c r="F60" s="271"/>
      <c r="G60" s="363"/>
      <c r="H60" s="271"/>
      <c r="I60" s="266"/>
      <c r="J60" s="276"/>
      <c r="K60" s="278"/>
      <c r="L60" s="274"/>
      <c r="M60" s="278">
        <f ca="1">IF(NOT(ISERROR(MATCH(L60,_xlfn.ANCHORARRAY(G71),0))),K73&amp;"Por favor no seleccionar los criterios de impacto",L60)</f>
        <v>0</v>
      </c>
      <c r="N60" s="276"/>
      <c r="O60" s="278"/>
      <c r="P60" s="280"/>
      <c r="Q60" s="201">
        <v>6</v>
      </c>
      <c r="R60" s="112"/>
      <c r="S60" s="201" t="str">
        <f t="shared" si="22"/>
        <v/>
      </c>
      <c r="T60" s="113"/>
      <c r="U60" s="113"/>
      <c r="V60" s="167" t="str">
        <f t="shared" si="23"/>
        <v/>
      </c>
      <c r="W60" s="113"/>
      <c r="X60" s="113"/>
      <c r="Y60" s="113"/>
      <c r="Z60" s="165" t="str">
        <f>IFERROR(IF(S60="Probabilidad",(K55-(+K55*V60)),IF(S60="Impacto",K55,"")),"")</f>
        <v/>
      </c>
      <c r="AA60" s="166" t="str">
        <f t="shared" si="24"/>
        <v/>
      </c>
      <c r="AB60" s="167" t="str">
        <f t="shared" si="25"/>
        <v/>
      </c>
      <c r="AC60" s="166" t="str">
        <f t="shared" si="26"/>
        <v/>
      </c>
      <c r="AD60" s="167" t="str">
        <f t="shared" si="28"/>
        <v/>
      </c>
      <c r="AE60" s="168" t="str">
        <f t="shared" si="27"/>
        <v/>
      </c>
      <c r="AF60" s="113"/>
      <c r="AG60" s="191"/>
      <c r="AH60" s="192"/>
      <c r="AI60" s="114"/>
      <c r="AJ60" s="114"/>
      <c r="AK60" s="191"/>
      <c r="AL60" s="192"/>
      <c r="AM60" s="155"/>
      <c r="AN60" s="155"/>
      <c r="AO60" s="155"/>
      <c r="AP60" s="155"/>
      <c r="AQ60" s="155"/>
      <c r="AR60" s="155"/>
      <c r="AS60" s="155"/>
      <c r="AT60" s="155"/>
      <c r="AU60" s="155"/>
      <c r="AV60" s="155"/>
      <c r="AW60" s="155"/>
      <c r="AX60" s="155"/>
      <c r="AY60" s="155"/>
      <c r="AZ60" s="155"/>
      <c r="BA60" s="155"/>
      <c r="BB60" s="155"/>
      <c r="BC60" s="155"/>
      <c r="BD60" s="155"/>
      <c r="BE60" s="155"/>
      <c r="BF60" s="155"/>
      <c r="BG60" s="155"/>
      <c r="BH60" s="155"/>
      <c r="BI60" s="155"/>
      <c r="BJ60" s="155"/>
      <c r="BK60" s="155"/>
      <c r="BL60" s="155"/>
      <c r="BM60" s="155"/>
      <c r="BN60" s="155"/>
      <c r="BO60" s="155"/>
      <c r="BP60" s="155"/>
      <c r="BQ60" s="155"/>
      <c r="BR60" s="155"/>
    </row>
    <row r="61" spans="1:70" s="156" customFormat="1" ht="97.5" customHeight="1" x14ac:dyDescent="0.25">
      <c r="A61" s="266">
        <v>9</v>
      </c>
      <c r="B61" s="267" t="s">
        <v>210</v>
      </c>
      <c r="C61" s="267" t="s">
        <v>480</v>
      </c>
      <c r="D61" s="270" t="s">
        <v>132</v>
      </c>
      <c r="E61" s="270" t="s">
        <v>481</v>
      </c>
      <c r="F61" s="270" t="s">
        <v>482</v>
      </c>
      <c r="G61" s="362" t="s">
        <v>483</v>
      </c>
      <c r="H61" s="270" t="s">
        <v>438</v>
      </c>
      <c r="I61" s="281">
        <v>8640</v>
      </c>
      <c r="J61" s="275" t="str">
        <f>IF(I61&lt;=0,"",IF(I61&lt;=2,"Muy Baja",IF(I61&lt;=24,"Baja",IF(I61&lt;=500,"Media",IF(I61&lt;=5000,"Alta","Muy Alta")))))</f>
        <v>Muy Alta</v>
      </c>
      <c r="K61" s="277">
        <f>IF(J61="","",IF(J61="Muy Baja",0.2,IF(J61="Baja",0.4,IF(J61="Media",0.6,IF(J61="Alta",0.8,IF(J61="Muy Alta",1,))))))</f>
        <v>1</v>
      </c>
      <c r="L61" s="273" t="s">
        <v>98</v>
      </c>
      <c r="M61" s="277" t="str">
        <f>IF(NOT(ISERROR(MATCH(L61,'[3]Tabla Impacto'!$B$221:$B$223,0))),'[3]Tabla Impacto'!$F$223&amp;"Por favor no seleccionar los criterios de impacto(Afectación Económica o presupuestal y Pérdida Reputacional)",L61)</f>
        <v>El riesgo afecta la imagen de la entidad con algunos usuarios de relevancia frente al logro de los objetivos</v>
      </c>
      <c r="N61" s="275" t="str">
        <f>+IF(OR(M61='[3]Tabla Impacto'!$C$11,M61='[3]Tabla Impacto'!$D$11),"Leve",IF(OR(M61='[3]Tabla Impacto'!$C$12,M61='[3]Tabla Impacto'!$D$12),"Menor",IF(OR(M61='[3]Tabla Impacto'!$C$13,M61='[3]Tabla Impacto'!$D$13),"Moderado",IF(OR(M61='[3]Tabla Impacto'!$C$14,M61='[3]Tabla Impacto'!$D$14),"Mayor",IF(OR(M61='[3]Tabla Impacto'!$C$15,M61='[3]Tabla Impacto'!$D$15),"Catastrófico","")))))</f>
        <v>Moderado</v>
      </c>
      <c r="O61" s="277">
        <f>IF(N61="","",IF(N61="Leve",0.2,IF(N61="Menor",0.4,IF(N61="Moderado",0.6,IF(N61="Mayor",0.8,IF(N61="Catastrófico",1,))))))</f>
        <v>0.6</v>
      </c>
      <c r="P61" s="279" t="str">
        <f>IF(OR(AND(J61="Muy Baja",N61="Leve"),AND(J61="Muy Baja",N61="Menor"),AND(J61="Baja",N61="Leve")),"Bajo",IF(OR(AND(J61="Muy baja",N61="Moderado"),AND(J61="Baja",N61="Menor"),AND(J61="Baja",N61="Moderado"),AND(J61="Media",N61="Leve"),AND(J61="Media",N61="Menor"),AND(J61="Media",N61="Moderado"),AND(J61="Alta",N61="Leve"),AND(J61="Alta",N61="Menor")),"Moderado",IF(OR(AND(J61="Muy Baja",N61="Mayor"),AND(J61="Baja",N61="Mayor"),AND(J61="Media",N61="Mayor"),AND(J61="Alta",N61="Moderado"),AND(J61="Alta",N61="Mayor"),AND(J61="Muy Alta",N61="Leve"),AND(J61="Muy Alta",N61="Menor"),AND(J61="Muy Alta",N61="Moderado"),AND(J61="Muy Alta",N61="Mayor")),"Alto",IF(OR(AND(J61="Muy Baja",N61="Catastrófico"),AND(J61="Baja",N61="Catastrófico"),AND(J61="Media",N61="Catastrófico"),AND(J61="Alta",N61="Catastrófico"),AND(J61="Muy Alta",N61="Catastrófico")),"Extremo",""))))</f>
        <v>Alto</v>
      </c>
      <c r="Q61" s="201">
        <v>1</v>
      </c>
      <c r="R61" s="112" t="s">
        <v>508</v>
      </c>
      <c r="S61" s="201" t="str">
        <f>IF(OR(T61="Preventivo",T61="Detectivo"),"Probabilidad",IF(T61="Correctivo","Impacto",""))</f>
        <v>Probabilidad</v>
      </c>
      <c r="T61" s="113" t="s">
        <v>14</v>
      </c>
      <c r="U61" s="113" t="s">
        <v>10</v>
      </c>
      <c r="V61" s="167" t="str">
        <f t="shared" si="23"/>
        <v>50%</v>
      </c>
      <c r="W61" s="113" t="s">
        <v>19</v>
      </c>
      <c r="X61" s="113" t="s">
        <v>22</v>
      </c>
      <c r="Y61" s="113" t="s">
        <v>117</v>
      </c>
      <c r="Z61" s="165">
        <f>IFERROR(IF(S61="Probabilidad",(K61-(+K61*V61)),IF(S61="Impacto",K61,"")),"")</f>
        <v>0.5</v>
      </c>
      <c r="AA61" s="166" t="str">
        <f>IFERROR(IF(Z61="","",IF(Z61&lt;=0.2,"Muy Baja",IF(Z61&lt;=0.4,"Baja",IF(Z61&lt;=0.6,"Media",IF(Z61&lt;=0.8,"Alta","Muy Alta"))))),"")</f>
        <v>Media</v>
      </c>
      <c r="AB61" s="167">
        <f>+Z61</f>
        <v>0.5</v>
      </c>
      <c r="AC61" s="166" t="str">
        <f>IFERROR(IF(AD61="","",IF(AD61&lt;=0.2,"Leve",IF(AD61&lt;=0.4,"Menor",IF(AD61&lt;=0.6,"Moderado",IF(AD61&lt;=0.8,"Mayor","Catastrófico"))))),"")</f>
        <v>Moderado</v>
      </c>
      <c r="AD61" s="167">
        <f>IFERROR(IF(S61="Impacto",(O61-(+O61*V61)),IF(S61="Probabilidad",O61,"")),"")</f>
        <v>0.6</v>
      </c>
      <c r="AE61" s="168" t="str">
        <f>IFERROR(IF(OR(AND(AA61="Muy Baja",AC61="Leve"),AND(AA61="Muy Baja",AC61="Menor"),AND(AA61="Baja",AC61="Leve")),"Bajo",IF(OR(AND(AA61="Muy baja",AC61="Moderado"),AND(AA61="Baja",AC61="Menor"),AND(AA61="Baja",AC61="Moderado"),AND(AA61="Media",AC61="Leve"),AND(AA61="Media",AC61="Menor"),AND(AA61="Media",AC61="Moderado"),AND(AA61="Alta",AC61="Leve"),AND(AA61="Alta",AC61="Menor")),"Moderado",IF(OR(AND(AA61="Muy Baja",AC61="Mayor"),AND(AA61="Baja",AC61="Mayor"),AND(AA61="Media",AC61="Mayor"),AND(AA61="Alta",AC61="Moderado"),AND(AA61="Alta",AC61="Mayor"),AND(AA61="Muy Alta",AC61="Leve"),AND(AA61="Muy Alta",AC61="Menor"),AND(AA61="Muy Alta",AC61="Moderado"),AND(AA61="Muy Alta",AC61="Mayor")),"Alto",IF(OR(AND(AA61="Muy Baja",AC61="Catastrófico"),AND(AA61="Baja",AC61="Catastrófico"),AND(AA61="Media",AC61="Catastrófico"),AND(AA61="Alta",AC61="Catastrófico"),AND(AA61="Muy Alta",AC61="Catastrófico")),"Extremo","")))),"")</f>
        <v>Moderado</v>
      </c>
      <c r="AF61" s="113" t="s">
        <v>31</v>
      </c>
      <c r="AG61" s="194"/>
      <c r="AH61" s="193"/>
      <c r="AI61" s="114"/>
      <c r="AJ61" s="114"/>
      <c r="AK61" s="194"/>
      <c r="AL61" s="193"/>
      <c r="AM61" s="155"/>
      <c r="AN61" s="155"/>
      <c r="AO61" s="155"/>
      <c r="AP61" s="155"/>
      <c r="AQ61" s="155"/>
      <c r="AR61" s="155"/>
      <c r="AS61" s="155"/>
      <c r="AT61" s="155"/>
      <c r="AU61" s="155"/>
      <c r="AV61" s="155"/>
      <c r="AW61" s="155"/>
      <c r="AX61" s="155"/>
      <c r="AY61" s="155"/>
      <c r="AZ61" s="155"/>
      <c r="BA61" s="155"/>
      <c r="BB61" s="155"/>
      <c r="BC61" s="155"/>
      <c r="BD61" s="155"/>
      <c r="BE61" s="155"/>
      <c r="BF61" s="155"/>
      <c r="BG61" s="155"/>
      <c r="BH61" s="155"/>
      <c r="BI61" s="155"/>
      <c r="BJ61" s="155"/>
      <c r="BK61" s="155"/>
      <c r="BL61" s="155"/>
      <c r="BM61" s="155"/>
      <c r="BN61" s="155"/>
      <c r="BO61" s="155"/>
      <c r="BP61" s="155"/>
      <c r="BQ61" s="155"/>
      <c r="BR61" s="155"/>
    </row>
    <row r="62" spans="1:70" s="156" customFormat="1" ht="97.5" customHeight="1" x14ac:dyDescent="0.25">
      <c r="A62" s="266"/>
      <c r="B62" s="294"/>
      <c r="C62" s="294"/>
      <c r="D62" s="270"/>
      <c r="E62" s="270"/>
      <c r="F62" s="270"/>
      <c r="G62" s="362"/>
      <c r="H62" s="270"/>
      <c r="I62" s="281"/>
      <c r="J62" s="275"/>
      <c r="K62" s="277"/>
      <c r="L62" s="273"/>
      <c r="M62" s="277">
        <f ca="1">IF(NOT(ISERROR(MATCH(L62,_xlfn.ANCHORARRAY(G73),0))),K75&amp;"Por favor no seleccionar los criterios de impacto",L62)</f>
        <v>0</v>
      </c>
      <c r="N62" s="275"/>
      <c r="O62" s="277"/>
      <c r="P62" s="279"/>
      <c r="Q62" s="201">
        <v>2</v>
      </c>
      <c r="R62" s="112" t="s">
        <v>509</v>
      </c>
      <c r="S62" s="201" t="str">
        <f t="shared" ref="S62:S84" si="30">IF(OR(T62="Preventivo",T62="Detectivo"),"Probabilidad",IF(T62="Correctivo","Impacto",""))</f>
        <v>Probabilidad</v>
      </c>
      <c r="T62" s="113" t="s">
        <v>14</v>
      </c>
      <c r="U62" s="113" t="s">
        <v>9</v>
      </c>
      <c r="V62" s="167" t="str">
        <f t="shared" si="23"/>
        <v>40%</v>
      </c>
      <c r="W62" s="113" t="s">
        <v>19</v>
      </c>
      <c r="X62" s="113" t="s">
        <v>23</v>
      </c>
      <c r="Y62" s="113" t="s">
        <v>117</v>
      </c>
      <c r="Z62" s="165">
        <f>IFERROR(IF(S62="Probabilidad",(K61-(+K61*V62)),IF(S62="Impacto",K61,"")),"")</f>
        <v>0.6</v>
      </c>
      <c r="AA62" s="166" t="str">
        <f t="shared" ref="AA62:AA84" si="31">IFERROR(IF(Z62="","",IF(Z62&lt;=0.2,"Muy Baja",IF(Z62&lt;=0.4,"Baja",IF(Z62&lt;=0.6,"Media",IF(Z62&lt;=0.8,"Alta","Muy Alta"))))),"")</f>
        <v>Media</v>
      </c>
      <c r="AB62" s="167">
        <f t="shared" ref="AB62:AB84" si="32">+Z62</f>
        <v>0.6</v>
      </c>
      <c r="AC62" s="166" t="str">
        <f t="shared" ref="AC62:AC84" si="33">IFERROR(IF(AD62="","",IF(AD62&lt;=0.2,"Leve",IF(AD62&lt;=0.4,"Menor",IF(AD62&lt;=0.6,"Moderado",IF(AD62&lt;=0.8,"Mayor","Catastrófico"))))),"")</f>
        <v>Moderado</v>
      </c>
      <c r="AD62" s="167">
        <f>IFERROR(IF(S61="Impacto",(O61-(+O61*V61)),IF(S61="Probabilidad",O61,"")),"")</f>
        <v>0.6</v>
      </c>
      <c r="AE62" s="168" t="str">
        <f t="shared" ref="AE62:AE84" si="34">IFERROR(IF(OR(AND(AA62="Muy Baja",AC62="Leve"),AND(AA62="Muy Baja",AC62="Menor"),AND(AA62="Baja",AC62="Leve")),"Bajo",IF(OR(AND(AA62="Muy baja",AC62="Moderado"),AND(AA62="Baja",AC62="Menor"),AND(AA62="Baja",AC62="Moderado"),AND(AA62="Media",AC62="Leve"),AND(AA62="Media",AC62="Menor"),AND(AA62="Media",AC62="Moderado"),AND(AA62="Alta",AC62="Leve"),AND(AA62="Alta",AC62="Menor")),"Moderado",IF(OR(AND(AA62="Muy Baja",AC62="Mayor"),AND(AA62="Baja",AC62="Mayor"),AND(AA62="Media",AC62="Mayor"),AND(AA62="Alta",AC62="Moderado"),AND(AA62="Alta",AC62="Mayor"),AND(AA62="Muy Alta",AC62="Leve"),AND(AA62="Muy Alta",AC62="Menor"),AND(AA62="Muy Alta",AC62="Moderado"),AND(AA62="Muy Alta",AC62="Mayor")),"Alto",IF(OR(AND(AA62="Muy Baja",AC62="Catastrófico"),AND(AA62="Baja",AC62="Catastrófico"),AND(AA62="Media",AC62="Catastrófico"),AND(AA62="Alta",AC62="Catastrófico"),AND(AA62="Muy Alta",AC62="Catastrófico")),"Extremo","")))),"")</f>
        <v>Moderado</v>
      </c>
      <c r="AF62" s="113" t="s">
        <v>31</v>
      </c>
      <c r="AG62" s="194"/>
      <c r="AH62" s="193"/>
      <c r="AI62" s="114"/>
      <c r="AJ62" s="114"/>
      <c r="AK62" s="194"/>
      <c r="AL62" s="193"/>
      <c r="AM62" s="155"/>
      <c r="AN62" s="155"/>
      <c r="AO62" s="155"/>
      <c r="AP62" s="155"/>
      <c r="AQ62" s="155"/>
      <c r="AR62" s="155"/>
      <c r="AS62" s="155"/>
      <c r="AT62" s="155"/>
      <c r="AU62" s="155"/>
      <c r="AV62" s="155"/>
      <c r="AW62" s="155"/>
      <c r="AX62" s="155"/>
      <c r="AY62" s="155"/>
      <c r="AZ62" s="155"/>
      <c r="BA62" s="155"/>
      <c r="BB62" s="155"/>
      <c r="BC62" s="155"/>
      <c r="BD62" s="155"/>
      <c r="BE62" s="155"/>
      <c r="BF62" s="155"/>
      <c r="BG62" s="155"/>
      <c r="BH62" s="155"/>
      <c r="BI62" s="155"/>
      <c r="BJ62" s="155"/>
      <c r="BK62" s="155"/>
      <c r="BL62" s="155"/>
      <c r="BM62" s="155"/>
      <c r="BN62" s="155"/>
      <c r="BO62" s="155"/>
      <c r="BP62" s="155"/>
      <c r="BQ62" s="155"/>
      <c r="BR62" s="155"/>
    </row>
    <row r="63" spans="1:70" s="156" customFormat="1" ht="97.5" customHeight="1" x14ac:dyDescent="0.25">
      <c r="A63" s="266"/>
      <c r="B63" s="294"/>
      <c r="C63" s="294"/>
      <c r="D63" s="270"/>
      <c r="E63" s="270"/>
      <c r="F63" s="270"/>
      <c r="G63" s="362"/>
      <c r="H63" s="270"/>
      <c r="I63" s="281"/>
      <c r="J63" s="275"/>
      <c r="K63" s="277"/>
      <c r="L63" s="273"/>
      <c r="M63" s="277">
        <f ca="1">IF(NOT(ISERROR(MATCH(L63,_xlfn.ANCHORARRAY(G74),0))),K76&amp;"Por favor no seleccionar los criterios de impacto",L63)</f>
        <v>0</v>
      </c>
      <c r="N63" s="275"/>
      <c r="O63" s="277"/>
      <c r="P63" s="279"/>
      <c r="Q63" s="201">
        <v>3</v>
      </c>
      <c r="R63" s="112" t="s">
        <v>510</v>
      </c>
      <c r="S63" s="201" t="str">
        <f t="shared" si="30"/>
        <v>Probabilidad</v>
      </c>
      <c r="T63" s="113" t="s">
        <v>14</v>
      </c>
      <c r="U63" s="113" t="s">
        <v>9</v>
      </c>
      <c r="V63" s="167" t="str">
        <f t="shared" si="23"/>
        <v>40%</v>
      </c>
      <c r="W63" s="113" t="s">
        <v>19</v>
      </c>
      <c r="X63" s="113" t="s">
        <v>22</v>
      </c>
      <c r="Y63" s="113" t="s">
        <v>117</v>
      </c>
      <c r="Z63" s="165">
        <f>IFERROR(IF(S63="Probabilidad",(K61-(+K61*V63)),IF(S63="Impacto",K61,"")),"")</f>
        <v>0.6</v>
      </c>
      <c r="AA63" s="166" t="str">
        <f t="shared" si="31"/>
        <v>Media</v>
      </c>
      <c r="AB63" s="167">
        <f t="shared" si="32"/>
        <v>0.6</v>
      </c>
      <c r="AC63" s="166" t="str">
        <f t="shared" si="33"/>
        <v>Moderado</v>
      </c>
      <c r="AD63" s="167">
        <f>IFERROR(IF(S61="Impacto",(O61-(+O61*V61)),IF(S61="Probabilidad",O61,"")),"")</f>
        <v>0.6</v>
      </c>
      <c r="AE63" s="168" t="str">
        <f t="shared" si="34"/>
        <v>Moderado</v>
      </c>
      <c r="AF63" s="113" t="s">
        <v>31</v>
      </c>
      <c r="AG63" s="194"/>
      <c r="AH63" s="193"/>
      <c r="AI63" s="114"/>
      <c r="AJ63" s="114"/>
      <c r="AK63" s="194"/>
      <c r="AL63" s="193"/>
      <c r="AM63" s="155"/>
      <c r="AN63" s="155"/>
      <c r="AO63" s="155"/>
      <c r="AP63" s="155"/>
      <c r="AQ63" s="155"/>
      <c r="AR63" s="155"/>
      <c r="AS63" s="155"/>
      <c r="AT63" s="155"/>
      <c r="AU63" s="155"/>
      <c r="AV63" s="155"/>
      <c r="AW63" s="155"/>
      <c r="AX63" s="155"/>
      <c r="AY63" s="155"/>
      <c r="AZ63" s="155"/>
      <c r="BA63" s="155"/>
      <c r="BB63" s="155"/>
      <c r="BC63" s="155"/>
      <c r="BD63" s="155"/>
      <c r="BE63" s="155"/>
      <c r="BF63" s="155"/>
      <c r="BG63" s="155"/>
      <c r="BH63" s="155"/>
      <c r="BI63" s="155"/>
      <c r="BJ63" s="155"/>
      <c r="BK63" s="155"/>
      <c r="BL63" s="155"/>
      <c r="BM63" s="155"/>
      <c r="BN63" s="155"/>
      <c r="BO63" s="155"/>
      <c r="BP63" s="155"/>
      <c r="BQ63" s="155"/>
      <c r="BR63" s="155"/>
    </row>
    <row r="64" spans="1:70" s="156" customFormat="1" ht="97.5" customHeight="1" x14ac:dyDescent="0.25">
      <c r="A64" s="266"/>
      <c r="B64" s="294"/>
      <c r="C64" s="294"/>
      <c r="D64" s="270"/>
      <c r="E64" s="270"/>
      <c r="F64" s="270"/>
      <c r="G64" s="362"/>
      <c r="H64" s="270"/>
      <c r="I64" s="281"/>
      <c r="J64" s="275"/>
      <c r="K64" s="277"/>
      <c r="L64" s="273"/>
      <c r="M64" s="277">
        <f ca="1">IF(NOT(ISERROR(MATCH(L64,_xlfn.ANCHORARRAY(G75),0))),K77&amp;"Por favor no seleccionar los criterios de impacto",L64)</f>
        <v>0</v>
      </c>
      <c r="N64" s="275"/>
      <c r="O64" s="277"/>
      <c r="P64" s="279"/>
      <c r="Q64" s="201">
        <v>4</v>
      </c>
      <c r="R64" s="112" t="s">
        <v>511</v>
      </c>
      <c r="S64" s="201" t="str">
        <f t="shared" si="30"/>
        <v>Impacto</v>
      </c>
      <c r="T64" s="113" t="s">
        <v>16</v>
      </c>
      <c r="U64" s="113" t="s">
        <v>9</v>
      </c>
      <c r="V64" s="167" t="str">
        <f t="shared" si="23"/>
        <v>25%</v>
      </c>
      <c r="W64" s="113" t="s">
        <v>19</v>
      </c>
      <c r="X64" s="113" t="s">
        <v>23</v>
      </c>
      <c r="Y64" s="113" t="s">
        <v>117</v>
      </c>
      <c r="Z64" s="165">
        <f>IFERROR(IF(S64="Probabilidad",(K61-(+K61*V64)),IF(S64="Impacto",K61,"")),"")</f>
        <v>1</v>
      </c>
      <c r="AA64" s="166" t="str">
        <f t="shared" si="31"/>
        <v>Muy Alta</v>
      </c>
      <c r="AB64" s="167">
        <f t="shared" si="32"/>
        <v>1</v>
      </c>
      <c r="AC64" s="166" t="str">
        <f t="shared" si="33"/>
        <v>Moderado</v>
      </c>
      <c r="AD64" s="167">
        <f>IFERROR(IF(S61="Impacto",(O61-(+O61*V61)),IF(S61="Probabilidad",O61,"")),"")</f>
        <v>0.6</v>
      </c>
      <c r="AE64" s="168" t="str">
        <f t="shared" si="34"/>
        <v>Alto</v>
      </c>
      <c r="AF64" s="113" t="s">
        <v>134</v>
      </c>
      <c r="AG64" s="194" t="s">
        <v>512</v>
      </c>
      <c r="AH64" s="193" t="s">
        <v>513</v>
      </c>
      <c r="AI64" s="114" t="s">
        <v>514</v>
      </c>
      <c r="AJ64" s="114" t="s">
        <v>514</v>
      </c>
      <c r="AK64" s="194"/>
      <c r="AL64" s="193" t="s">
        <v>41</v>
      </c>
      <c r="AM64" s="155"/>
      <c r="AN64" s="155"/>
      <c r="AO64" s="155"/>
      <c r="AP64" s="155"/>
      <c r="AQ64" s="155"/>
      <c r="AR64" s="155"/>
      <c r="AS64" s="155"/>
      <c r="AT64" s="155"/>
      <c r="AU64" s="155"/>
      <c r="AV64" s="155"/>
      <c r="AW64" s="155"/>
      <c r="AX64" s="155"/>
      <c r="AY64" s="155"/>
      <c r="AZ64" s="155"/>
      <c r="BA64" s="155"/>
      <c r="BB64" s="155"/>
      <c r="BC64" s="155"/>
      <c r="BD64" s="155"/>
      <c r="BE64" s="155"/>
      <c r="BF64" s="155"/>
      <c r="BG64" s="155"/>
      <c r="BH64" s="155"/>
      <c r="BI64" s="155"/>
      <c r="BJ64" s="155"/>
      <c r="BK64" s="155"/>
      <c r="BL64" s="155"/>
      <c r="BM64" s="155"/>
      <c r="BN64" s="155"/>
      <c r="BO64" s="155"/>
      <c r="BP64" s="155"/>
      <c r="BQ64" s="155"/>
      <c r="BR64" s="155"/>
    </row>
    <row r="65" spans="1:70" s="156" customFormat="1" ht="36.75" hidden="1" customHeight="1" x14ac:dyDescent="0.25">
      <c r="A65" s="266"/>
      <c r="B65" s="268"/>
      <c r="C65" s="268"/>
      <c r="D65" s="271"/>
      <c r="E65" s="271"/>
      <c r="F65" s="271"/>
      <c r="G65" s="363"/>
      <c r="H65" s="271"/>
      <c r="I65" s="266"/>
      <c r="J65" s="276"/>
      <c r="K65" s="278"/>
      <c r="L65" s="274"/>
      <c r="M65" s="278">
        <f ca="1">IF(NOT(ISERROR(MATCH(L65,_xlfn.ANCHORARRAY(G76),0))),K78&amp;"Por favor no seleccionar los criterios de impacto",L65)</f>
        <v>0</v>
      </c>
      <c r="N65" s="276"/>
      <c r="O65" s="278"/>
      <c r="P65" s="280"/>
      <c r="Q65" s="201">
        <v>5</v>
      </c>
      <c r="R65" s="112"/>
      <c r="S65" s="201" t="str">
        <f t="shared" si="30"/>
        <v/>
      </c>
      <c r="T65" s="113"/>
      <c r="U65" s="113"/>
      <c r="V65" s="167" t="str">
        <f t="shared" si="23"/>
        <v/>
      </c>
      <c r="W65" s="113"/>
      <c r="X65" s="113"/>
      <c r="Y65" s="113"/>
      <c r="Z65" s="165" t="str">
        <f>IFERROR(IF(S65="Probabilidad",(K61-(+K61*V65)),IF(S65="Impacto",K61,"")),"")</f>
        <v/>
      </c>
      <c r="AA65" s="166" t="str">
        <f t="shared" si="31"/>
        <v/>
      </c>
      <c r="AB65" s="167" t="str">
        <f t="shared" si="32"/>
        <v/>
      </c>
      <c r="AC65" s="166" t="str">
        <f t="shared" si="33"/>
        <v/>
      </c>
      <c r="AD65" s="167" t="str">
        <f t="shared" ref="AD65:AD84" si="35">IFERROR(IF(S65="Impacto",(O65-(+O65*V65)),IF(S65="Probabilidad",O65,"")),"")</f>
        <v/>
      </c>
      <c r="AE65" s="168" t="str">
        <f t="shared" si="34"/>
        <v/>
      </c>
      <c r="AF65" s="113" t="s">
        <v>31</v>
      </c>
      <c r="AG65" s="194"/>
      <c r="AH65" s="193" t="s">
        <v>513</v>
      </c>
      <c r="AI65" s="114" t="s">
        <v>515</v>
      </c>
      <c r="AJ65" s="114"/>
      <c r="AK65" s="194"/>
      <c r="AL65" s="193" t="s">
        <v>41</v>
      </c>
      <c r="AM65" s="155"/>
      <c r="AN65" s="155"/>
      <c r="AO65" s="155"/>
      <c r="AP65" s="155"/>
      <c r="AQ65" s="155"/>
      <c r="AR65" s="155"/>
      <c r="AS65" s="155"/>
      <c r="AT65" s="155"/>
      <c r="AU65" s="155"/>
      <c r="AV65" s="155"/>
      <c r="AW65" s="155"/>
      <c r="AX65" s="155"/>
      <c r="AY65" s="155"/>
      <c r="AZ65" s="155"/>
      <c r="BA65" s="155"/>
      <c r="BB65" s="155"/>
      <c r="BC65" s="155"/>
      <c r="BD65" s="155"/>
      <c r="BE65" s="155"/>
      <c r="BF65" s="155"/>
      <c r="BG65" s="155"/>
      <c r="BH65" s="155"/>
      <c r="BI65" s="155"/>
      <c r="BJ65" s="155"/>
      <c r="BK65" s="155"/>
      <c r="BL65" s="155"/>
      <c r="BM65" s="155"/>
      <c r="BN65" s="155"/>
      <c r="BO65" s="155"/>
      <c r="BP65" s="155"/>
      <c r="BQ65" s="155"/>
      <c r="BR65" s="155"/>
    </row>
    <row r="66" spans="1:70" s="156" customFormat="1" ht="36.75" hidden="1" customHeight="1" x14ac:dyDescent="0.25">
      <c r="A66" s="266"/>
      <c r="B66" s="269"/>
      <c r="C66" s="269"/>
      <c r="D66" s="271"/>
      <c r="E66" s="271"/>
      <c r="F66" s="271"/>
      <c r="G66" s="363"/>
      <c r="H66" s="271"/>
      <c r="I66" s="266"/>
      <c r="J66" s="276"/>
      <c r="K66" s="278"/>
      <c r="L66" s="274"/>
      <c r="M66" s="278">
        <f ca="1">IF(NOT(ISERROR(MATCH(L66,_xlfn.ANCHORARRAY(G77),0))),K79&amp;"Por favor no seleccionar los criterios de impacto",L66)</f>
        <v>0</v>
      </c>
      <c r="N66" s="276"/>
      <c r="O66" s="278"/>
      <c r="P66" s="280"/>
      <c r="Q66" s="201">
        <v>6</v>
      </c>
      <c r="R66" s="112"/>
      <c r="S66" s="201" t="str">
        <f t="shared" si="30"/>
        <v/>
      </c>
      <c r="T66" s="113"/>
      <c r="U66" s="113"/>
      <c r="V66" s="167" t="str">
        <f t="shared" si="23"/>
        <v/>
      </c>
      <c r="W66" s="113"/>
      <c r="X66" s="113"/>
      <c r="Y66" s="113"/>
      <c r="Z66" s="165" t="str">
        <f>IFERROR(IF(S65="Probabilidad",(K61-(+K61*V66)),IF(S66="Impacto",K61,"")),"")</f>
        <v/>
      </c>
      <c r="AA66" s="166" t="str">
        <f t="shared" si="31"/>
        <v/>
      </c>
      <c r="AB66" s="167" t="str">
        <f t="shared" si="32"/>
        <v/>
      </c>
      <c r="AC66" s="166" t="str">
        <f t="shared" si="33"/>
        <v/>
      </c>
      <c r="AD66" s="167" t="str">
        <f t="shared" si="35"/>
        <v/>
      </c>
      <c r="AE66" s="168" t="str">
        <f t="shared" si="34"/>
        <v/>
      </c>
      <c r="AF66" s="113" t="s">
        <v>31</v>
      </c>
      <c r="AG66" s="194"/>
      <c r="AH66" s="193" t="s">
        <v>513</v>
      </c>
      <c r="AI66" s="114" t="s">
        <v>516</v>
      </c>
      <c r="AJ66" s="114"/>
      <c r="AK66" s="194"/>
      <c r="AL66" s="193" t="s">
        <v>41</v>
      </c>
      <c r="AM66" s="155"/>
      <c r="AN66" s="155"/>
      <c r="AO66" s="155"/>
      <c r="AP66" s="155"/>
      <c r="AQ66" s="155"/>
      <c r="AR66" s="155"/>
      <c r="AS66" s="155"/>
      <c r="AT66" s="155"/>
      <c r="AU66" s="155"/>
      <c r="AV66" s="155"/>
      <c r="AW66" s="155"/>
      <c r="AX66" s="155"/>
      <c r="AY66" s="155"/>
      <c r="AZ66" s="155"/>
      <c r="BA66" s="155"/>
      <c r="BB66" s="155"/>
      <c r="BC66" s="155"/>
      <c r="BD66" s="155"/>
      <c r="BE66" s="155"/>
      <c r="BF66" s="155"/>
      <c r="BG66" s="155"/>
      <c r="BH66" s="155"/>
      <c r="BI66" s="155"/>
      <c r="BJ66" s="155"/>
      <c r="BK66" s="155"/>
      <c r="BL66" s="155"/>
      <c r="BM66" s="155"/>
      <c r="BN66" s="155"/>
      <c r="BO66" s="155"/>
      <c r="BP66" s="155"/>
      <c r="BQ66" s="155"/>
      <c r="BR66" s="155"/>
    </row>
    <row r="67" spans="1:70" s="156" customFormat="1" ht="83.25" customHeight="1" x14ac:dyDescent="0.25">
      <c r="A67" s="266">
        <v>10</v>
      </c>
      <c r="B67" s="267" t="s">
        <v>210</v>
      </c>
      <c r="C67" s="267" t="s">
        <v>484</v>
      </c>
      <c r="D67" s="270" t="s">
        <v>130</v>
      </c>
      <c r="E67" s="270" t="s">
        <v>485</v>
      </c>
      <c r="F67" s="270" t="s">
        <v>486</v>
      </c>
      <c r="G67" s="362" t="s">
        <v>487</v>
      </c>
      <c r="H67" s="270" t="s">
        <v>437</v>
      </c>
      <c r="I67" s="281">
        <v>52</v>
      </c>
      <c r="J67" s="275" t="str">
        <f>IF(I67&lt;=0,"",IF(I67&lt;=2,"Muy Baja",IF(I67&lt;=24,"Baja",IF(I67&lt;=500,"Media",IF(I67&lt;=5000,"Alta","Muy Alta")))))</f>
        <v>Media</v>
      </c>
      <c r="K67" s="277">
        <f>IF(J67="","",IF(J67="Muy Baja",0.2,IF(J67="Baja",0.4,IF(J67="Media",0.6,IF(J67="Alta",0.8,IF(J67="Muy Alta",1,))))))</f>
        <v>0.6</v>
      </c>
      <c r="L67" s="273" t="s">
        <v>116</v>
      </c>
      <c r="M67" s="277" t="str">
        <f>IF(NOT(ISERROR(MATCH(L67,'[3]Tabla Impacto'!$B$221:$B$223,0))),'[3]Tabla Impacto'!$F$223&amp;"Por favor no seleccionar los criterios de impacto(Afectación Económica o presupuestal y Pérdida Reputacional)",L67)</f>
        <v>El riesgo afecta la imagen de la entidad a nivel nacional, con efecto publicitarios sostenible a nivel país</v>
      </c>
      <c r="N67" s="275" t="str">
        <f>+IF(OR(M67='[3]Tabla Impacto'!$C$11,M67='[3]Tabla Impacto'!$D$11),"Leve",IF(OR(M67='[3]Tabla Impacto'!$C$12,M67='[3]Tabla Impacto'!$D$12),"Menor",IF(OR(M67='[3]Tabla Impacto'!$C$13,M67='[3]Tabla Impacto'!$D$13),"Moderado",IF(OR(M67='[3]Tabla Impacto'!$C$14,M67='[3]Tabla Impacto'!$D$14),"Mayor",IF(OR(M67='[3]Tabla Impacto'!$C$15,M67='[3]Tabla Impacto'!$D$15),"Catastrófico","")))))</f>
        <v>Catastrófico</v>
      </c>
      <c r="O67" s="277">
        <f>IF(N67="","",IF(N67="Leve",0.2,IF(N67="Menor",0.4,IF(N67="Moderado",0.6,IF(N67="Mayor",0.8,IF(N67="Catastrófico",1,))))))</f>
        <v>1</v>
      </c>
      <c r="P67" s="279" t="str">
        <f>IF(OR(AND(J67="Muy Baja",N67="Leve"),AND(J67="Muy Baja",N67="Menor"),AND(J67="Baja",N67="Leve")),"Bajo",IF(OR(AND(J67="Muy baja",N67="Moderado"),AND(J67="Baja",N67="Menor"),AND(J67="Baja",N67="Moderado"),AND(J67="Media",N67="Leve"),AND(J67="Media",N67="Menor"),AND(J67="Media",N67="Moderado"),AND(J67="Alta",N67="Leve"),AND(J67="Alta",N67="Menor")),"Moderado",IF(OR(AND(J67="Muy Baja",N67="Mayor"),AND(J67="Baja",N67="Mayor"),AND(J67="Media",N67="Mayor"),AND(J67="Alta",N67="Moderado"),AND(J67="Alta",N67="Mayor"),AND(J67="Muy Alta",N67="Leve"),AND(J67="Muy Alta",N67="Menor"),AND(J67="Muy Alta",N67="Moderado"),AND(J67="Muy Alta",N67="Mayor")),"Alto",IF(OR(AND(J67="Muy Baja",N67="Catastrófico"),AND(J67="Baja",N67="Catastrófico"),AND(J67="Media",N67="Catastrófico"),AND(J67="Alta",N67="Catastrófico"),AND(J67="Muy Alta",N67="Catastrófico")),"Extremo",""))))</f>
        <v>Extremo</v>
      </c>
      <c r="Q67" s="201">
        <v>1</v>
      </c>
      <c r="R67" s="112" t="s">
        <v>517</v>
      </c>
      <c r="S67" s="201" t="str">
        <f t="shared" si="30"/>
        <v>Probabilidad</v>
      </c>
      <c r="T67" s="113" t="s">
        <v>14</v>
      </c>
      <c r="U67" s="113" t="s">
        <v>9</v>
      </c>
      <c r="V67" s="167" t="str">
        <f t="shared" si="23"/>
        <v>40%</v>
      </c>
      <c r="W67" s="113" t="s">
        <v>19</v>
      </c>
      <c r="X67" s="113" t="s">
        <v>22</v>
      </c>
      <c r="Y67" s="113" t="s">
        <v>117</v>
      </c>
      <c r="Z67" s="165">
        <f t="shared" ref="Z67:Z79" si="36">IFERROR(IF(S67="Probabilidad",(K67-(+K67*V67)),IF(S67="Impacto",K67,"")),"")</f>
        <v>0.36</v>
      </c>
      <c r="AA67" s="166" t="str">
        <f t="shared" si="31"/>
        <v>Baja</v>
      </c>
      <c r="AB67" s="167">
        <f t="shared" si="32"/>
        <v>0.36</v>
      </c>
      <c r="AC67" s="166" t="str">
        <f t="shared" si="33"/>
        <v>Catastrófico</v>
      </c>
      <c r="AD67" s="167">
        <f>IFERROR(IF(S67="Impacto",(O67-(+O67*V67)),IF(S67="Probabilidad",O67,"")),"")</f>
        <v>1</v>
      </c>
      <c r="AE67" s="168" t="str">
        <f t="shared" si="34"/>
        <v>Extremo</v>
      </c>
      <c r="AF67" s="113" t="s">
        <v>31</v>
      </c>
      <c r="AG67" s="194" t="s">
        <v>518</v>
      </c>
      <c r="AH67" s="193" t="s">
        <v>513</v>
      </c>
      <c r="AI67" s="114" t="s">
        <v>519</v>
      </c>
      <c r="AJ67" s="114" t="s">
        <v>520</v>
      </c>
      <c r="AK67" s="194"/>
      <c r="AL67" s="193" t="s">
        <v>41</v>
      </c>
      <c r="AM67" s="155"/>
      <c r="AN67" s="155"/>
      <c r="AO67" s="155"/>
      <c r="AP67" s="155"/>
      <c r="AQ67" s="155"/>
      <c r="AR67" s="155"/>
      <c r="AS67" s="155"/>
      <c r="AT67" s="155"/>
      <c r="AU67" s="155"/>
      <c r="AV67" s="155"/>
      <c r="AW67" s="155"/>
      <c r="AX67" s="155"/>
      <c r="AY67" s="155"/>
      <c r="AZ67" s="155"/>
      <c r="BA67" s="155"/>
      <c r="BB67" s="155"/>
      <c r="BC67" s="155"/>
      <c r="BD67" s="155"/>
      <c r="BE67" s="155"/>
      <c r="BF67" s="155"/>
      <c r="BG67" s="155"/>
      <c r="BH67" s="155"/>
      <c r="BI67" s="155"/>
      <c r="BJ67" s="155"/>
      <c r="BK67" s="155"/>
      <c r="BL67" s="155"/>
      <c r="BM67" s="155"/>
      <c r="BN67" s="155"/>
      <c r="BO67" s="155"/>
      <c r="BP67" s="155"/>
      <c r="BQ67" s="155"/>
      <c r="BR67" s="155"/>
    </row>
    <row r="68" spans="1:70" s="156" customFormat="1" ht="83.25" customHeight="1" x14ac:dyDescent="0.25">
      <c r="A68" s="266"/>
      <c r="B68" s="294"/>
      <c r="C68" s="294"/>
      <c r="D68" s="270"/>
      <c r="E68" s="270"/>
      <c r="F68" s="270"/>
      <c r="G68" s="362"/>
      <c r="H68" s="270"/>
      <c r="I68" s="281"/>
      <c r="J68" s="275"/>
      <c r="K68" s="277"/>
      <c r="L68" s="273"/>
      <c r="M68" s="277">
        <f ca="1">IF(NOT(ISERROR(MATCH(L68,_xlfn.ANCHORARRAY(G79),0))),K81&amp;"Por favor no seleccionar los criterios de impacto",L68)</f>
        <v>0</v>
      </c>
      <c r="N68" s="275"/>
      <c r="O68" s="277"/>
      <c r="P68" s="279"/>
      <c r="Q68" s="201">
        <v>2</v>
      </c>
      <c r="R68" s="112" t="s">
        <v>521</v>
      </c>
      <c r="S68" s="201" t="str">
        <f t="shared" si="30"/>
        <v>Probabilidad</v>
      </c>
      <c r="T68" s="113" t="s">
        <v>15</v>
      </c>
      <c r="U68" s="113" t="s">
        <v>9</v>
      </c>
      <c r="V68" s="167" t="str">
        <f t="shared" si="23"/>
        <v>30%</v>
      </c>
      <c r="W68" s="113" t="s">
        <v>19</v>
      </c>
      <c r="X68" s="113" t="s">
        <v>22</v>
      </c>
      <c r="Y68" s="113" t="s">
        <v>117</v>
      </c>
      <c r="Z68" s="165">
        <f>IFERROR(IF(S68="Probabilidad",(K67-(+K67*V68)),IF(S68="Impacto",K67,"")),"")</f>
        <v>0.42</v>
      </c>
      <c r="AA68" s="166" t="str">
        <f t="shared" si="31"/>
        <v>Media</v>
      </c>
      <c r="AB68" s="167">
        <f t="shared" si="32"/>
        <v>0.42</v>
      </c>
      <c r="AC68" s="166" t="str">
        <f t="shared" si="33"/>
        <v>Catastrófico</v>
      </c>
      <c r="AD68" s="167">
        <f>IFERROR(IF(S67="Impacto",(O67-(+O67*V68)),IF(S67="Probabilidad",O67,"")),"")</f>
        <v>1</v>
      </c>
      <c r="AE68" s="168" t="str">
        <f t="shared" si="34"/>
        <v>Extremo</v>
      </c>
      <c r="AF68" s="113" t="s">
        <v>134</v>
      </c>
      <c r="AG68" s="194" t="s">
        <v>522</v>
      </c>
      <c r="AH68" s="193" t="s">
        <v>513</v>
      </c>
      <c r="AI68" s="114" t="s">
        <v>514</v>
      </c>
      <c r="AJ68" s="114" t="s">
        <v>514</v>
      </c>
      <c r="AK68" s="194"/>
      <c r="AL68" s="193" t="s">
        <v>41</v>
      </c>
      <c r="AM68" s="155"/>
      <c r="AN68" s="155"/>
      <c r="AO68" s="155"/>
      <c r="AP68" s="155"/>
      <c r="AQ68" s="155"/>
      <c r="AR68" s="155"/>
      <c r="AS68" s="155"/>
      <c r="AT68" s="155"/>
      <c r="AU68" s="155"/>
      <c r="AV68" s="155"/>
      <c r="AW68" s="155"/>
      <c r="AX68" s="155"/>
      <c r="AY68" s="155"/>
      <c r="AZ68" s="155"/>
      <c r="BA68" s="155"/>
      <c r="BB68" s="155"/>
      <c r="BC68" s="155"/>
      <c r="BD68" s="155"/>
      <c r="BE68" s="155"/>
      <c r="BF68" s="155"/>
      <c r="BG68" s="155"/>
      <c r="BH68" s="155"/>
      <c r="BI68" s="155"/>
      <c r="BJ68" s="155"/>
      <c r="BK68" s="155"/>
      <c r="BL68" s="155"/>
      <c r="BM68" s="155"/>
      <c r="BN68" s="155"/>
      <c r="BO68" s="155"/>
      <c r="BP68" s="155"/>
      <c r="BQ68" s="155"/>
      <c r="BR68" s="155"/>
    </row>
    <row r="69" spans="1:70" s="156" customFormat="1" ht="75" hidden="1" customHeight="1" x14ac:dyDescent="0.25">
      <c r="A69" s="266"/>
      <c r="B69" s="268"/>
      <c r="C69" s="268"/>
      <c r="D69" s="271"/>
      <c r="E69" s="271"/>
      <c r="F69" s="271"/>
      <c r="G69" s="363"/>
      <c r="H69" s="271"/>
      <c r="I69" s="266"/>
      <c r="J69" s="276"/>
      <c r="K69" s="278"/>
      <c r="L69" s="274"/>
      <c r="M69" s="278">
        <f ca="1">IF(NOT(ISERROR(MATCH(L69,_xlfn.ANCHORARRAY(G80),0))),K82&amp;"Por favor no seleccionar los criterios de impacto",L69)</f>
        <v>0</v>
      </c>
      <c r="N69" s="276"/>
      <c r="O69" s="278"/>
      <c r="P69" s="280"/>
      <c r="Q69" s="201">
        <v>3</v>
      </c>
      <c r="R69" s="112"/>
      <c r="S69" s="201" t="str">
        <f t="shared" si="30"/>
        <v/>
      </c>
      <c r="T69" s="113"/>
      <c r="U69" s="113"/>
      <c r="V69" s="167" t="str">
        <f t="shared" si="23"/>
        <v/>
      </c>
      <c r="W69" s="113"/>
      <c r="X69" s="113"/>
      <c r="Y69" s="113"/>
      <c r="Z69" s="165" t="str">
        <f>IFERROR(IF(S69="Probabilidad",(K67-(+K67*V69)),IF(S69="Impacto",K67,"")),"")</f>
        <v/>
      </c>
      <c r="AA69" s="166" t="str">
        <f t="shared" si="31"/>
        <v/>
      </c>
      <c r="AB69" s="167" t="str">
        <f t="shared" si="32"/>
        <v/>
      </c>
      <c r="AC69" s="166" t="str">
        <f t="shared" si="33"/>
        <v/>
      </c>
      <c r="AD69" s="167" t="str">
        <f t="shared" si="35"/>
        <v/>
      </c>
      <c r="AE69" s="168" t="str">
        <f t="shared" si="34"/>
        <v/>
      </c>
      <c r="AF69" s="113" t="s">
        <v>134</v>
      </c>
      <c r="AG69" s="194"/>
      <c r="AH69" s="193" t="s">
        <v>513</v>
      </c>
      <c r="AI69" s="114"/>
      <c r="AJ69" s="114"/>
      <c r="AK69" s="194"/>
      <c r="AL69" s="193"/>
      <c r="AM69" s="155"/>
      <c r="AN69" s="155"/>
      <c r="AO69" s="155"/>
      <c r="AP69" s="155"/>
      <c r="AQ69" s="155"/>
      <c r="AR69" s="155"/>
      <c r="AS69" s="155"/>
      <c r="AT69" s="155"/>
      <c r="AU69" s="155"/>
      <c r="AV69" s="155"/>
      <c r="AW69" s="155"/>
      <c r="AX69" s="155"/>
      <c r="AY69" s="155"/>
      <c r="AZ69" s="155"/>
      <c r="BA69" s="155"/>
      <c r="BB69" s="155"/>
      <c r="BC69" s="155"/>
      <c r="BD69" s="155"/>
      <c r="BE69" s="155"/>
      <c r="BF69" s="155"/>
      <c r="BG69" s="155"/>
      <c r="BH69" s="155"/>
      <c r="BI69" s="155"/>
      <c r="BJ69" s="155"/>
      <c r="BK69" s="155"/>
      <c r="BL69" s="155"/>
      <c r="BM69" s="155"/>
      <c r="BN69" s="155"/>
      <c r="BO69" s="155"/>
      <c r="BP69" s="155"/>
      <c r="BQ69" s="155"/>
      <c r="BR69" s="155"/>
    </row>
    <row r="70" spans="1:70" s="156" customFormat="1" ht="75" hidden="1" customHeight="1" x14ac:dyDescent="0.25">
      <c r="A70" s="266"/>
      <c r="B70" s="268"/>
      <c r="C70" s="268"/>
      <c r="D70" s="271"/>
      <c r="E70" s="271"/>
      <c r="F70" s="271"/>
      <c r="G70" s="363"/>
      <c r="H70" s="271"/>
      <c r="I70" s="266"/>
      <c r="J70" s="276"/>
      <c r="K70" s="278"/>
      <c r="L70" s="274"/>
      <c r="M70" s="278">
        <f ca="1">IF(NOT(ISERROR(MATCH(L70,_xlfn.ANCHORARRAY(G81),0))),K83&amp;"Por favor no seleccionar los criterios de impacto",L70)</f>
        <v>0</v>
      </c>
      <c r="N70" s="276"/>
      <c r="O70" s="278"/>
      <c r="P70" s="280"/>
      <c r="Q70" s="201">
        <v>4</v>
      </c>
      <c r="R70" s="112"/>
      <c r="S70" s="201" t="str">
        <f t="shared" si="30"/>
        <v/>
      </c>
      <c r="T70" s="113"/>
      <c r="U70" s="113"/>
      <c r="V70" s="167" t="str">
        <f t="shared" si="23"/>
        <v/>
      </c>
      <c r="W70" s="113"/>
      <c r="X70" s="113"/>
      <c r="Y70" s="113"/>
      <c r="Z70" s="165" t="str">
        <f>IFERROR(IF(S70="Probabilidad",(K67-(+K67*V70)),IF(S70="Impacto",K67,"")),"")</f>
        <v/>
      </c>
      <c r="AA70" s="166" t="str">
        <f t="shared" si="31"/>
        <v/>
      </c>
      <c r="AB70" s="167" t="str">
        <f t="shared" si="32"/>
        <v/>
      </c>
      <c r="AC70" s="166" t="str">
        <f t="shared" si="33"/>
        <v/>
      </c>
      <c r="AD70" s="167" t="str">
        <f t="shared" si="35"/>
        <v/>
      </c>
      <c r="AE70" s="168" t="str">
        <f t="shared" si="34"/>
        <v/>
      </c>
      <c r="AF70" s="113" t="s">
        <v>134</v>
      </c>
      <c r="AG70" s="194"/>
      <c r="AH70" s="193" t="s">
        <v>513</v>
      </c>
      <c r="AI70" s="114"/>
      <c r="AJ70" s="114"/>
      <c r="AK70" s="194"/>
      <c r="AL70" s="193"/>
      <c r="AM70" s="155"/>
      <c r="AN70" s="155"/>
      <c r="AO70" s="155"/>
      <c r="AP70" s="155"/>
      <c r="AQ70" s="155"/>
      <c r="AR70" s="155"/>
      <c r="AS70" s="155"/>
      <c r="AT70" s="155"/>
      <c r="AU70" s="155"/>
      <c r="AV70" s="155"/>
      <c r="AW70" s="155"/>
      <c r="AX70" s="155"/>
      <c r="AY70" s="155"/>
      <c r="AZ70" s="155"/>
      <c r="BA70" s="155"/>
      <c r="BB70" s="155"/>
      <c r="BC70" s="155"/>
      <c r="BD70" s="155"/>
      <c r="BE70" s="155"/>
      <c r="BF70" s="155"/>
      <c r="BG70" s="155"/>
      <c r="BH70" s="155"/>
      <c r="BI70" s="155"/>
      <c r="BJ70" s="155"/>
      <c r="BK70" s="155"/>
      <c r="BL70" s="155"/>
      <c r="BM70" s="155"/>
      <c r="BN70" s="155"/>
      <c r="BO70" s="155"/>
      <c r="BP70" s="155"/>
      <c r="BQ70" s="155"/>
      <c r="BR70" s="155"/>
    </row>
    <row r="71" spans="1:70" s="156" customFormat="1" ht="75" hidden="1" customHeight="1" x14ac:dyDescent="0.25">
      <c r="A71" s="266"/>
      <c r="B71" s="268"/>
      <c r="C71" s="268"/>
      <c r="D71" s="271"/>
      <c r="E71" s="271"/>
      <c r="F71" s="271"/>
      <c r="G71" s="363"/>
      <c r="H71" s="271"/>
      <c r="I71" s="266"/>
      <c r="J71" s="276"/>
      <c r="K71" s="278"/>
      <c r="L71" s="274"/>
      <c r="M71" s="278">
        <f ca="1">IF(NOT(ISERROR(MATCH(L71,_xlfn.ANCHORARRAY(G82),0))),K84&amp;"Por favor no seleccionar los criterios de impacto",L71)</f>
        <v>0</v>
      </c>
      <c r="N71" s="276"/>
      <c r="O71" s="278"/>
      <c r="P71" s="280"/>
      <c r="Q71" s="201">
        <v>5</v>
      </c>
      <c r="R71" s="112"/>
      <c r="S71" s="201" t="str">
        <f t="shared" si="30"/>
        <v/>
      </c>
      <c r="T71" s="113"/>
      <c r="U71" s="113"/>
      <c r="V71" s="167" t="str">
        <f t="shared" si="23"/>
        <v/>
      </c>
      <c r="W71" s="113"/>
      <c r="X71" s="113"/>
      <c r="Y71" s="113"/>
      <c r="Z71" s="165" t="str">
        <f>IFERROR(IF(S71="Probabilidad",(K67-(+K67*V71)),IF(S71="Impacto",K67,"")),"")</f>
        <v/>
      </c>
      <c r="AA71" s="166" t="str">
        <f t="shared" si="31"/>
        <v/>
      </c>
      <c r="AB71" s="167" t="str">
        <f t="shared" si="32"/>
        <v/>
      </c>
      <c r="AC71" s="166" t="str">
        <f t="shared" si="33"/>
        <v/>
      </c>
      <c r="AD71" s="167" t="str">
        <f t="shared" si="35"/>
        <v/>
      </c>
      <c r="AE71" s="168" t="str">
        <f t="shared" si="34"/>
        <v/>
      </c>
      <c r="AF71" s="113" t="s">
        <v>134</v>
      </c>
      <c r="AG71" s="194"/>
      <c r="AH71" s="193" t="s">
        <v>513</v>
      </c>
      <c r="AI71" s="114"/>
      <c r="AJ71" s="114"/>
      <c r="AK71" s="194"/>
      <c r="AL71" s="193"/>
      <c r="AM71" s="155"/>
      <c r="AN71" s="155"/>
      <c r="AO71" s="155"/>
      <c r="AP71" s="155"/>
      <c r="AQ71" s="155"/>
      <c r="AR71" s="155"/>
      <c r="AS71" s="155"/>
      <c r="AT71" s="155"/>
      <c r="AU71" s="155"/>
      <c r="AV71" s="155"/>
      <c r="AW71" s="155"/>
      <c r="AX71" s="155"/>
      <c r="AY71" s="155"/>
      <c r="AZ71" s="155"/>
      <c r="BA71" s="155"/>
      <c r="BB71" s="155"/>
      <c r="BC71" s="155"/>
      <c r="BD71" s="155"/>
      <c r="BE71" s="155"/>
      <c r="BF71" s="155"/>
      <c r="BG71" s="155"/>
      <c r="BH71" s="155"/>
      <c r="BI71" s="155"/>
      <c r="BJ71" s="155"/>
      <c r="BK71" s="155"/>
      <c r="BL71" s="155"/>
      <c r="BM71" s="155"/>
      <c r="BN71" s="155"/>
      <c r="BO71" s="155"/>
      <c r="BP71" s="155"/>
      <c r="BQ71" s="155"/>
      <c r="BR71" s="155"/>
    </row>
    <row r="72" spans="1:70" s="156" customFormat="1" ht="75" hidden="1" customHeight="1" x14ac:dyDescent="0.25">
      <c r="A72" s="266"/>
      <c r="B72" s="269"/>
      <c r="C72" s="269"/>
      <c r="D72" s="271"/>
      <c r="E72" s="271"/>
      <c r="F72" s="271"/>
      <c r="G72" s="363"/>
      <c r="H72" s="271"/>
      <c r="I72" s="266"/>
      <c r="J72" s="276"/>
      <c r="K72" s="278"/>
      <c r="L72" s="274"/>
      <c r="M72" s="278">
        <f ca="1">IF(NOT(ISERROR(MATCH(L72,_xlfn.ANCHORARRAY(G83),0))),K85&amp;"Por favor no seleccionar los criterios de impacto",L72)</f>
        <v>0</v>
      </c>
      <c r="N72" s="276"/>
      <c r="O72" s="278"/>
      <c r="P72" s="280"/>
      <c r="Q72" s="201">
        <v>6</v>
      </c>
      <c r="R72" s="112"/>
      <c r="S72" s="201" t="str">
        <f t="shared" si="30"/>
        <v/>
      </c>
      <c r="T72" s="113"/>
      <c r="U72" s="113"/>
      <c r="V72" s="167" t="str">
        <f t="shared" si="23"/>
        <v/>
      </c>
      <c r="W72" s="113"/>
      <c r="X72" s="113"/>
      <c r="Y72" s="113"/>
      <c r="Z72" s="165" t="str">
        <f>IFERROR(IF(S72="Probabilidad",(K67-(+K67*V72)),IF(S72="Impacto",K67,"")),"")</f>
        <v/>
      </c>
      <c r="AA72" s="166" t="str">
        <f t="shared" si="31"/>
        <v/>
      </c>
      <c r="AB72" s="167" t="str">
        <f t="shared" si="32"/>
        <v/>
      </c>
      <c r="AC72" s="166" t="str">
        <f t="shared" si="33"/>
        <v/>
      </c>
      <c r="AD72" s="167" t="str">
        <f t="shared" si="35"/>
        <v/>
      </c>
      <c r="AE72" s="168" t="str">
        <f t="shared" si="34"/>
        <v/>
      </c>
      <c r="AF72" s="113" t="s">
        <v>134</v>
      </c>
      <c r="AG72" s="194"/>
      <c r="AH72" s="193" t="s">
        <v>513</v>
      </c>
      <c r="AI72" s="114"/>
      <c r="AJ72" s="114"/>
      <c r="AK72" s="194"/>
      <c r="AL72" s="193"/>
      <c r="AM72" s="155"/>
      <c r="AN72" s="155"/>
      <c r="AO72" s="155"/>
      <c r="AP72" s="155"/>
      <c r="AQ72" s="155"/>
      <c r="AR72" s="155"/>
      <c r="AS72" s="155"/>
      <c r="AT72" s="155"/>
      <c r="AU72" s="155"/>
      <c r="AV72" s="155"/>
      <c r="AW72" s="155"/>
      <c r="AX72" s="155"/>
      <c r="AY72" s="155"/>
      <c r="AZ72" s="155"/>
      <c r="BA72" s="155"/>
      <c r="BB72" s="155"/>
      <c r="BC72" s="155"/>
      <c r="BD72" s="155"/>
      <c r="BE72" s="155"/>
      <c r="BF72" s="155"/>
      <c r="BG72" s="155"/>
      <c r="BH72" s="155"/>
      <c r="BI72" s="155"/>
      <c r="BJ72" s="155"/>
      <c r="BK72" s="155"/>
      <c r="BL72" s="155"/>
      <c r="BM72" s="155"/>
      <c r="BN72" s="155"/>
      <c r="BO72" s="155"/>
      <c r="BP72" s="155"/>
      <c r="BQ72" s="155"/>
      <c r="BR72" s="155"/>
    </row>
    <row r="73" spans="1:70" s="156" customFormat="1" ht="83.25" customHeight="1" x14ac:dyDescent="0.25">
      <c r="A73" s="266">
        <v>11</v>
      </c>
      <c r="B73" s="267" t="s">
        <v>210</v>
      </c>
      <c r="C73" s="267" t="s">
        <v>488</v>
      </c>
      <c r="D73" s="270" t="s">
        <v>131</v>
      </c>
      <c r="E73" s="270" t="s">
        <v>489</v>
      </c>
      <c r="F73" s="270" t="s">
        <v>490</v>
      </c>
      <c r="G73" s="362" t="s">
        <v>491</v>
      </c>
      <c r="H73" s="270" t="s">
        <v>437</v>
      </c>
      <c r="I73" s="281">
        <v>8640</v>
      </c>
      <c r="J73" s="275" t="str">
        <f>IF(I73&lt;=0,"",IF(I73&lt;=2,"Muy Baja",IF(I73&lt;=24,"Baja",IF(I73&lt;=500,"Media",IF(I73&lt;=5000,"Alta","Muy Alta")))))</f>
        <v>Muy Alta</v>
      </c>
      <c r="K73" s="277">
        <f>IF(J73="","",IF(J73="Muy Baja",0.2,IF(J73="Baja",0.4,IF(J73="Media",0.6,IF(J73="Alta",0.8,IF(J73="Muy Alta",1,))))))</f>
        <v>1</v>
      </c>
      <c r="L73" s="273" t="s">
        <v>93</v>
      </c>
      <c r="M73" s="277" t="str">
        <f>IF(NOT(ISERROR(MATCH(L73,'[3]Tabla Impacto'!$B$221:$B$223,0))),'[3]Tabla Impacto'!$F$223&amp;"Por favor no seleccionar los criterios de impacto(Afectación Económica o presupuestal y Pérdida Reputacional)",L73)</f>
        <v xml:space="preserve">Entre 100 y 500 SMLMV </v>
      </c>
      <c r="N73" s="275" t="str">
        <f>+IF(OR(M73='[3]Tabla Impacto'!$C$11,M73='[3]Tabla Impacto'!$D$11),"Leve",IF(OR(M73='[3]Tabla Impacto'!$C$12,M73='[3]Tabla Impacto'!$D$12),"Menor",IF(OR(M73='[3]Tabla Impacto'!$C$13,M73='[3]Tabla Impacto'!$D$13),"Moderado",IF(OR(M73='[3]Tabla Impacto'!$C$14,M73='[3]Tabla Impacto'!$D$14),"Mayor",IF(OR(M73='[3]Tabla Impacto'!$C$15,M73='[3]Tabla Impacto'!$D$15),"Catastrófico","")))))</f>
        <v>Mayor</v>
      </c>
      <c r="O73" s="277">
        <f>IF(N73="","",IF(N73="Leve",0.2,IF(N73="Menor",0.4,IF(N73="Moderado",0.6,IF(N73="Mayor",0.8,IF(N73="Catastrófico",1,))))))</f>
        <v>0.8</v>
      </c>
      <c r="P73" s="279" t="str">
        <f>IF(OR(AND(J73="Muy Baja",N73="Leve"),AND(J73="Muy Baja",N73="Menor"),AND(J73="Baja",N73="Leve")),"Bajo",IF(OR(AND(J73="Muy baja",N73="Moderado"),AND(J73="Baja",N73="Menor"),AND(J73="Baja",N73="Moderado"),AND(J73="Media",N73="Leve"),AND(J73="Media",N73="Menor"),AND(J73="Media",N73="Moderado"),AND(J73="Alta",N73="Leve"),AND(J73="Alta",N73="Menor")),"Moderado",IF(OR(AND(J73="Muy Baja",N73="Mayor"),AND(J73="Baja",N73="Mayor"),AND(J73="Media",N73="Mayor"),AND(J73="Alta",N73="Moderado"),AND(J73="Alta",N73="Mayor"),AND(J73="Muy Alta",N73="Leve"),AND(J73="Muy Alta",N73="Menor"),AND(J73="Muy Alta",N73="Moderado"),AND(J73="Muy Alta",N73="Mayor")),"Alto",IF(OR(AND(J73="Muy Baja",N73="Catastrófico"),AND(J73="Baja",N73="Catastrófico"),AND(J73="Media",N73="Catastrófico"),AND(J73="Alta",N73="Catastrófico"),AND(J73="Muy Alta",N73="Catastrófico")),"Extremo",""))))</f>
        <v>Alto</v>
      </c>
      <c r="Q73" s="201">
        <v>1</v>
      </c>
      <c r="R73" s="112" t="s">
        <v>523</v>
      </c>
      <c r="S73" s="201" t="str">
        <f t="shared" si="30"/>
        <v>Probabilidad</v>
      </c>
      <c r="T73" s="113" t="s">
        <v>14</v>
      </c>
      <c r="U73" s="113" t="s">
        <v>10</v>
      </c>
      <c r="V73" s="167" t="str">
        <f t="shared" si="23"/>
        <v>50%</v>
      </c>
      <c r="W73" s="113" t="s">
        <v>19</v>
      </c>
      <c r="X73" s="113" t="s">
        <v>22</v>
      </c>
      <c r="Y73" s="113" t="s">
        <v>117</v>
      </c>
      <c r="Z73" s="165">
        <f t="shared" si="36"/>
        <v>0.5</v>
      </c>
      <c r="AA73" s="166" t="str">
        <f t="shared" si="31"/>
        <v>Media</v>
      </c>
      <c r="AB73" s="167">
        <f t="shared" si="32"/>
        <v>0.5</v>
      </c>
      <c r="AC73" s="166" t="str">
        <f t="shared" si="33"/>
        <v>Mayor</v>
      </c>
      <c r="AD73" s="167">
        <f t="shared" si="35"/>
        <v>0.8</v>
      </c>
      <c r="AE73" s="168" t="str">
        <f t="shared" si="34"/>
        <v>Alto</v>
      </c>
      <c r="AF73" s="113" t="s">
        <v>31</v>
      </c>
      <c r="AG73" s="194" t="s">
        <v>524</v>
      </c>
      <c r="AH73" s="193" t="s">
        <v>513</v>
      </c>
      <c r="AI73" s="114" t="s">
        <v>519</v>
      </c>
      <c r="AJ73" s="114" t="s">
        <v>520</v>
      </c>
      <c r="AK73" s="194"/>
      <c r="AL73" s="193" t="s">
        <v>41</v>
      </c>
      <c r="AM73" s="155"/>
      <c r="AN73" s="155"/>
      <c r="AO73" s="155"/>
      <c r="AP73" s="155"/>
      <c r="AQ73" s="155"/>
      <c r="AR73" s="155"/>
      <c r="AS73" s="155"/>
      <c r="AT73" s="155"/>
      <c r="AU73" s="155"/>
      <c r="AV73" s="155"/>
      <c r="AW73" s="155"/>
      <c r="AX73" s="155"/>
      <c r="AY73" s="155"/>
      <c r="AZ73" s="155"/>
      <c r="BA73" s="155"/>
      <c r="BB73" s="155"/>
      <c r="BC73" s="155"/>
      <c r="BD73" s="155"/>
      <c r="BE73" s="155"/>
      <c r="BF73" s="155"/>
      <c r="BG73" s="155"/>
      <c r="BH73" s="155"/>
      <c r="BI73" s="155"/>
      <c r="BJ73" s="155"/>
      <c r="BK73" s="155"/>
      <c r="BL73" s="155"/>
      <c r="BM73" s="155"/>
      <c r="BN73" s="155"/>
      <c r="BO73" s="155"/>
      <c r="BP73" s="155"/>
      <c r="BQ73" s="155"/>
      <c r="BR73" s="155"/>
    </row>
    <row r="74" spans="1:70" s="156" customFormat="1" ht="83.25" customHeight="1" x14ac:dyDescent="0.25">
      <c r="A74" s="266"/>
      <c r="B74" s="294"/>
      <c r="C74" s="294"/>
      <c r="D74" s="270"/>
      <c r="E74" s="270"/>
      <c r="F74" s="270"/>
      <c r="G74" s="362"/>
      <c r="H74" s="270"/>
      <c r="I74" s="281"/>
      <c r="J74" s="275"/>
      <c r="K74" s="277"/>
      <c r="L74" s="273"/>
      <c r="M74" s="277">
        <f ca="1">IF(NOT(ISERROR(MATCH(L74,_xlfn.ANCHORARRAY(G85),0))),K87&amp;"Por favor no seleccionar los criterios de impacto",L74)</f>
        <v>0</v>
      </c>
      <c r="N74" s="275"/>
      <c r="O74" s="277"/>
      <c r="P74" s="279"/>
      <c r="Q74" s="201">
        <v>2</v>
      </c>
      <c r="R74" s="112" t="s">
        <v>525</v>
      </c>
      <c r="S74" s="201" t="str">
        <f t="shared" si="30"/>
        <v>Probabilidad</v>
      </c>
      <c r="T74" s="113" t="s">
        <v>14</v>
      </c>
      <c r="U74" s="113" t="s">
        <v>10</v>
      </c>
      <c r="V74" s="167" t="str">
        <f t="shared" si="23"/>
        <v>50%</v>
      </c>
      <c r="W74" s="113" t="s">
        <v>19</v>
      </c>
      <c r="X74" s="113" t="s">
        <v>22</v>
      </c>
      <c r="Y74" s="113" t="s">
        <v>117</v>
      </c>
      <c r="Z74" s="165">
        <f>IFERROR(IF(S74="Probabilidad",(K73-(+K73*V74)),IF(S74="Impacto",K73,"")),"")</f>
        <v>0.5</v>
      </c>
      <c r="AA74" s="166" t="str">
        <f t="shared" si="31"/>
        <v>Media</v>
      </c>
      <c r="AB74" s="167">
        <f t="shared" si="32"/>
        <v>0.5</v>
      </c>
      <c r="AC74" s="166" t="str">
        <f t="shared" si="33"/>
        <v>Mayor</v>
      </c>
      <c r="AD74" s="167">
        <f>IFERROR(IF(S73="Impacto",(O73-(+O73*V73)),IF(S73="Probabilidad",O73,"")),"")</f>
        <v>0.8</v>
      </c>
      <c r="AE74" s="168" t="str">
        <f t="shared" si="34"/>
        <v>Alto</v>
      </c>
      <c r="AF74" s="113" t="s">
        <v>134</v>
      </c>
      <c r="AG74" s="194"/>
      <c r="AH74" s="193" t="s">
        <v>513</v>
      </c>
      <c r="AI74" s="114" t="s">
        <v>519</v>
      </c>
      <c r="AJ74" s="114" t="s">
        <v>520</v>
      </c>
      <c r="AK74" s="194"/>
      <c r="AL74" s="193" t="s">
        <v>41</v>
      </c>
      <c r="AM74" s="155"/>
      <c r="AN74" s="155"/>
      <c r="AO74" s="155"/>
      <c r="AP74" s="155"/>
      <c r="AQ74" s="155"/>
      <c r="AR74" s="155"/>
      <c r="AS74" s="155"/>
      <c r="AT74" s="155"/>
      <c r="AU74" s="155"/>
      <c r="AV74" s="155"/>
      <c r="AW74" s="155"/>
      <c r="AX74" s="155"/>
      <c r="AY74" s="155"/>
      <c r="AZ74" s="155"/>
      <c r="BA74" s="155"/>
      <c r="BB74" s="155"/>
      <c r="BC74" s="155"/>
      <c r="BD74" s="155"/>
      <c r="BE74" s="155"/>
      <c r="BF74" s="155"/>
      <c r="BG74" s="155"/>
      <c r="BH74" s="155"/>
      <c r="BI74" s="155"/>
      <c r="BJ74" s="155"/>
      <c r="BK74" s="155"/>
      <c r="BL74" s="155"/>
      <c r="BM74" s="155"/>
      <c r="BN74" s="155"/>
      <c r="BO74" s="155"/>
      <c r="BP74" s="155"/>
      <c r="BQ74" s="155"/>
      <c r="BR74" s="155"/>
    </row>
    <row r="75" spans="1:70" s="156" customFormat="1" ht="16.5" hidden="1" customHeight="1" x14ac:dyDescent="0.25">
      <c r="A75" s="266"/>
      <c r="B75" s="268"/>
      <c r="C75" s="268"/>
      <c r="D75" s="271"/>
      <c r="E75" s="271"/>
      <c r="F75" s="271"/>
      <c r="G75" s="363"/>
      <c r="H75" s="271"/>
      <c r="I75" s="266"/>
      <c r="J75" s="276"/>
      <c r="K75" s="278"/>
      <c r="L75" s="274"/>
      <c r="M75" s="278">
        <f ca="1">IF(NOT(ISERROR(MATCH(L75,_xlfn.ANCHORARRAY(G86),0))),K88&amp;"Por favor no seleccionar los criterios de impacto",L75)</f>
        <v>0</v>
      </c>
      <c r="N75" s="276"/>
      <c r="O75" s="278"/>
      <c r="P75" s="280"/>
      <c r="Q75" s="201">
        <v>3</v>
      </c>
      <c r="R75" s="112"/>
      <c r="S75" s="201" t="str">
        <f t="shared" si="30"/>
        <v/>
      </c>
      <c r="T75" s="113"/>
      <c r="U75" s="113"/>
      <c r="V75" s="167" t="str">
        <f t="shared" si="23"/>
        <v/>
      </c>
      <c r="W75" s="113"/>
      <c r="X75" s="113"/>
      <c r="Y75" s="113"/>
      <c r="Z75" s="165" t="str">
        <f>IFERROR(IF(S75="Probabilidad",(K73-(+K73*V75)),IF(S75="Impacto",K73,"")),"")</f>
        <v/>
      </c>
      <c r="AA75" s="166" t="str">
        <f t="shared" si="31"/>
        <v/>
      </c>
      <c r="AB75" s="167" t="str">
        <f t="shared" si="32"/>
        <v/>
      </c>
      <c r="AC75" s="166" t="str">
        <f t="shared" si="33"/>
        <v/>
      </c>
      <c r="AD75" s="167" t="str">
        <f t="shared" si="35"/>
        <v/>
      </c>
      <c r="AE75" s="168" t="str">
        <f t="shared" si="34"/>
        <v/>
      </c>
      <c r="AF75" s="113"/>
      <c r="AG75" s="194"/>
      <c r="AH75" s="193"/>
      <c r="AI75" s="114"/>
      <c r="AJ75" s="114"/>
      <c r="AK75" s="194"/>
      <c r="AL75" s="193"/>
      <c r="AM75" s="155"/>
      <c r="AN75" s="155"/>
      <c r="AO75" s="155"/>
      <c r="AP75" s="155"/>
      <c r="AQ75" s="155"/>
      <c r="AR75" s="155"/>
      <c r="AS75" s="155"/>
      <c r="AT75" s="155"/>
      <c r="AU75" s="155"/>
      <c r="AV75" s="155"/>
      <c r="AW75" s="155"/>
      <c r="AX75" s="155"/>
      <c r="AY75" s="155"/>
      <c r="AZ75" s="155"/>
      <c r="BA75" s="155"/>
      <c r="BB75" s="155"/>
      <c r="BC75" s="155"/>
      <c r="BD75" s="155"/>
      <c r="BE75" s="155"/>
      <c r="BF75" s="155"/>
      <c r="BG75" s="155"/>
      <c r="BH75" s="155"/>
      <c r="BI75" s="155"/>
      <c r="BJ75" s="155"/>
      <c r="BK75" s="155"/>
      <c r="BL75" s="155"/>
      <c r="BM75" s="155"/>
      <c r="BN75" s="155"/>
      <c r="BO75" s="155"/>
      <c r="BP75" s="155"/>
      <c r="BQ75" s="155"/>
      <c r="BR75" s="155"/>
    </row>
    <row r="76" spans="1:70" s="156" customFormat="1" ht="16.5" hidden="1" customHeight="1" x14ac:dyDescent="0.25">
      <c r="A76" s="266"/>
      <c r="B76" s="268"/>
      <c r="C76" s="268"/>
      <c r="D76" s="271"/>
      <c r="E76" s="271"/>
      <c r="F76" s="271"/>
      <c r="G76" s="363"/>
      <c r="H76" s="271"/>
      <c r="I76" s="266"/>
      <c r="J76" s="276"/>
      <c r="K76" s="278"/>
      <c r="L76" s="274"/>
      <c r="M76" s="278">
        <f ca="1">IF(NOT(ISERROR(MATCH(L76,_xlfn.ANCHORARRAY(G87),0))),K89&amp;"Por favor no seleccionar los criterios de impacto",L76)</f>
        <v>0</v>
      </c>
      <c r="N76" s="276"/>
      <c r="O76" s="278"/>
      <c r="P76" s="280"/>
      <c r="Q76" s="201">
        <v>4</v>
      </c>
      <c r="R76" s="112"/>
      <c r="S76" s="201" t="str">
        <f t="shared" si="30"/>
        <v/>
      </c>
      <c r="T76" s="113"/>
      <c r="U76" s="113"/>
      <c r="V76" s="167" t="str">
        <f t="shared" si="23"/>
        <v/>
      </c>
      <c r="W76" s="113"/>
      <c r="X76" s="113"/>
      <c r="Y76" s="113"/>
      <c r="Z76" s="165" t="str">
        <f>IFERROR(IF(S76="Probabilidad",(K73-(+K73*V76)),IF(S76="Impacto",K73,"")),"")</f>
        <v/>
      </c>
      <c r="AA76" s="166" t="str">
        <f t="shared" si="31"/>
        <v/>
      </c>
      <c r="AB76" s="167" t="str">
        <f t="shared" si="32"/>
        <v/>
      </c>
      <c r="AC76" s="166" t="str">
        <f t="shared" si="33"/>
        <v/>
      </c>
      <c r="AD76" s="167" t="str">
        <f t="shared" si="35"/>
        <v/>
      </c>
      <c r="AE76" s="168" t="str">
        <f t="shared" si="34"/>
        <v/>
      </c>
      <c r="AF76" s="113"/>
      <c r="AG76" s="194"/>
      <c r="AH76" s="193"/>
      <c r="AI76" s="114"/>
      <c r="AJ76" s="114"/>
      <c r="AK76" s="194"/>
      <c r="AL76" s="193"/>
      <c r="AM76" s="155"/>
      <c r="AN76" s="155"/>
      <c r="AO76" s="155"/>
      <c r="AP76" s="155"/>
      <c r="AQ76" s="155"/>
      <c r="AR76" s="155"/>
      <c r="AS76" s="155"/>
      <c r="AT76" s="155"/>
      <c r="AU76" s="155"/>
      <c r="AV76" s="155"/>
      <c r="AW76" s="155"/>
      <c r="AX76" s="155"/>
      <c r="AY76" s="155"/>
      <c r="AZ76" s="155"/>
      <c r="BA76" s="155"/>
      <c r="BB76" s="155"/>
      <c r="BC76" s="155"/>
      <c r="BD76" s="155"/>
      <c r="BE76" s="155"/>
      <c r="BF76" s="155"/>
      <c r="BG76" s="155"/>
      <c r="BH76" s="155"/>
      <c r="BI76" s="155"/>
      <c r="BJ76" s="155"/>
      <c r="BK76" s="155"/>
      <c r="BL76" s="155"/>
      <c r="BM76" s="155"/>
      <c r="BN76" s="155"/>
      <c r="BO76" s="155"/>
      <c r="BP76" s="155"/>
      <c r="BQ76" s="155"/>
      <c r="BR76" s="155"/>
    </row>
    <row r="77" spans="1:70" s="156" customFormat="1" ht="16.5" hidden="1" customHeight="1" x14ac:dyDescent="0.25">
      <c r="A77" s="266"/>
      <c r="B77" s="268"/>
      <c r="C77" s="268"/>
      <c r="D77" s="271"/>
      <c r="E77" s="271"/>
      <c r="F77" s="271"/>
      <c r="G77" s="363"/>
      <c r="H77" s="271"/>
      <c r="I77" s="266"/>
      <c r="J77" s="276"/>
      <c r="K77" s="278"/>
      <c r="L77" s="274"/>
      <c r="M77" s="278">
        <f ca="1">IF(NOT(ISERROR(MATCH(L77,_xlfn.ANCHORARRAY(G88),0))),K90&amp;"Por favor no seleccionar los criterios de impacto",L77)</f>
        <v>0</v>
      </c>
      <c r="N77" s="276"/>
      <c r="O77" s="278"/>
      <c r="P77" s="280"/>
      <c r="Q77" s="201">
        <v>5</v>
      </c>
      <c r="R77" s="112"/>
      <c r="S77" s="201" t="str">
        <f t="shared" si="30"/>
        <v/>
      </c>
      <c r="T77" s="113"/>
      <c r="U77" s="113"/>
      <c r="V77" s="167" t="str">
        <f t="shared" si="23"/>
        <v/>
      </c>
      <c r="W77" s="113"/>
      <c r="X77" s="113"/>
      <c r="Y77" s="113"/>
      <c r="Z77" s="165" t="str">
        <f>IFERROR(IF(S77="Probabilidad",(K73-(+K73*V77)),IF(S77="Impacto",K73,"")),"")</f>
        <v/>
      </c>
      <c r="AA77" s="166" t="str">
        <f t="shared" si="31"/>
        <v/>
      </c>
      <c r="AB77" s="167" t="str">
        <f t="shared" si="32"/>
        <v/>
      </c>
      <c r="AC77" s="166" t="str">
        <f t="shared" si="33"/>
        <v/>
      </c>
      <c r="AD77" s="167" t="str">
        <f t="shared" si="35"/>
        <v/>
      </c>
      <c r="AE77" s="168" t="str">
        <f t="shared" si="34"/>
        <v/>
      </c>
      <c r="AF77" s="113"/>
      <c r="AG77" s="194"/>
      <c r="AH77" s="193"/>
      <c r="AI77" s="114"/>
      <c r="AJ77" s="114"/>
      <c r="AK77" s="194"/>
      <c r="AL77" s="193"/>
      <c r="AM77" s="155"/>
      <c r="AN77" s="155"/>
      <c r="AO77" s="155"/>
      <c r="AP77" s="155"/>
      <c r="AQ77" s="155"/>
      <c r="AR77" s="155"/>
      <c r="AS77" s="155"/>
      <c r="AT77" s="155"/>
      <c r="AU77" s="155"/>
      <c r="AV77" s="155"/>
      <c r="AW77" s="155"/>
      <c r="AX77" s="155"/>
      <c r="AY77" s="155"/>
      <c r="AZ77" s="155"/>
      <c r="BA77" s="155"/>
      <c r="BB77" s="155"/>
      <c r="BC77" s="155"/>
      <c r="BD77" s="155"/>
      <c r="BE77" s="155"/>
      <c r="BF77" s="155"/>
      <c r="BG77" s="155"/>
      <c r="BH77" s="155"/>
      <c r="BI77" s="155"/>
      <c r="BJ77" s="155"/>
      <c r="BK77" s="155"/>
      <c r="BL77" s="155"/>
      <c r="BM77" s="155"/>
      <c r="BN77" s="155"/>
      <c r="BO77" s="155"/>
      <c r="BP77" s="155"/>
      <c r="BQ77" s="155"/>
      <c r="BR77" s="155"/>
    </row>
    <row r="78" spans="1:70" s="156" customFormat="1" ht="16.5" hidden="1" customHeight="1" x14ac:dyDescent="0.25">
      <c r="A78" s="266"/>
      <c r="B78" s="269"/>
      <c r="C78" s="269"/>
      <c r="D78" s="271"/>
      <c r="E78" s="271"/>
      <c r="F78" s="271"/>
      <c r="G78" s="363"/>
      <c r="H78" s="271"/>
      <c r="I78" s="266"/>
      <c r="J78" s="276"/>
      <c r="K78" s="278"/>
      <c r="L78" s="274"/>
      <c r="M78" s="278">
        <f ca="1">IF(NOT(ISERROR(MATCH(L78,_xlfn.ANCHORARRAY(G89),0))),K91&amp;"Por favor no seleccionar los criterios de impacto",L78)</f>
        <v>0</v>
      </c>
      <c r="N78" s="276"/>
      <c r="O78" s="278"/>
      <c r="P78" s="280"/>
      <c r="Q78" s="201">
        <v>6</v>
      </c>
      <c r="R78" s="112"/>
      <c r="S78" s="201" t="str">
        <f t="shared" si="30"/>
        <v/>
      </c>
      <c r="T78" s="113"/>
      <c r="U78" s="113"/>
      <c r="V78" s="167" t="str">
        <f t="shared" si="23"/>
        <v/>
      </c>
      <c r="W78" s="113"/>
      <c r="X78" s="113"/>
      <c r="Y78" s="113"/>
      <c r="Z78" s="165" t="str">
        <f>IFERROR(IF(S78="Probabilidad",(K73-(+K73*V78)),IF(S78="Impacto",K73,"")),"")</f>
        <v/>
      </c>
      <c r="AA78" s="166" t="str">
        <f t="shared" si="31"/>
        <v/>
      </c>
      <c r="AB78" s="167" t="str">
        <f t="shared" si="32"/>
        <v/>
      </c>
      <c r="AC78" s="166" t="str">
        <f t="shared" si="33"/>
        <v/>
      </c>
      <c r="AD78" s="167" t="str">
        <f t="shared" si="35"/>
        <v/>
      </c>
      <c r="AE78" s="168" t="str">
        <f t="shared" si="34"/>
        <v/>
      </c>
      <c r="AF78" s="113"/>
      <c r="AG78" s="194"/>
      <c r="AH78" s="193"/>
      <c r="AI78" s="114"/>
      <c r="AJ78" s="114"/>
      <c r="AK78" s="194"/>
      <c r="AL78" s="193"/>
      <c r="AM78" s="155"/>
      <c r="AN78" s="155"/>
      <c r="AO78" s="155"/>
      <c r="AP78" s="155"/>
      <c r="AQ78" s="155"/>
      <c r="AR78" s="155"/>
      <c r="AS78" s="155"/>
      <c r="AT78" s="155"/>
      <c r="AU78" s="155"/>
      <c r="AV78" s="155"/>
      <c r="AW78" s="155"/>
      <c r="AX78" s="155"/>
      <c r="AY78" s="155"/>
      <c r="AZ78" s="155"/>
      <c r="BA78" s="155"/>
      <c r="BB78" s="155"/>
      <c r="BC78" s="155"/>
      <c r="BD78" s="155"/>
      <c r="BE78" s="155"/>
      <c r="BF78" s="155"/>
      <c r="BG78" s="155"/>
      <c r="BH78" s="155"/>
      <c r="BI78" s="155"/>
      <c r="BJ78" s="155"/>
      <c r="BK78" s="155"/>
      <c r="BL78" s="155"/>
      <c r="BM78" s="155"/>
      <c r="BN78" s="155"/>
      <c r="BO78" s="155"/>
      <c r="BP78" s="155"/>
      <c r="BQ78" s="155"/>
      <c r="BR78" s="155"/>
    </row>
    <row r="79" spans="1:70" s="156" customFormat="1" ht="114.75" customHeight="1" x14ac:dyDescent="0.25">
      <c r="A79" s="266">
        <v>12</v>
      </c>
      <c r="B79" s="267" t="s">
        <v>210</v>
      </c>
      <c r="C79" s="267" t="s">
        <v>492</v>
      </c>
      <c r="D79" s="270" t="s">
        <v>132</v>
      </c>
      <c r="E79" s="270" t="s">
        <v>493</v>
      </c>
      <c r="F79" s="270" t="s">
        <v>494</v>
      </c>
      <c r="G79" s="362" t="s">
        <v>495</v>
      </c>
      <c r="H79" s="270" t="s">
        <v>437</v>
      </c>
      <c r="I79" s="281">
        <v>12</v>
      </c>
      <c r="J79" s="275" t="str">
        <f>IF(I79&lt;=0,"",IF(I79&lt;=2,"Muy Baja",IF(I79&lt;=24,"Baja",IF(I79&lt;=500,"Media",IF(I79&lt;=5000,"Alta","Muy Alta")))))</f>
        <v>Baja</v>
      </c>
      <c r="K79" s="277">
        <f>IF(J79="","",IF(J79="Muy Baja",0.2,IF(J79="Baja",0.4,IF(J79="Media",0.6,IF(J79="Alta",0.8,IF(J79="Muy Alta",1,))))))</f>
        <v>0.4</v>
      </c>
      <c r="L79" s="273" t="s">
        <v>93</v>
      </c>
      <c r="M79" s="277" t="str">
        <f>IF(NOT(ISERROR(MATCH(L79,'[3]Tabla Impacto'!$B$221:$B$223,0))),'[3]Tabla Impacto'!$F$223&amp;"Por favor no seleccionar los criterios de impacto(Afectación Económica o presupuestal y Pérdida Reputacional)",L79)</f>
        <v xml:space="preserve">Entre 100 y 500 SMLMV </v>
      </c>
      <c r="N79" s="275" t="str">
        <f>+IF(OR(M79='[3]Tabla Impacto'!$C$11,M79='[3]Tabla Impacto'!$D$11),"Leve",IF(OR(M79='[3]Tabla Impacto'!$C$12,M79='[3]Tabla Impacto'!$D$12),"Menor",IF(OR(M79='[3]Tabla Impacto'!$C$13,M79='[3]Tabla Impacto'!$D$13),"Moderado",IF(OR(M79='[3]Tabla Impacto'!$C$14,M79='[3]Tabla Impacto'!$D$14),"Mayor",IF(OR(M79='[3]Tabla Impacto'!$C$15,M79='[3]Tabla Impacto'!$D$15),"Catastrófico","")))))</f>
        <v>Mayor</v>
      </c>
      <c r="O79" s="277">
        <f>IF(N79="","",IF(N79="Leve",0.2,IF(N79="Menor",0.4,IF(N79="Moderado",0.6,IF(N79="Mayor",0.8,IF(N79="Catastrófico",1,))))))</f>
        <v>0.8</v>
      </c>
      <c r="P79" s="279" t="str">
        <f>IF(OR(AND(J79="Muy Baja",N79="Leve"),AND(J79="Muy Baja",N79="Menor"),AND(J79="Baja",N79="Leve")),"Bajo",IF(OR(AND(J79="Muy baja",N79="Moderado"),AND(J79="Baja",N79="Menor"),AND(J79="Baja",N79="Moderado"),AND(J79="Media",N79="Leve"),AND(J79="Media",N79="Menor"),AND(J79="Media",N79="Moderado"),AND(J79="Alta",N79="Leve"),AND(J79="Alta",N79="Menor")),"Moderado",IF(OR(AND(J79="Muy Baja",N79="Mayor"),AND(J79="Baja",N79="Mayor"),AND(J79="Media",N79="Mayor"),AND(J79="Alta",N79="Moderado"),AND(J79="Alta",N79="Mayor"),AND(J79="Muy Alta",N79="Leve"),AND(J79="Muy Alta",N79="Menor"),AND(J79="Muy Alta",N79="Moderado"),AND(J79="Muy Alta",N79="Mayor")),"Alto",IF(OR(AND(J79="Muy Baja",N79="Catastrófico"),AND(J79="Baja",N79="Catastrófico"),AND(J79="Media",N79="Catastrófico"),AND(J79="Alta",N79="Catastrófico"),AND(J79="Muy Alta",N79="Catastrófico")),"Extremo",""))))</f>
        <v>Alto</v>
      </c>
      <c r="Q79" s="201">
        <v>1</v>
      </c>
      <c r="R79" s="112" t="s">
        <v>526</v>
      </c>
      <c r="S79" s="201" t="str">
        <f t="shared" si="30"/>
        <v>Probabilidad</v>
      </c>
      <c r="T79" s="113" t="s">
        <v>14</v>
      </c>
      <c r="U79" s="113" t="s">
        <v>9</v>
      </c>
      <c r="V79" s="167" t="str">
        <f t="shared" si="23"/>
        <v>40%</v>
      </c>
      <c r="W79" s="113" t="s">
        <v>19</v>
      </c>
      <c r="X79" s="113" t="s">
        <v>23</v>
      </c>
      <c r="Y79" s="113" t="s">
        <v>117</v>
      </c>
      <c r="Z79" s="165">
        <f t="shared" si="36"/>
        <v>0.24</v>
      </c>
      <c r="AA79" s="166" t="str">
        <f t="shared" si="31"/>
        <v>Baja</v>
      </c>
      <c r="AB79" s="167">
        <f t="shared" si="32"/>
        <v>0.24</v>
      </c>
      <c r="AC79" s="166" t="str">
        <f t="shared" si="33"/>
        <v>Mayor</v>
      </c>
      <c r="AD79" s="167">
        <f t="shared" si="35"/>
        <v>0.8</v>
      </c>
      <c r="AE79" s="168" t="str">
        <f t="shared" si="34"/>
        <v>Alto</v>
      </c>
      <c r="AF79" s="113" t="s">
        <v>31</v>
      </c>
      <c r="AG79" s="194" t="s">
        <v>527</v>
      </c>
      <c r="AH79" s="193" t="s">
        <v>528</v>
      </c>
      <c r="AI79" s="114" t="s">
        <v>519</v>
      </c>
      <c r="AJ79" s="114" t="s">
        <v>529</v>
      </c>
      <c r="AK79" s="194"/>
      <c r="AL79" s="193" t="s">
        <v>41</v>
      </c>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155"/>
      <c r="BR79" s="155"/>
    </row>
    <row r="80" spans="1:70" s="156" customFormat="1" ht="114.75" customHeight="1" x14ac:dyDescent="0.25">
      <c r="A80" s="266"/>
      <c r="B80" s="294"/>
      <c r="C80" s="294"/>
      <c r="D80" s="270"/>
      <c r="E80" s="270"/>
      <c r="F80" s="270"/>
      <c r="G80" s="362"/>
      <c r="H80" s="270"/>
      <c r="I80" s="281"/>
      <c r="J80" s="275"/>
      <c r="K80" s="277"/>
      <c r="L80" s="273"/>
      <c r="M80" s="277">
        <f ca="1">IF(NOT(ISERROR(MATCH(L80,_xlfn.ANCHORARRAY(G91),0))),K93&amp;"Por favor no seleccionar los criterios de impacto",L80)</f>
        <v>0</v>
      </c>
      <c r="N80" s="275"/>
      <c r="O80" s="277"/>
      <c r="P80" s="279"/>
      <c r="Q80" s="201">
        <v>2</v>
      </c>
      <c r="R80" s="112" t="s">
        <v>530</v>
      </c>
      <c r="S80" s="201" t="str">
        <f t="shared" si="30"/>
        <v>Probabilidad</v>
      </c>
      <c r="T80" s="113" t="s">
        <v>14</v>
      </c>
      <c r="U80" s="113" t="s">
        <v>9</v>
      </c>
      <c r="V80" s="167" t="str">
        <f t="shared" si="23"/>
        <v>40%</v>
      </c>
      <c r="W80" s="113" t="s">
        <v>19</v>
      </c>
      <c r="X80" s="113" t="s">
        <v>23</v>
      </c>
      <c r="Y80" s="113" t="s">
        <v>117</v>
      </c>
      <c r="Z80" s="165">
        <f>IFERROR(IF(S80="Probabilidad",(K79-(+K79*V80)),IF(S80="Impacto",K79,"")),"")</f>
        <v>0.24</v>
      </c>
      <c r="AA80" s="166" t="str">
        <f t="shared" si="31"/>
        <v>Baja</v>
      </c>
      <c r="AB80" s="167">
        <f t="shared" si="32"/>
        <v>0.24</v>
      </c>
      <c r="AC80" s="166" t="str">
        <f t="shared" si="33"/>
        <v>Leve</v>
      </c>
      <c r="AD80" s="167">
        <f t="shared" si="35"/>
        <v>0</v>
      </c>
      <c r="AE80" s="168" t="str">
        <f t="shared" si="34"/>
        <v>Bajo</v>
      </c>
      <c r="AF80" s="113" t="s">
        <v>31</v>
      </c>
      <c r="AG80" s="194"/>
      <c r="AH80" s="193"/>
      <c r="AI80" s="114"/>
      <c r="AJ80" s="114"/>
      <c r="AK80" s="194"/>
      <c r="AL80" s="193"/>
      <c r="AM80" s="155"/>
      <c r="AN80" s="155"/>
      <c r="AO80" s="155"/>
      <c r="AP80" s="155"/>
      <c r="AQ80" s="155"/>
      <c r="AR80" s="155"/>
      <c r="AS80" s="155"/>
      <c r="AT80" s="155"/>
      <c r="AU80" s="155"/>
      <c r="AV80" s="155"/>
      <c r="AW80" s="155"/>
      <c r="AX80" s="155"/>
      <c r="AY80" s="155"/>
      <c r="AZ80" s="155"/>
      <c r="BA80" s="155"/>
      <c r="BB80" s="155"/>
      <c r="BC80" s="155"/>
      <c r="BD80" s="155"/>
      <c r="BE80" s="155"/>
      <c r="BF80" s="155"/>
      <c r="BG80" s="155"/>
      <c r="BH80" s="155"/>
      <c r="BI80" s="155"/>
      <c r="BJ80" s="155"/>
      <c r="BK80" s="155"/>
      <c r="BL80" s="155"/>
      <c r="BM80" s="155"/>
      <c r="BN80" s="155"/>
      <c r="BO80" s="155"/>
      <c r="BP80" s="155"/>
      <c r="BQ80" s="155"/>
      <c r="BR80" s="155"/>
    </row>
    <row r="81" spans="1:70" s="156" customFormat="1" ht="16.5" hidden="1" customHeight="1" x14ac:dyDescent="0.25">
      <c r="A81" s="266"/>
      <c r="B81" s="268"/>
      <c r="C81" s="268"/>
      <c r="D81" s="271"/>
      <c r="E81" s="271"/>
      <c r="F81" s="271"/>
      <c r="G81" s="363"/>
      <c r="H81" s="271"/>
      <c r="I81" s="266"/>
      <c r="J81" s="276"/>
      <c r="K81" s="278"/>
      <c r="L81" s="274"/>
      <c r="M81" s="278">
        <f ca="1">IF(NOT(ISERROR(MATCH(L81,_xlfn.ANCHORARRAY(G92),0))),K94&amp;"Por favor no seleccionar los criterios de impacto",L81)</f>
        <v>0</v>
      </c>
      <c r="N81" s="276"/>
      <c r="O81" s="278"/>
      <c r="P81" s="280"/>
      <c r="Q81" s="201">
        <v>3</v>
      </c>
      <c r="R81" s="112"/>
      <c r="S81" s="201" t="str">
        <f t="shared" si="30"/>
        <v/>
      </c>
      <c r="T81" s="113"/>
      <c r="U81" s="113"/>
      <c r="V81" s="167" t="str">
        <f t="shared" si="23"/>
        <v/>
      </c>
      <c r="W81" s="113"/>
      <c r="X81" s="113"/>
      <c r="Y81" s="113"/>
      <c r="Z81" s="165" t="str">
        <f>IFERROR(IF(S81="Probabilidad",(K79-(+K79*V81)),IF(S81="Impacto",K79,"")),"")</f>
        <v/>
      </c>
      <c r="AA81" s="166" t="str">
        <f t="shared" si="31"/>
        <v/>
      </c>
      <c r="AB81" s="167" t="str">
        <f t="shared" si="32"/>
        <v/>
      </c>
      <c r="AC81" s="166" t="str">
        <f t="shared" si="33"/>
        <v/>
      </c>
      <c r="AD81" s="167" t="str">
        <f t="shared" si="35"/>
        <v/>
      </c>
      <c r="AE81" s="168" t="str">
        <f t="shared" si="34"/>
        <v/>
      </c>
      <c r="AF81" s="113"/>
      <c r="AG81" s="194"/>
      <c r="AH81" s="193"/>
      <c r="AI81" s="114"/>
      <c r="AJ81" s="114"/>
      <c r="AK81" s="194"/>
      <c r="AL81" s="193"/>
      <c r="AM81" s="155"/>
      <c r="AN81" s="155"/>
      <c r="AO81" s="155"/>
      <c r="AP81" s="155"/>
      <c r="AQ81" s="155"/>
      <c r="AR81" s="155"/>
      <c r="AS81" s="155"/>
      <c r="AT81" s="155"/>
      <c r="AU81" s="155"/>
      <c r="AV81" s="155"/>
      <c r="AW81" s="155"/>
      <c r="AX81" s="155"/>
      <c r="AY81" s="155"/>
      <c r="AZ81" s="155"/>
      <c r="BA81" s="155"/>
      <c r="BB81" s="155"/>
      <c r="BC81" s="155"/>
      <c r="BD81" s="155"/>
      <c r="BE81" s="155"/>
      <c r="BF81" s="155"/>
      <c r="BG81" s="155"/>
      <c r="BH81" s="155"/>
      <c r="BI81" s="155"/>
      <c r="BJ81" s="155"/>
      <c r="BK81" s="155"/>
      <c r="BL81" s="155"/>
      <c r="BM81" s="155"/>
      <c r="BN81" s="155"/>
      <c r="BO81" s="155"/>
      <c r="BP81" s="155"/>
      <c r="BQ81" s="155"/>
      <c r="BR81" s="155"/>
    </row>
    <row r="82" spans="1:70" s="156" customFormat="1" ht="16.5" hidden="1" customHeight="1" x14ac:dyDescent="0.25">
      <c r="A82" s="266"/>
      <c r="B82" s="268"/>
      <c r="C82" s="268"/>
      <c r="D82" s="271"/>
      <c r="E82" s="271"/>
      <c r="F82" s="271"/>
      <c r="G82" s="363"/>
      <c r="H82" s="271"/>
      <c r="I82" s="266"/>
      <c r="J82" s="276"/>
      <c r="K82" s="278"/>
      <c r="L82" s="274"/>
      <c r="M82" s="278">
        <f ca="1">IF(NOT(ISERROR(MATCH(L82,_xlfn.ANCHORARRAY(G93),0))),K95&amp;"Por favor no seleccionar los criterios de impacto",L82)</f>
        <v>0</v>
      </c>
      <c r="N82" s="276"/>
      <c r="O82" s="278"/>
      <c r="P82" s="280"/>
      <c r="Q82" s="201">
        <v>4</v>
      </c>
      <c r="R82" s="112"/>
      <c r="S82" s="201" t="str">
        <f t="shared" si="30"/>
        <v/>
      </c>
      <c r="T82" s="113"/>
      <c r="U82" s="113"/>
      <c r="V82" s="167" t="str">
        <f t="shared" si="23"/>
        <v/>
      </c>
      <c r="W82" s="113"/>
      <c r="X82" s="113"/>
      <c r="Y82" s="113"/>
      <c r="Z82" s="165" t="str">
        <f>IFERROR(IF(S82="Probabilidad",(K79-(+K79*V82)),IF(S82="Impacto",K79,"")),"")</f>
        <v/>
      </c>
      <c r="AA82" s="166" t="str">
        <f t="shared" si="31"/>
        <v/>
      </c>
      <c r="AB82" s="167" t="str">
        <f t="shared" si="32"/>
        <v/>
      </c>
      <c r="AC82" s="166" t="str">
        <f t="shared" si="33"/>
        <v/>
      </c>
      <c r="AD82" s="167" t="str">
        <f t="shared" si="35"/>
        <v/>
      </c>
      <c r="AE82" s="168" t="str">
        <f t="shared" si="34"/>
        <v/>
      </c>
      <c r="AF82" s="113"/>
      <c r="AG82" s="194"/>
      <c r="AH82" s="193"/>
      <c r="AI82" s="114"/>
      <c r="AJ82" s="114"/>
      <c r="AK82" s="194"/>
      <c r="AL82" s="193"/>
      <c r="AM82" s="155"/>
      <c r="AN82" s="155"/>
      <c r="AO82" s="155"/>
      <c r="AP82" s="155"/>
      <c r="AQ82" s="155"/>
      <c r="AR82" s="155"/>
      <c r="AS82" s="155"/>
      <c r="AT82" s="155"/>
      <c r="AU82" s="155"/>
      <c r="AV82" s="155"/>
      <c r="AW82" s="155"/>
      <c r="AX82" s="155"/>
      <c r="AY82" s="155"/>
      <c r="AZ82" s="155"/>
      <c r="BA82" s="155"/>
      <c r="BB82" s="155"/>
      <c r="BC82" s="155"/>
      <c r="BD82" s="155"/>
      <c r="BE82" s="155"/>
      <c r="BF82" s="155"/>
      <c r="BG82" s="155"/>
      <c r="BH82" s="155"/>
      <c r="BI82" s="155"/>
      <c r="BJ82" s="155"/>
      <c r="BK82" s="155"/>
      <c r="BL82" s="155"/>
      <c r="BM82" s="155"/>
      <c r="BN82" s="155"/>
      <c r="BO82" s="155"/>
      <c r="BP82" s="155"/>
      <c r="BQ82" s="155"/>
      <c r="BR82" s="155"/>
    </row>
    <row r="83" spans="1:70" s="156" customFormat="1" ht="16.5" hidden="1" customHeight="1" x14ac:dyDescent="0.25">
      <c r="A83" s="266"/>
      <c r="B83" s="268"/>
      <c r="C83" s="268"/>
      <c r="D83" s="271"/>
      <c r="E83" s="271"/>
      <c r="F83" s="271"/>
      <c r="G83" s="363"/>
      <c r="H83" s="271"/>
      <c r="I83" s="266"/>
      <c r="J83" s="276"/>
      <c r="K83" s="278"/>
      <c r="L83" s="274"/>
      <c r="M83" s="278">
        <f ca="1">IF(NOT(ISERROR(MATCH(L83,_xlfn.ANCHORARRAY(G94),0))),K96&amp;"Por favor no seleccionar los criterios de impacto",L83)</f>
        <v>0</v>
      </c>
      <c r="N83" s="276"/>
      <c r="O83" s="278"/>
      <c r="P83" s="280"/>
      <c r="Q83" s="201">
        <v>5</v>
      </c>
      <c r="R83" s="112"/>
      <c r="S83" s="201" t="str">
        <f t="shared" si="30"/>
        <v/>
      </c>
      <c r="T83" s="113"/>
      <c r="U83" s="113"/>
      <c r="V83" s="167" t="str">
        <f t="shared" si="23"/>
        <v/>
      </c>
      <c r="W83" s="113"/>
      <c r="X83" s="113"/>
      <c r="Y83" s="113"/>
      <c r="Z83" s="165" t="str">
        <f>IFERROR(IF(S83="Probabilidad",(K79-(+K79*V83)),IF(S83="Impacto",K79,"")),"")</f>
        <v/>
      </c>
      <c r="AA83" s="166" t="str">
        <f t="shared" si="31"/>
        <v/>
      </c>
      <c r="AB83" s="167" t="str">
        <f t="shared" si="32"/>
        <v/>
      </c>
      <c r="AC83" s="166" t="str">
        <f t="shared" si="33"/>
        <v/>
      </c>
      <c r="AD83" s="167" t="str">
        <f t="shared" si="35"/>
        <v/>
      </c>
      <c r="AE83" s="168" t="str">
        <f t="shared" si="34"/>
        <v/>
      </c>
      <c r="AF83" s="113"/>
      <c r="AG83" s="194"/>
      <c r="AH83" s="193"/>
      <c r="AI83" s="114"/>
      <c r="AJ83" s="114"/>
      <c r="AK83" s="194"/>
      <c r="AL83" s="193"/>
      <c r="AM83" s="155"/>
      <c r="AN83" s="155"/>
      <c r="AO83" s="155"/>
      <c r="AP83" s="155"/>
      <c r="AQ83" s="155"/>
      <c r="AR83" s="155"/>
      <c r="AS83" s="155"/>
      <c r="AT83" s="155"/>
      <c r="AU83" s="155"/>
      <c r="AV83" s="155"/>
      <c r="AW83" s="155"/>
      <c r="AX83" s="155"/>
      <c r="AY83" s="155"/>
      <c r="AZ83" s="155"/>
      <c r="BA83" s="155"/>
      <c r="BB83" s="155"/>
      <c r="BC83" s="155"/>
      <c r="BD83" s="155"/>
      <c r="BE83" s="155"/>
      <c r="BF83" s="155"/>
      <c r="BG83" s="155"/>
      <c r="BH83" s="155"/>
      <c r="BI83" s="155"/>
      <c r="BJ83" s="155"/>
      <c r="BK83" s="155"/>
      <c r="BL83" s="155"/>
      <c r="BM83" s="155"/>
      <c r="BN83" s="155"/>
      <c r="BO83" s="155"/>
      <c r="BP83" s="155"/>
      <c r="BQ83" s="155"/>
      <c r="BR83" s="155"/>
    </row>
    <row r="84" spans="1:70" s="156" customFormat="1" ht="16.5" hidden="1" customHeight="1" x14ac:dyDescent="0.25">
      <c r="A84" s="266"/>
      <c r="B84" s="269"/>
      <c r="C84" s="269"/>
      <c r="D84" s="271"/>
      <c r="E84" s="271"/>
      <c r="F84" s="271"/>
      <c r="G84" s="363"/>
      <c r="H84" s="271"/>
      <c r="I84" s="266"/>
      <c r="J84" s="276"/>
      <c r="K84" s="278"/>
      <c r="L84" s="274"/>
      <c r="M84" s="278">
        <f ca="1">IF(NOT(ISERROR(MATCH(L84,_xlfn.ANCHORARRAY(G95),0))),K97&amp;"Por favor no seleccionar los criterios de impacto",L84)</f>
        <v>0</v>
      </c>
      <c r="N84" s="276"/>
      <c r="O84" s="278"/>
      <c r="P84" s="280"/>
      <c r="Q84" s="201">
        <v>6</v>
      </c>
      <c r="R84" s="112"/>
      <c r="S84" s="201" t="str">
        <f t="shared" si="30"/>
        <v/>
      </c>
      <c r="T84" s="113"/>
      <c r="U84" s="113"/>
      <c r="V84" s="167" t="str">
        <f t="shared" si="23"/>
        <v/>
      </c>
      <c r="W84" s="113"/>
      <c r="X84" s="113"/>
      <c r="Y84" s="113"/>
      <c r="Z84" s="165" t="str">
        <f>IFERROR(IF(S84="Probabilidad",(K79-(+K79*V84)),IF(S84="Impacto",K79,"")),"")</f>
        <v/>
      </c>
      <c r="AA84" s="166" t="str">
        <f t="shared" si="31"/>
        <v/>
      </c>
      <c r="AB84" s="167" t="str">
        <f t="shared" si="32"/>
        <v/>
      </c>
      <c r="AC84" s="166" t="str">
        <f t="shared" si="33"/>
        <v/>
      </c>
      <c r="AD84" s="167" t="str">
        <f t="shared" si="35"/>
        <v/>
      </c>
      <c r="AE84" s="168" t="str">
        <f t="shared" si="34"/>
        <v/>
      </c>
      <c r="AF84" s="113"/>
      <c r="AG84" s="194"/>
      <c r="AH84" s="193"/>
      <c r="AI84" s="114"/>
      <c r="AJ84" s="114"/>
      <c r="AK84" s="194"/>
      <c r="AL84" s="193"/>
      <c r="AM84" s="155"/>
      <c r="AN84" s="155"/>
      <c r="AO84" s="155"/>
      <c r="AP84" s="155"/>
      <c r="AQ84" s="155"/>
      <c r="AR84" s="155"/>
      <c r="AS84" s="155"/>
      <c r="AT84" s="155"/>
      <c r="AU84" s="155"/>
      <c r="AV84" s="155"/>
      <c r="AW84" s="155"/>
      <c r="AX84" s="155"/>
      <c r="AY84" s="155"/>
      <c r="AZ84" s="155"/>
      <c r="BA84" s="155"/>
      <c r="BB84" s="155"/>
      <c r="BC84" s="155"/>
      <c r="BD84" s="155"/>
      <c r="BE84" s="155"/>
      <c r="BF84" s="155"/>
      <c r="BG84" s="155"/>
      <c r="BH84" s="155"/>
      <c r="BI84" s="155"/>
      <c r="BJ84" s="155"/>
      <c r="BK84" s="155"/>
      <c r="BL84" s="155"/>
      <c r="BM84" s="155"/>
      <c r="BN84" s="155"/>
      <c r="BO84" s="155"/>
      <c r="BP84" s="155"/>
      <c r="BQ84" s="155"/>
      <c r="BR84" s="155"/>
    </row>
    <row r="85" spans="1:70" s="156" customFormat="1" ht="118.5" customHeight="1" x14ac:dyDescent="0.25">
      <c r="A85" s="266">
        <v>13</v>
      </c>
      <c r="B85" s="267" t="s">
        <v>211</v>
      </c>
      <c r="C85" s="267" t="s">
        <v>531</v>
      </c>
      <c r="D85" s="270" t="s">
        <v>130</v>
      </c>
      <c r="E85" s="270" t="s">
        <v>532</v>
      </c>
      <c r="F85" s="270" t="s">
        <v>533</v>
      </c>
      <c r="G85" s="362" t="s">
        <v>534</v>
      </c>
      <c r="H85" s="270" t="s">
        <v>437</v>
      </c>
      <c r="I85" s="281">
        <v>340</v>
      </c>
      <c r="J85" s="275" t="str">
        <f>IF(I85&lt;=0,"",IF(I85&lt;=2,"Muy Baja",IF(I85&lt;=24,"Baja",IF(I85&lt;=500,"Media",IF(I85&lt;=5000,"Alta","Muy Alta")))))</f>
        <v>Media</v>
      </c>
      <c r="K85" s="277">
        <f>IF(J85="","",IF(J85="Muy Baja",0.2,IF(J85="Baja",0.4,IF(J85="Media",0.6,IF(J85="Alta",0.8,IF(J85="Muy Alta",1,))))))</f>
        <v>0.6</v>
      </c>
      <c r="L85" s="273" t="s">
        <v>98</v>
      </c>
      <c r="M85" s="277" t="str">
        <f>IF(NOT(ISERROR(MATCH(L85,'[4]Tabla Impacto'!$B$221:$B$223,0))),'[4]Tabla Impacto'!$F$223&amp;"Por favor no seleccionar los criterios de impacto(Afectación Económica o presupuestal y Pérdida Reputacional)",L85)</f>
        <v>El riesgo afecta la imagen de la entidad con algunos usuarios de relevancia frente al logro de los objetivos</v>
      </c>
      <c r="N85" s="275" t="str">
        <f>+IF(OR(M85='[4]Tabla Impacto'!$C$11,M85='[4]Tabla Impacto'!$D$11),"Leve",IF(OR(M85='[4]Tabla Impacto'!$C$12,M85='[4]Tabla Impacto'!$D$12),"Menor",IF(OR(M85='[4]Tabla Impacto'!$C$13,M85='[4]Tabla Impacto'!$D$13),"Moderado",IF(OR(M85='[4]Tabla Impacto'!$C$14,M85='[4]Tabla Impacto'!$D$14),"Mayor",IF(OR(M85='[4]Tabla Impacto'!$C$15,M85='[4]Tabla Impacto'!$D$15),"Catastrófico","")))))</f>
        <v>Moderado</v>
      </c>
      <c r="O85" s="277">
        <f>IF(N85="","",IF(N85="Leve",0.2,IF(N85="Menor",0.4,IF(N85="Moderado",0.6,IF(N85="Mayor",0.8,IF(N85="Catastrófico",1,))))))</f>
        <v>0.6</v>
      </c>
      <c r="P85" s="279" t="str">
        <f>IF(OR(AND(J85="Muy Baja",N85="Leve"),AND(J85="Muy Baja",N85="Menor"),AND(J85="Baja",N85="Leve")),"Bajo",IF(OR(AND(J85="Muy baja",N85="Moderado"),AND(J85="Baja",N85="Menor"),AND(J85="Baja",N85="Moderado"),AND(J85="Media",N85="Leve"),AND(J85="Media",N85="Menor"),AND(J85="Media",N85="Moderado"),AND(J85="Alta",N85="Leve"),AND(J85="Alta",N85="Menor")),"Moderado",IF(OR(AND(J85="Muy Baja",N85="Mayor"),AND(J85="Baja",N85="Mayor"),AND(J85="Media",N85="Mayor"),AND(J85="Alta",N85="Moderado"),AND(J85="Alta",N85="Mayor"),AND(J85="Muy Alta",N85="Leve"),AND(J85="Muy Alta",N85="Menor"),AND(J85="Muy Alta",N85="Moderado"),AND(J85="Muy Alta",N85="Mayor")),"Alto",IF(OR(AND(J85="Muy Baja",N85="Catastrófico"),AND(J85="Baja",N85="Catastrófico"),AND(J85="Media",N85="Catastrófico"),AND(J85="Alta",N85="Catastrófico"),AND(J85="Muy Alta",N85="Catastrófico")),"Extremo",""))))</f>
        <v>Moderado</v>
      </c>
      <c r="Q85" s="201">
        <v>1</v>
      </c>
      <c r="R85" s="112" t="s">
        <v>545</v>
      </c>
      <c r="S85" s="201" t="str">
        <f>IF(OR(T85="Preventivo",T85="Detectivo"),"Probabilidad",IF(T85="Correctivo","Impacto",""))</f>
        <v>Probabilidad</v>
      </c>
      <c r="T85" s="113" t="s">
        <v>14</v>
      </c>
      <c r="U85" s="113" t="s">
        <v>9</v>
      </c>
      <c r="V85" s="167" t="str">
        <f>IF(AND(T85="Preventivo",U85="Automático"),"50%",IF(AND(T85="Preventivo",U85="Manual"),"40%",IF(AND(T85="Detectivo",U85="Automático"),"40%",IF(AND(T85="Detectivo",U85="Manual"),"30%",IF(AND(T85="Correctivo",U85="Automático"),"35%",IF(AND(T85="Correctivo",U85="Manual"),"25%",""))))))</f>
        <v>40%</v>
      </c>
      <c r="W85" s="113" t="s">
        <v>19</v>
      </c>
      <c r="X85" s="113" t="s">
        <v>23</v>
      </c>
      <c r="Y85" s="113" t="s">
        <v>117</v>
      </c>
      <c r="Z85" s="165">
        <f>IFERROR(IF(S85="Probabilidad",(K85-(+K85*V85)),IF(S85="Impacto",K85,"")),"")</f>
        <v>0.36</v>
      </c>
      <c r="AA85" s="166" t="str">
        <f>IFERROR(IF(Z85="","",IF(Z85&lt;=0.2,"Muy Baja",IF(Z85&lt;=0.4,"Baja",IF(Z85&lt;=0.6,"Media",IF(Z85&lt;=0.8,"Alta","Muy Alta"))))),"")</f>
        <v>Baja</v>
      </c>
      <c r="AB85" s="167">
        <f>+Z85</f>
        <v>0.36</v>
      </c>
      <c r="AC85" s="166" t="str">
        <f>IFERROR(IF(AD85="","",IF(AD85&lt;=0.2,"Leve",IF(AD85&lt;=0.4,"Menor",IF(AD85&lt;=0.6,"Moderado",IF(AD85&lt;=0.8,"Mayor","Catastrófico"))))),"")</f>
        <v>Moderado</v>
      </c>
      <c r="AD85" s="167">
        <f>IFERROR(IF(S85="Impacto",(O85-(+O85*V85)),IF(S85="Probabilidad",O85,"")),"")</f>
        <v>0.6</v>
      </c>
      <c r="AE85" s="168" t="str">
        <f>IFERROR(IF(OR(AND(AA85="Muy Baja",AC85="Leve"),AND(AA85="Muy Baja",AC85="Menor"),AND(AA85="Baja",AC85="Leve")),"Bajo",IF(OR(AND(AA85="Muy baja",AC85="Moderado"),AND(AA85="Baja",AC85="Menor"),AND(AA85="Baja",AC85="Moderado"),AND(AA85="Media",AC85="Leve"),AND(AA85="Media",AC85="Menor"),AND(AA85="Media",AC85="Moderado"),AND(AA85="Alta",AC85="Leve"),AND(AA85="Alta",AC85="Menor")),"Moderado",IF(OR(AND(AA85="Muy Baja",AC85="Mayor"),AND(AA85="Baja",AC85="Mayor"),AND(AA85="Media",AC85="Mayor"),AND(AA85="Alta",AC85="Moderado"),AND(AA85="Alta",AC85="Mayor"),AND(AA85="Muy Alta",AC85="Leve"),AND(AA85="Muy Alta",AC85="Menor"),AND(AA85="Muy Alta",AC85="Moderado"),AND(AA85="Muy Alta",AC85="Mayor")),"Alto",IF(OR(AND(AA85="Muy Baja",AC85="Catastrófico"),AND(AA85="Baja",AC85="Catastrófico"),AND(AA85="Media",AC85="Catastrófico"),AND(AA85="Alta",AC85="Catastrófico"),AND(AA85="Muy Alta",AC85="Catastrófico")),"Extremo","")))),"")</f>
        <v>Moderado</v>
      </c>
      <c r="AF85" s="113" t="s">
        <v>31</v>
      </c>
      <c r="AG85" s="191"/>
      <c r="AH85" s="192"/>
      <c r="AI85" s="114"/>
      <c r="AJ85" s="114"/>
      <c r="AK85" s="191"/>
      <c r="AL85" s="192"/>
      <c r="AM85" s="155"/>
      <c r="AN85" s="155"/>
      <c r="AO85" s="155"/>
      <c r="AP85" s="155"/>
      <c r="AQ85" s="155"/>
      <c r="AR85" s="155"/>
      <c r="AS85" s="155"/>
      <c r="AT85" s="155"/>
      <c r="AU85" s="155"/>
      <c r="AV85" s="155"/>
      <c r="AW85" s="155"/>
      <c r="AX85" s="155"/>
      <c r="AY85" s="155"/>
      <c r="AZ85" s="155"/>
      <c r="BA85" s="155"/>
      <c r="BB85" s="155"/>
      <c r="BC85" s="155"/>
      <c r="BD85" s="155"/>
      <c r="BE85" s="155"/>
      <c r="BF85" s="155"/>
      <c r="BG85" s="155"/>
      <c r="BH85" s="155"/>
      <c r="BI85" s="155"/>
      <c r="BJ85" s="155"/>
      <c r="BK85" s="155"/>
      <c r="BL85" s="155"/>
      <c r="BM85" s="155"/>
      <c r="BN85" s="155"/>
      <c r="BO85" s="155"/>
      <c r="BP85" s="155"/>
      <c r="BQ85" s="155"/>
      <c r="BR85" s="155"/>
    </row>
    <row r="86" spans="1:70" s="156" customFormat="1" ht="36.75" hidden="1" customHeight="1" x14ac:dyDescent="0.25">
      <c r="A86" s="266"/>
      <c r="B86" s="268"/>
      <c r="C86" s="268"/>
      <c r="D86" s="271"/>
      <c r="E86" s="271"/>
      <c r="F86" s="271"/>
      <c r="G86" s="363"/>
      <c r="H86" s="271"/>
      <c r="I86" s="266"/>
      <c r="J86" s="276"/>
      <c r="K86" s="278"/>
      <c r="L86" s="274"/>
      <c r="M86" s="278">
        <f ca="1">IF(NOT(ISERROR(MATCH(L86,_xlfn.ANCHORARRAY(G97),0))),K99&amp;"Por favor no seleccionar los criterios de impacto",L86)</f>
        <v>0</v>
      </c>
      <c r="N86" s="276"/>
      <c r="O86" s="278"/>
      <c r="P86" s="280"/>
      <c r="Q86" s="201">
        <v>2</v>
      </c>
      <c r="R86" s="112"/>
      <c r="S86" s="201"/>
      <c r="T86" s="113"/>
      <c r="U86" s="113"/>
      <c r="V86" s="167"/>
      <c r="W86" s="113"/>
      <c r="X86" s="113"/>
      <c r="Y86" s="113"/>
      <c r="Z86" s="165" t="str">
        <f>IFERROR(IF(S86="Probabilidad",(K85-(+K85*V86)),IF(S86="Impacto",K85,"")),"")</f>
        <v/>
      </c>
      <c r="AA86" s="166" t="str">
        <f t="shared" ref="AA86:AA127" si="37">IFERROR(IF(Z86="","",IF(Z86&lt;=0.2,"Muy Baja",IF(Z86&lt;=0.4,"Baja",IF(Z86&lt;=0.6,"Media",IF(Z86&lt;=0.8,"Alta","Muy Alta"))))),"")</f>
        <v/>
      </c>
      <c r="AB86" s="167" t="str">
        <f t="shared" ref="AB86:AB127" si="38">+Z86</f>
        <v/>
      </c>
      <c r="AC86" s="166" t="str">
        <f t="shared" ref="AC86:AC127" si="39">IFERROR(IF(AD86="","",IF(AD86&lt;=0.2,"Leve",IF(AD86&lt;=0.4,"Menor",IF(AD86&lt;=0.6,"Moderado",IF(AD86&lt;=0.8,"Mayor","Catastrófico"))))),"")</f>
        <v/>
      </c>
      <c r="AD86" s="167" t="str">
        <f t="shared" ref="AD86:AD109" si="40">IFERROR(IF(S86="Impacto",(O86-(+O86*V86)),IF(S86="Probabilidad",O86,"")),"")</f>
        <v/>
      </c>
      <c r="AE86" s="168" t="str">
        <f t="shared" ref="AE86:AE149" si="41">IFERROR(IF(OR(AND(AA86="Muy Baja",AC86="Leve"),AND(AA86="Muy Baja",AC86="Menor"),AND(AA86="Baja",AC86="Leve")),"Bajo",IF(OR(AND(AA86="Muy baja",AC86="Moderado"),AND(AA86="Baja",AC86="Menor"),AND(AA86="Baja",AC86="Moderado"),AND(AA86="Media",AC86="Leve"),AND(AA86="Media",AC86="Menor"),AND(AA86="Media",AC86="Moderado"),AND(AA86="Alta",AC86="Leve"),AND(AA86="Alta",AC86="Menor")),"Moderado",IF(OR(AND(AA86="Muy Baja",AC86="Mayor"),AND(AA86="Baja",AC86="Mayor"),AND(AA86="Media",AC86="Mayor"),AND(AA86="Alta",AC86="Moderado"),AND(AA86="Alta",AC86="Mayor"),AND(AA86="Muy Alta",AC86="Leve"),AND(AA86="Muy Alta",AC86="Menor"),AND(AA86="Muy Alta",AC86="Moderado"),AND(AA86="Muy Alta",AC86="Mayor")),"Alto",IF(OR(AND(AA86="Muy Baja",AC86="Catastrófico"),AND(AA86="Baja",AC86="Catastrófico"),AND(AA86="Media",AC86="Catastrófico"),AND(AA86="Alta",AC86="Catastrófico"),AND(AA86="Muy Alta",AC86="Catastrófico")),"Extremo","")))),"")</f>
        <v/>
      </c>
      <c r="AF86" s="113" t="s">
        <v>31</v>
      </c>
      <c r="AG86" s="191"/>
      <c r="AH86" s="192"/>
      <c r="AI86" s="114"/>
      <c r="AJ86" s="114"/>
      <c r="AK86" s="191"/>
      <c r="AL86" s="192"/>
      <c r="AM86" s="155"/>
      <c r="AN86" s="155"/>
      <c r="AO86" s="155"/>
      <c r="AP86" s="155"/>
      <c r="AQ86" s="155"/>
      <c r="AR86" s="155"/>
      <c r="AS86" s="155"/>
      <c r="AT86" s="155"/>
      <c r="AU86" s="155"/>
      <c r="AV86" s="155"/>
      <c r="AW86" s="155"/>
      <c r="AX86" s="155"/>
      <c r="AY86" s="155"/>
      <c r="AZ86" s="155"/>
      <c r="BA86" s="155"/>
      <c r="BB86" s="155"/>
      <c r="BC86" s="155"/>
      <c r="BD86" s="155"/>
      <c r="BE86" s="155"/>
      <c r="BF86" s="155"/>
      <c r="BG86" s="155"/>
      <c r="BH86" s="155"/>
      <c r="BI86" s="155"/>
      <c r="BJ86" s="155"/>
      <c r="BK86" s="155"/>
      <c r="BL86" s="155"/>
      <c r="BM86" s="155"/>
      <c r="BN86" s="155"/>
      <c r="BO86" s="155"/>
      <c r="BP86" s="155"/>
      <c r="BQ86" s="155"/>
      <c r="BR86" s="155"/>
    </row>
    <row r="87" spans="1:70" s="156" customFormat="1" ht="36.75" hidden="1" customHeight="1" x14ac:dyDescent="0.25">
      <c r="A87" s="266"/>
      <c r="B87" s="268"/>
      <c r="C87" s="268"/>
      <c r="D87" s="271"/>
      <c r="E87" s="271"/>
      <c r="F87" s="271"/>
      <c r="G87" s="363"/>
      <c r="H87" s="271"/>
      <c r="I87" s="266"/>
      <c r="J87" s="276"/>
      <c r="K87" s="278"/>
      <c r="L87" s="274"/>
      <c r="M87" s="278">
        <f ca="1">IF(NOT(ISERROR(MATCH(L87,_xlfn.ANCHORARRAY(G98),0))),K100&amp;"Por favor no seleccionar los criterios de impacto",L87)</f>
        <v>0</v>
      </c>
      <c r="N87" s="276"/>
      <c r="O87" s="278"/>
      <c r="P87" s="280"/>
      <c r="Q87" s="201">
        <v>3</v>
      </c>
      <c r="R87" s="112"/>
      <c r="S87" s="201"/>
      <c r="T87" s="113"/>
      <c r="U87" s="113"/>
      <c r="V87" s="167"/>
      <c r="W87" s="113"/>
      <c r="X87" s="113"/>
      <c r="Y87" s="113"/>
      <c r="Z87" s="165" t="str">
        <f>IFERROR(IF(S87="Probabilidad",(K85-(+K85*V87)),IF(S87="Impacto",K85,"")),"")</f>
        <v/>
      </c>
      <c r="AA87" s="166" t="str">
        <f t="shared" si="37"/>
        <v/>
      </c>
      <c r="AB87" s="167" t="str">
        <f t="shared" si="38"/>
        <v/>
      </c>
      <c r="AC87" s="166" t="str">
        <f t="shared" si="39"/>
        <v/>
      </c>
      <c r="AD87" s="167" t="str">
        <f t="shared" si="40"/>
        <v/>
      </c>
      <c r="AE87" s="168" t="str">
        <f t="shared" si="41"/>
        <v/>
      </c>
      <c r="AF87" s="113" t="s">
        <v>31</v>
      </c>
      <c r="AG87" s="191"/>
      <c r="AH87" s="192"/>
      <c r="AI87" s="114"/>
      <c r="AJ87" s="114"/>
      <c r="AK87" s="191"/>
      <c r="AL87" s="192"/>
      <c r="AM87" s="155"/>
      <c r="AN87" s="155"/>
      <c r="AO87" s="155"/>
      <c r="AP87" s="155"/>
      <c r="AQ87" s="155"/>
      <c r="AR87" s="155"/>
      <c r="AS87" s="155"/>
      <c r="AT87" s="155"/>
      <c r="AU87" s="155"/>
      <c r="AV87" s="155"/>
      <c r="AW87" s="155"/>
      <c r="AX87" s="155"/>
      <c r="AY87" s="155"/>
      <c r="AZ87" s="155"/>
      <c r="BA87" s="155"/>
      <c r="BB87" s="155"/>
      <c r="BC87" s="155"/>
      <c r="BD87" s="155"/>
      <c r="BE87" s="155"/>
      <c r="BF87" s="155"/>
      <c r="BG87" s="155"/>
      <c r="BH87" s="155"/>
      <c r="BI87" s="155"/>
      <c r="BJ87" s="155"/>
      <c r="BK87" s="155"/>
      <c r="BL87" s="155"/>
      <c r="BM87" s="155"/>
      <c r="BN87" s="155"/>
      <c r="BO87" s="155"/>
      <c r="BP87" s="155"/>
      <c r="BQ87" s="155"/>
      <c r="BR87" s="155"/>
    </row>
    <row r="88" spans="1:70" s="156" customFormat="1" ht="36.75" hidden="1" customHeight="1" x14ac:dyDescent="0.25">
      <c r="A88" s="266"/>
      <c r="B88" s="268"/>
      <c r="C88" s="268"/>
      <c r="D88" s="271"/>
      <c r="E88" s="271"/>
      <c r="F88" s="271"/>
      <c r="G88" s="363"/>
      <c r="H88" s="271"/>
      <c r="I88" s="266"/>
      <c r="J88" s="276"/>
      <c r="K88" s="278"/>
      <c r="L88" s="274"/>
      <c r="M88" s="278">
        <f ca="1">IF(NOT(ISERROR(MATCH(L88,_xlfn.ANCHORARRAY(G99),0))),K101&amp;"Por favor no seleccionar los criterios de impacto",L88)</f>
        <v>0</v>
      </c>
      <c r="N88" s="276"/>
      <c r="O88" s="278"/>
      <c r="P88" s="280"/>
      <c r="Q88" s="201">
        <v>4</v>
      </c>
      <c r="R88" s="112"/>
      <c r="S88" s="201" t="str">
        <f t="shared" ref="S88:S108" si="42">IF(OR(T88="Preventivo",T88="Detectivo"),"Probabilidad",IF(T88="Correctivo","Impacto",""))</f>
        <v/>
      </c>
      <c r="T88" s="113"/>
      <c r="U88" s="113"/>
      <c r="V88" s="167" t="str">
        <f t="shared" ref="V88:V122" si="43">IF(AND(T88="Preventivo",U88="Automático"),"50%",IF(AND(T88="Preventivo",U88="Manual"),"40%",IF(AND(T88="Detectivo",U88="Automático"),"40%",IF(AND(T88="Detectivo",U88="Manual"),"30%",IF(AND(T88="Correctivo",U88="Automático"),"35%",IF(AND(T88="Correctivo",U88="Manual"),"25%",""))))))</f>
        <v/>
      </c>
      <c r="W88" s="113"/>
      <c r="X88" s="113"/>
      <c r="Y88" s="113"/>
      <c r="Z88" s="165" t="str">
        <f>IFERROR(IF(S88="Probabilidad",(K85-(+K85*V88)),IF(S88="Impacto",K85,"")),"")</f>
        <v/>
      </c>
      <c r="AA88" s="166" t="str">
        <f t="shared" si="37"/>
        <v/>
      </c>
      <c r="AB88" s="167" t="str">
        <f t="shared" si="38"/>
        <v/>
      </c>
      <c r="AC88" s="166" t="str">
        <f t="shared" si="39"/>
        <v/>
      </c>
      <c r="AD88" s="167" t="str">
        <f t="shared" si="40"/>
        <v/>
      </c>
      <c r="AE88" s="168" t="str">
        <f t="shared" si="41"/>
        <v/>
      </c>
      <c r="AF88" s="113" t="s">
        <v>31</v>
      </c>
      <c r="AG88" s="191"/>
      <c r="AH88" s="192"/>
      <c r="AI88" s="114"/>
      <c r="AJ88" s="114"/>
      <c r="AK88" s="191"/>
      <c r="AL88" s="192"/>
      <c r="AM88" s="155"/>
      <c r="AN88" s="155"/>
      <c r="AO88" s="155"/>
      <c r="AP88" s="155"/>
      <c r="AQ88" s="155"/>
      <c r="AR88" s="155"/>
      <c r="AS88" s="155"/>
      <c r="AT88" s="155"/>
      <c r="AU88" s="155"/>
      <c r="AV88" s="155"/>
      <c r="AW88" s="155"/>
      <c r="AX88" s="155"/>
      <c r="AY88" s="155"/>
      <c r="AZ88" s="155"/>
      <c r="BA88" s="155"/>
      <c r="BB88" s="155"/>
      <c r="BC88" s="155"/>
      <c r="BD88" s="155"/>
      <c r="BE88" s="155"/>
      <c r="BF88" s="155"/>
      <c r="BG88" s="155"/>
      <c r="BH88" s="155"/>
      <c r="BI88" s="155"/>
      <c r="BJ88" s="155"/>
      <c r="BK88" s="155"/>
      <c r="BL88" s="155"/>
      <c r="BM88" s="155"/>
      <c r="BN88" s="155"/>
      <c r="BO88" s="155"/>
      <c r="BP88" s="155"/>
      <c r="BQ88" s="155"/>
      <c r="BR88" s="155"/>
    </row>
    <row r="89" spans="1:70" s="156" customFormat="1" ht="36.75" hidden="1" customHeight="1" x14ac:dyDescent="0.25">
      <c r="A89" s="266"/>
      <c r="B89" s="268"/>
      <c r="C89" s="268"/>
      <c r="D89" s="271"/>
      <c r="E89" s="271"/>
      <c r="F89" s="271"/>
      <c r="G89" s="363"/>
      <c r="H89" s="271"/>
      <c r="I89" s="266"/>
      <c r="J89" s="276"/>
      <c r="K89" s="278"/>
      <c r="L89" s="274"/>
      <c r="M89" s="278">
        <f ca="1">IF(NOT(ISERROR(MATCH(L89,_xlfn.ANCHORARRAY(G100),0))),K102&amp;"Por favor no seleccionar los criterios de impacto",L89)</f>
        <v>0</v>
      </c>
      <c r="N89" s="276"/>
      <c r="O89" s="278"/>
      <c r="P89" s="280"/>
      <c r="Q89" s="201">
        <v>5</v>
      </c>
      <c r="R89" s="112"/>
      <c r="S89" s="201" t="str">
        <f t="shared" si="42"/>
        <v/>
      </c>
      <c r="T89" s="113"/>
      <c r="U89" s="113"/>
      <c r="V89" s="167" t="str">
        <f t="shared" si="43"/>
        <v/>
      </c>
      <c r="W89" s="113"/>
      <c r="X89" s="113"/>
      <c r="Y89" s="113"/>
      <c r="Z89" s="165" t="str">
        <f>IFERROR(IF(S89="Probabilidad",(K85-(+K85*V89)),IF(S89="Impacto",K85,"")),"")</f>
        <v/>
      </c>
      <c r="AA89" s="166" t="str">
        <f t="shared" si="37"/>
        <v/>
      </c>
      <c r="AB89" s="167" t="str">
        <f t="shared" si="38"/>
        <v/>
      </c>
      <c r="AC89" s="166" t="str">
        <f t="shared" si="39"/>
        <v/>
      </c>
      <c r="AD89" s="167" t="str">
        <f t="shared" si="40"/>
        <v/>
      </c>
      <c r="AE89" s="168" t="str">
        <f t="shared" si="41"/>
        <v/>
      </c>
      <c r="AF89" s="113" t="s">
        <v>31</v>
      </c>
      <c r="AG89" s="191"/>
      <c r="AH89" s="192"/>
      <c r="AI89" s="114"/>
      <c r="AJ89" s="114"/>
      <c r="AK89" s="191"/>
      <c r="AL89" s="192"/>
      <c r="AM89" s="155"/>
      <c r="AN89" s="155"/>
      <c r="AO89" s="155"/>
      <c r="AP89" s="155"/>
      <c r="AQ89" s="155"/>
      <c r="AR89" s="155"/>
      <c r="AS89" s="155"/>
      <c r="AT89" s="155"/>
      <c r="AU89" s="155"/>
      <c r="AV89" s="155"/>
      <c r="AW89" s="155"/>
      <c r="AX89" s="155"/>
      <c r="AY89" s="155"/>
      <c r="AZ89" s="155"/>
      <c r="BA89" s="155"/>
      <c r="BB89" s="155"/>
      <c r="BC89" s="155"/>
      <c r="BD89" s="155"/>
      <c r="BE89" s="155"/>
      <c r="BF89" s="155"/>
      <c r="BG89" s="155"/>
      <c r="BH89" s="155"/>
      <c r="BI89" s="155"/>
      <c r="BJ89" s="155"/>
      <c r="BK89" s="155"/>
      <c r="BL89" s="155"/>
      <c r="BM89" s="155"/>
      <c r="BN89" s="155"/>
      <c r="BO89" s="155"/>
      <c r="BP89" s="155"/>
      <c r="BQ89" s="155"/>
      <c r="BR89" s="155"/>
    </row>
    <row r="90" spans="1:70" s="156" customFormat="1" ht="36.75" hidden="1" customHeight="1" x14ac:dyDescent="0.25">
      <c r="A90" s="266"/>
      <c r="B90" s="269"/>
      <c r="C90" s="269"/>
      <c r="D90" s="271"/>
      <c r="E90" s="271"/>
      <c r="F90" s="271"/>
      <c r="G90" s="363"/>
      <c r="H90" s="271"/>
      <c r="I90" s="266"/>
      <c r="J90" s="276"/>
      <c r="K90" s="278"/>
      <c r="L90" s="274"/>
      <c r="M90" s="278">
        <f ca="1">IF(NOT(ISERROR(MATCH(L90,_xlfn.ANCHORARRAY(G101),0))),K103&amp;"Por favor no seleccionar los criterios de impacto",L90)</f>
        <v>0</v>
      </c>
      <c r="N90" s="276"/>
      <c r="O90" s="278"/>
      <c r="P90" s="280"/>
      <c r="Q90" s="201">
        <v>6</v>
      </c>
      <c r="R90" s="112"/>
      <c r="S90" s="201" t="str">
        <f t="shared" si="42"/>
        <v/>
      </c>
      <c r="T90" s="113"/>
      <c r="U90" s="113"/>
      <c r="V90" s="167" t="str">
        <f t="shared" si="43"/>
        <v/>
      </c>
      <c r="W90" s="113"/>
      <c r="X90" s="113"/>
      <c r="Y90" s="113"/>
      <c r="Z90" s="165" t="str">
        <f>IFERROR(IF(S89="Probabilidad",(K85-(+K85*V90)),IF(S90="Impacto",K85,"")),"")</f>
        <v/>
      </c>
      <c r="AA90" s="166" t="str">
        <f t="shared" si="37"/>
        <v/>
      </c>
      <c r="AB90" s="167" t="str">
        <f t="shared" si="38"/>
        <v/>
      </c>
      <c r="AC90" s="166" t="str">
        <f t="shared" si="39"/>
        <v/>
      </c>
      <c r="AD90" s="167" t="str">
        <f t="shared" si="40"/>
        <v/>
      </c>
      <c r="AE90" s="168" t="str">
        <f t="shared" si="41"/>
        <v/>
      </c>
      <c r="AF90" s="113" t="s">
        <v>31</v>
      </c>
      <c r="AG90" s="191"/>
      <c r="AH90" s="192"/>
      <c r="AI90" s="114"/>
      <c r="AJ90" s="114"/>
      <c r="AK90" s="191"/>
      <c r="AL90" s="192"/>
      <c r="AM90" s="155"/>
      <c r="AN90" s="155"/>
      <c r="AO90" s="155"/>
      <c r="AP90" s="155"/>
      <c r="AQ90" s="155"/>
      <c r="AR90" s="155"/>
      <c r="AS90" s="155"/>
      <c r="AT90" s="155"/>
      <c r="AU90" s="155"/>
      <c r="AV90" s="155"/>
      <c r="AW90" s="155"/>
      <c r="AX90" s="155"/>
      <c r="AY90" s="155"/>
      <c r="AZ90" s="155"/>
      <c r="BA90" s="155"/>
      <c r="BB90" s="155"/>
      <c r="BC90" s="155"/>
      <c r="BD90" s="155"/>
      <c r="BE90" s="155"/>
      <c r="BF90" s="155"/>
      <c r="BG90" s="155"/>
      <c r="BH90" s="155"/>
      <c r="BI90" s="155"/>
      <c r="BJ90" s="155"/>
      <c r="BK90" s="155"/>
      <c r="BL90" s="155"/>
      <c r="BM90" s="155"/>
      <c r="BN90" s="155"/>
      <c r="BO90" s="155"/>
      <c r="BP90" s="155"/>
      <c r="BQ90" s="155"/>
      <c r="BR90" s="155"/>
    </row>
    <row r="91" spans="1:70" s="156" customFormat="1" ht="117" customHeight="1" x14ac:dyDescent="0.25">
      <c r="A91" s="266">
        <v>14</v>
      </c>
      <c r="B91" s="267" t="s">
        <v>211</v>
      </c>
      <c r="C91" s="267" t="s">
        <v>531</v>
      </c>
      <c r="D91" s="270" t="s">
        <v>130</v>
      </c>
      <c r="E91" s="270" t="s">
        <v>535</v>
      </c>
      <c r="F91" s="270" t="s">
        <v>536</v>
      </c>
      <c r="G91" s="362" t="s">
        <v>537</v>
      </c>
      <c r="H91" s="270" t="s">
        <v>437</v>
      </c>
      <c r="I91" s="281">
        <v>340</v>
      </c>
      <c r="J91" s="275" t="str">
        <f>IF(I91&lt;=0,"",IF(I91&lt;=2,"Muy Baja",IF(I91&lt;=24,"Baja",IF(I91&lt;=500,"Media",IF(I91&lt;=5000,"Alta","Muy Alta")))))</f>
        <v>Media</v>
      </c>
      <c r="K91" s="277">
        <f>IF(J91="","",IF(J91="Muy Baja",0.2,IF(J91="Baja",0.4,IF(J91="Media",0.6,IF(J91="Alta",0.8,IF(J91="Muy Alta",1,))))))</f>
        <v>0.6</v>
      </c>
      <c r="L91" s="273" t="s">
        <v>98</v>
      </c>
      <c r="M91" s="277" t="str">
        <f>IF(NOT(ISERROR(MATCH(L91,'[4]Tabla Impacto'!$B$221:$B$223,0))),'[4]Tabla Impacto'!$F$223&amp;"Por favor no seleccionar los criterios de impacto(Afectación Económica o presupuestal y Pérdida Reputacional)",L91)</f>
        <v>El riesgo afecta la imagen de la entidad con algunos usuarios de relevancia frente al logro de los objetivos</v>
      </c>
      <c r="N91" s="275" t="str">
        <f>+IF(OR(M91='[4]Tabla Impacto'!$C$11,M91='[4]Tabla Impacto'!$D$11),"Leve",IF(OR(M91='[4]Tabla Impacto'!$C$12,M91='[4]Tabla Impacto'!$D$12),"Menor",IF(OR(M91='[4]Tabla Impacto'!$C$13,M91='[4]Tabla Impacto'!$D$13),"Moderado",IF(OR(M91='[4]Tabla Impacto'!$C$14,M91='[4]Tabla Impacto'!$D$14),"Mayor",IF(OR(M91='[4]Tabla Impacto'!$C$15,M91='[4]Tabla Impacto'!$D$15),"Catastrófico","")))))</f>
        <v>Moderado</v>
      </c>
      <c r="O91" s="277">
        <f>IF(N91="","",IF(N91="Leve",0.2,IF(N91="Menor",0.4,IF(N91="Moderado",0.6,IF(N91="Mayor",0.8,IF(N91="Catastrófico",1,))))))</f>
        <v>0.6</v>
      </c>
      <c r="P91" s="279" t="str">
        <f>IF(OR(AND(J91="Muy Baja",N91="Leve"),AND(J91="Muy Baja",N91="Menor"),AND(J91="Baja",N91="Leve")),"Bajo",IF(OR(AND(J91="Muy baja",N91="Moderado"),AND(J91="Baja",N91="Menor"),AND(J91="Baja",N91="Moderado"),AND(J91="Media",N91="Leve"),AND(J91="Media",N91="Menor"),AND(J91="Media",N91="Moderado"),AND(J91="Alta",N91="Leve"),AND(J91="Alta",N91="Menor")),"Moderado",IF(OR(AND(J91="Muy Baja",N91="Mayor"),AND(J91="Baja",N91="Mayor"),AND(J91="Media",N91="Mayor"),AND(J91="Alta",N91="Moderado"),AND(J91="Alta",N91="Mayor"),AND(J91="Muy Alta",N91="Leve"),AND(J91="Muy Alta",N91="Menor"),AND(J91="Muy Alta",N91="Moderado"),AND(J91="Muy Alta",N91="Mayor")),"Alto",IF(OR(AND(J91="Muy Baja",N91="Catastrófico"),AND(J91="Baja",N91="Catastrófico"),AND(J91="Media",N91="Catastrófico"),AND(J91="Alta",N91="Catastrófico"),AND(J91="Muy Alta",N91="Catastrófico")),"Extremo",""))))</f>
        <v>Moderado</v>
      </c>
      <c r="Q91" s="201">
        <v>1</v>
      </c>
      <c r="R91" s="112" t="s">
        <v>545</v>
      </c>
      <c r="S91" s="201" t="str">
        <f t="shared" si="42"/>
        <v>Probabilidad</v>
      </c>
      <c r="T91" s="113" t="s">
        <v>14</v>
      </c>
      <c r="U91" s="113" t="s">
        <v>9</v>
      </c>
      <c r="V91" s="167" t="str">
        <f t="shared" si="43"/>
        <v>40%</v>
      </c>
      <c r="W91" s="113" t="s">
        <v>19</v>
      </c>
      <c r="X91" s="113" t="s">
        <v>23</v>
      </c>
      <c r="Y91" s="113" t="s">
        <v>117</v>
      </c>
      <c r="Z91" s="165">
        <f t="shared" ref="Z91:Z103" si="44">IFERROR(IF(S91="Probabilidad",(K91-(+K91*V91)),IF(S91="Impacto",K91,"")),"")</f>
        <v>0.36</v>
      </c>
      <c r="AA91" s="166" t="str">
        <f t="shared" si="37"/>
        <v>Baja</v>
      </c>
      <c r="AB91" s="167">
        <f t="shared" si="38"/>
        <v>0.36</v>
      </c>
      <c r="AC91" s="166" t="str">
        <f t="shared" si="39"/>
        <v>Moderado</v>
      </c>
      <c r="AD91" s="167">
        <f t="shared" si="40"/>
        <v>0.6</v>
      </c>
      <c r="AE91" s="168" t="str">
        <f t="shared" si="41"/>
        <v>Moderado</v>
      </c>
      <c r="AF91" s="113" t="s">
        <v>31</v>
      </c>
      <c r="AG91" s="191"/>
      <c r="AH91" s="192"/>
      <c r="AI91" s="114"/>
      <c r="AJ91" s="114"/>
      <c r="AK91" s="191"/>
      <c r="AL91" s="192"/>
      <c r="AM91" s="155"/>
      <c r="AN91" s="155"/>
      <c r="AO91" s="155"/>
      <c r="AP91" s="155"/>
      <c r="AQ91" s="155"/>
      <c r="AR91" s="155"/>
      <c r="AS91" s="155"/>
      <c r="AT91" s="155"/>
      <c r="AU91" s="155"/>
      <c r="AV91" s="155"/>
      <c r="AW91" s="155"/>
      <c r="AX91" s="155"/>
      <c r="AY91" s="155"/>
      <c r="AZ91" s="155"/>
      <c r="BA91" s="155"/>
      <c r="BB91" s="155"/>
      <c r="BC91" s="155"/>
      <c r="BD91" s="155"/>
      <c r="BE91" s="155"/>
      <c r="BF91" s="155"/>
      <c r="BG91" s="155"/>
      <c r="BH91" s="155"/>
      <c r="BI91" s="155"/>
      <c r="BJ91" s="155"/>
      <c r="BK91" s="155"/>
      <c r="BL91" s="155"/>
      <c r="BM91" s="155"/>
      <c r="BN91" s="155"/>
      <c r="BO91" s="155"/>
      <c r="BP91" s="155"/>
      <c r="BQ91" s="155"/>
      <c r="BR91" s="155"/>
    </row>
    <row r="92" spans="1:70" s="156" customFormat="1" ht="16.5" hidden="1" customHeight="1" x14ac:dyDescent="0.25">
      <c r="A92" s="266"/>
      <c r="B92" s="268"/>
      <c r="C92" s="268"/>
      <c r="D92" s="271"/>
      <c r="E92" s="271"/>
      <c r="F92" s="271"/>
      <c r="G92" s="363"/>
      <c r="H92" s="271"/>
      <c r="I92" s="266"/>
      <c r="J92" s="276"/>
      <c r="K92" s="278"/>
      <c r="L92" s="274"/>
      <c r="M92" s="278">
        <f ca="1">IF(NOT(ISERROR(MATCH(L92,_xlfn.ANCHORARRAY(G103),0))),K105&amp;"Por favor no seleccionar los criterios de impacto",L92)</f>
        <v>0</v>
      </c>
      <c r="N92" s="276"/>
      <c r="O92" s="278"/>
      <c r="P92" s="280"/>
      <c r="Q92" s="201">
        <v>2</v>
      </c>
      <c r="R92" s="112"/>
      <c r="S92" s="201" t="str">
        <f t="shared" si="42"/>
        <v/>
      </c>
      <c r="T92" s="113"/>
      <c r="U92" s="113"/>
      <c r="V92" s="167" t="str">
        <f t="shared" si="43"/>
        <v/>
      </c>
      <c r="W92" s="113"/>
      <c r="X92" s="113"/>
      <c r="Y92" s="113"/>
      <c r="Z92" s="165" t="str">
        <f>IFERROR(IF(S92="Probabilidad",(K91-(+K91*V92)),IF(S92="Impacto",K91,"")),"")</f>
        <v/>
      </c>
      <c r="AA92" s="166" t="str">
        <f t="shared" si="37"/>
        <v/>
      </c>
      <c r="AB92" s="167" t="str">
        <f t="shared" si="38"/>
        <v/>
      </c>
      <c r="AC92" s="166" t="str">
        <f t="shared" si="39"/>
        <v/>
      </c>
      <c r="AD92" s="167" t="str">
        <f t="shared" si="40"/>
        <v/>
      </c>
      <c r="AE92" s="168" t="str">
        <f t="shared" si="41"/>
        <v/>
      </c>
      <c r="AF92" s="113"/>
      <c r="AG92" s="191"/>
      <c r="AH92" s="192"/>
      <c r="AI92" s="114"/>
      <c r="AJ92" s="114"/>
      <c r="AK92" s="191"/>
      <c r="AL92" s="192"/>
      <c r="AM92" s="155"/>
      <c r="AN92" s="155"/>
      <c r="AO92" s="155"/>
      <c r="AP92" s="155"/>
      <c r="AQ92" s="155"/>
      <c r="AR92" s="155"/>
      <c r="AS92" s="155"/>
      <c r="AT92" s="155"/>
      <c r="AU92" s="155"/>
      <c r="AV92" s="155"/>
      <c r="AW92" s="155"/>
      <c r="AX92" s="155"/>
      <c r="AY92" s="155"/>
      <c r="AZ92" s="155"/>
      <c r="BA92" s="155"/>
      <c r="BB92" s="155"/>
      <c r="BC92" s="155"/>
      <c r="BD92" s="155"/>
      <c r="BE92" s="155"/>
      <c r="BF92" s="155"/>
      <c r="BG92" s="155"/>
      <c r="BH92" s="155"/>
      <c r="BI92" s="155"/>
      <c r="BJ92" s="155"/>
      <c r="BK92" s="155"/>
      <c r="BL92" s="155"/>
      <c r="BM92" s="155"/>
      <c r="BN92" s="155"/>
      <c r="BO92" s="155"/>
      <c r="BP92" s="155"/>
      <c r="BQ92" s="155"/>
      <c r="BR92" s="155"/>
    </row>
    <row r="93" spans="1:70" s="156" customFormat="1" ht="16.5" hidden="1" customHeight="1" x14ac:dyDescent="0.25">
      <c r="A93" s="266"/>
      <c r="B93" s="268"/>
      <c r="C93" s="268"/>
      <c r="D93" s="271"/>
      <c r="E93" s="271"/>
      <c r="F93" s="271"/>
      <c r="G93" s="363"/>
      <c r="H93" s="271"/>
      <c r="I93" s="266"/>
      <c r="J93" s="276"/>
      <c r="K93" s="278"/>
      <c r="L93" s="274"/>
      <c r="M93" s="278">
        <f ca="1">IF(NOT(ISERROR(MATCH(L93,_xlfn.ANCHORARRAY(G104),0))),K106&amp;"Por favor no seleccionar los criterios de impacto",L93)</f>
        <v>0</v>
      </c>
      <c r="N93" s="276"/>
      <c r="O93" s="278"/>
      <c r="P93" s="280"/>
      <c r="Q93" s="201">
        <v>3</v>
      </c>
      <c r="R93" s="112"/>
      <c r="S93" s="201" t="str">
        <f t="shared" si="42"/>
        <v/>
      </c>
      <c r="T93" s="113"/>
      <c r="U93" s="113"/>
      <c r="V93" s="167" t="str">
        <f t="shared" si="43"/>
        <v/>
      </c>
      <c r="W93" s="113"/>
      <c r="X93" s="113"/>
      <c r="Y93" s="113"/>
      <c r="Z93" s="165" t="str">
        <f>IFERROR(IF(S93="Probabilidad",(K91-(+K91*V93)),IF(S93="Impacto",K91,"")),"")</f>
        <v/>
      </c>
      <c r="AA93" s="166" t="str">
        <f t="shared" si="37"/>
        <v/>
      </c>
      <c r="AB93" s="167" t="str">
        <f t="shared" si="38"/>
        <v/>
      </c>
      <c r="AC93" s="166" t="str">
        <f t="shared" si="39"/>
        <v/>
      </c>
      <c r="AD93" s="167" t="str">
        <f t="shared" si="40"/>
        <v/>
      </c>
      <c r="AE93" s="168" t="str">
        <f t="shared" si="41"/>
        <v/>
      </c>
      <c r="AF93" s="113"/>
      <c r="AG93" s="191"/>
      <c r="AH93" s="192"/>
      <c r="AI93" s="114"/>
      <c r="AJ93" s="114"/>
      <c r="AK93" s="191"/>
      <c r="AL93" s="192"/>
      <c r="AM93" s="155"/>
      <c r="AN93" s="155"/>
      <c r="AO93" s="155"/>
      <c r="AP93" s="155"/>
      <c r="AQ93" s="155"/>
      <c r="AR93" s="155"/>
      <c r="AS93" s="155"/>
      <c r="AT93" s="155"/>
      <c r="AU93" s="155"/>
      <c r="AV93" s="155"/>
      <c r="AW93" s="155"/>
      <c r="AX93" s="155"/>
      <c r="AY93" s="155"/>
      <c r="AZ93" s="155"/>
      <c r="BA93" s="155"/>
      <c r="BB93" s="155"/>
      <c r="BC93" s="155"/>
      <c r="BD93" s="155"/>
      <c r="BE93" s="155"/>
      <c r="BF93" s="155"/>
      <c r="BG93" s="155"/>
      <c r="BH93" s="155"/>
      <c r="BI93" s="155"/>
      <c r="BJ93" s="155"/>
      <c r="BK93" s="155"/>
      <c r="BL93" s="155"/>
      <c r="BM93" s="155"/>
      <c r="BN93" s="155"/>
      <c r="BO93" s="155"/>
      <c r="BP93" s="155"/>
      <c r="BQ93" s="155"/>
      <c r="BR93" s="155"/>
    </row>
    <row r="94" spans="1:70" s="156" customFormat="1" ht="16.5" hidden="1" customHeight="1" x14ac:dyDescent="0.25">
      <c r="A94" s="266"/>
      <c r="B94" s="268"/>
      <c r="C94" s="268"/>
      <c r="D94" s="271"/>
      <c r="E94" s="271"/>
      <c r="F94" s="271"/>
      <c r="G94" s="363"/>
      <c r="H94" s="271"/>
      <c r="I94" s="266"/>
      <c r="J94" s="276"/>
      <c r="K94" s="278"/>
      <c r="L94" s="274"/>
      <c r="M94" s="278">
        <f ca="1">IF(NOT(ISERROR(MATCH(L94,_xlfn.ANCHORARRAY(G105),0))),K107&amp;"Por favor no seleccionar los criterios de impacto",L94)</f>
        <v>0</v>
      </c>
      <c r="N94" s="276"/>
      <c r="O94" s="278"/>
      <c r="P94" s="280"/>
      <c r="Q94" s="201">
        <v>4</v>
      </c>
      <c r="R94" s="112"/>
      <c r="S94" s="201" t="str">
        <f t="shared" si="42"/>
        <v/>
      </c>
      <c r="T94" s="113"/>
      <c r="U94" s="113"/>
      <c r="V94" s="167" t="str">
        <f t="shared" si="43"/>
        <v/>
      </c>
      <c r="W94" s="113"/>
      <c r="X94" s="113"/>
      <c r="Y94" s="113"/>
      <c r="Z94" s="165" t="str">
        <f>IFERROR(IF(S94="Probabilidad",(K91-(+K91*V94)),IF(S94="Impacto",K91,"")),"")</f>
        <v/>
      </c>
      <c r="AA94" s="166" t="str">
        <f t="shared" si="37"/>
        <v/>
      </c>
      <c r="AB94" s="167" t="str">
        <f t="shared" si="38"/>
        <v/>
      </c>
      <c r="AC94" s="166" t="str">
        <f t="shared" si="39"/>
        <v/>
      </c>
      <c r="AD94" s="167" t="str">
        <f t="shared" si="40"/>
        <v/>
      </c>
      <c r="AE94" s="168" t="str">
        <f t="shared" si="41"/>
        <v/>
      </c>
      <c r="AF94" s="113"/>
      <c r="AG94" s="191"/>
      <c r="AH94" s="192"/>
      <c r="AI94" s="114"/>
      <c r="AJ94" s="114"/>
      <c r="AK94" s="191"/>
      <c r="AL94" s="192"/>
      <c r="AM94" s="155"/>
      <c r="AN94" s="155"/>
      <c r="AO94" s="155"/>
      <c r="AP94" s="155"/>
      <c r="AQ94" s="155"/>
      <c r="AR94" s="155"/>
      <c r="AS94" s="155"/>
      <c r="AT94" s="155"/>
      <c r="AU94" s="155"/>
      <c r="AV94" s="155"/>
      <c r="AW94" s="155"/>
      <c r="AX94" s="155"/>
      <c r="AY94" s="155"/>
      <c r="AZ94" s="155"/>
      <c r="BA94" s="155"/>
      <c r="BB94" s="155"/>
      <c r="BC94" s="155"/>
      <c r="BD94" s="155"/>
      <c r="BE94" s="155"/>
      <c r="BF94" s="155"/>
      <c r="BG94" s="155"/>
      <c r="BH94" s="155"/>
      <c r="BI94" s="155"/>
      <c r="BJ94" s="155"/>
      <c r="BK94" s="155"/>
      <c r="BL94" s="155"/>
      <c r="BM94" s="155"/>
      <c r="BN94" s="155"/>
      <c r="BO94" s="155"/>
      <c r="BP94" s="155"/>
      <c r="BQ94" s="155"/>
      <c r="BR94" s="155"/>
    </row>
    <row r="95" spans="1:70" s="156" customFormat="1" ht="16.5" hidden="1" customHeight="1" x14ac:dyDescent="0.25">
      <c r="A95" s="266"/>
      <c r="B95" s="268"/>
      <c r="C95" s="268"/>
      <c r="D95" s="271"/>
      <c r="E95" s="271"/>
      <c r="F95" s="271"/>
      <c r="G95" s="363"/>
      <c r="H95" s="271"/>
      <c r="I95" s="266"/>
      <c r="J95" s="276"/>
      <c r="K95" s="278"/>
      <c r="L95" s="274"/>
      <c r="M95" s="278">
        <f ca="1">IF(NOT(ISERROR(MATCH(L95,_xlfn.ANCHORARRAY(G106),0))),K108&amp;"Por favor no seleccionar los criterios de impacto",L95)</f>
        <v>0</v>
      </c>
      <c r="N95" s="276"/>
      <c r="O95" s="278"/>
      <c r="P95" s="280"/>
      <c r="Q95" s="201">
        <v>5</v>
      </c>
      <c r="R95" s="112"/>
      <c r="S95" s="201" t="str">
        <f t="shared" si="42"/>
        <v/>
      </c>
      <c r="T95" s="113"/>
      <c r="U95" s="113"/>
      <c r="V95" s="167" t="str">
        <f t="shared" si="43"/>
        <v/>
      </c>
      <c r="W95" s="113"/>
      <c r="X95" s="113"/>
      <c r="Y95" s="113"/>
      <c r="Z95" s="165" t="str">
        <f>IFERROR(IF(S95="Probabilidad",(K91-(+K91*V95)),IF(S95="Impacto",K91,"")),"")</f>
        <v/>
      </c>
      <c r="AA95" s="166" t="str">
        <f t="shared" si="37"/>
        <v/>
      </c>
      <c r="AB95" s="167" t="str">
        <f t="shared" si="38"/>
        <v/>
      </c>
      <c r="AC95" s="166" t="str">
        <f t="shared" si="39"/>
        <v/>
      </c>
      <c r="AD95" s="167" t="str">
        <f t="shared" si="40"/>
        <v/>
      </c>
      <c r="AE95" s="168" t="str">
        <f t="shared" si="41"/>
        <v/>
      </c>
      <c r="AF95" s="113"/>
      <c r="AG95" s="191"/>
      <c r="AH95" s="192"/>
      <c r="AI95" s="114"/>
      <c r="AJ95" s="114"/>
      <c r="AK95" s="191"/>
      <c r="AL95" s="192"/>
      <c r="AM95" s="155"/>
      <c r="AN95" s="155"/>
      <c r="AO95" s="155"/>
      <c r="AP95" s="155"/>
      <c r="AQ95" s="155"/>
      <c r="AR95" s="155"/>
      <c r="AS95" s="155"/>
      <c r="AT95" s="155"/>
      <c r="AU95" s="155"/>
      <c r="AV95" s="155"/>
      <c r="AW95" s="155"/>
      <c r="AX95" s="155"/>
      <c r="AY95" s="155"/>
      <c r="AZ95" s="155"/>
      <c r="BA95" s="155"/>
      <c r="BB95" s="155"/>
      <c r="BC95" s="155"/>
      <c r="BD95" s="155"/>
      <c r="BE95" s="155"/>
      <c r="BF95" s="155"/>
      <c r="BG95" s="155"/>
      <c r="BH95" s="155"/>
      <c r="BI95" s="155"/>
      <c r="BJ95" s="155"/>
      <c r="BK95" s="155"/>
      <c r="BL95" s="155"/>
      <c r="BM95" s="155"/>
      <c r="BN95" s="155"/>
      <c r="BO95" s="155"/>
      <c r="BP95" s="155"/>
      <c r="BQ95" s="155"/>
      <c r="BR95" s="155"/>
    </row>
    <row r="96" spans="1:70" s="156" customFormat="1" ht="16.5" hidden="1" customHeight="1" x14ac:dyDescent="0.25">
      <c r="A96" s="266"/>
      <c r="B96" s="269"/>
      <c r="C96" s="269"/>
      <c r="D96" s="271"/>
      <c r="E96" s="271"/>
      <c r="F96" s="271"/>
      <c r="G96" s="363"/>
      <c r="H96" s="271"/>
      <c r="I96" s="266"/>
      <c r="J96" s="276"/>
      <c r="K96" s="278"/>
      <c r="L96" s="274"/>
      <c r="M96" s="278">
        <f ca="1">IF(NOT(ISERROR(MATCH(L96,_xlfn.ANCHORARRAY(G107),0))),K109&amp;"Por favor no seleccionar los criterios de impacto",L96)</f>
        <v>0</v>
      </c>
      <c r="N96" s="276"/>
      <c r="O96" s="278"/>
      <c r="P96" s="280"/>
      <c r="Q96" s="201">
        <v>6</v>
      </c>
      <c r="R96" s="112"/>
      <c r="S96" s="201" t="str">
        <f t="shared" si="42"/>
        <v/>
      </c>
      <c r="T96" s="113"/>
      <c r="U96" s="113"/>
      <c r="V96" s="167" t="str">
        <f t="shared" si="43"/>
        <v/>
      </c>
      <c r="W96" s="113"/>
      <c r="X96" s="113"/>
      <c r="Y96" s="113"/>
      <c r="Z96" s="165" t="str">
        <f>IFERROR(IF(S96="Probabilidad",(K91-(+K91*V96)),IF(S96="Impacto",K91,"")),"")</f>
        <v/>
      </c>
      <c r="AA96" s="166" t="str">
        <f t="shared" si="37"/>
        <v/>
      </c>
      <c r="AB96" s="167" t="str">
        <f t="shared" si="38"/>
        <v/>
      </c>
      <c r="AC96" s="166" t="str">
        <f t="shared" si="39"/>
        <v/>
      </c>
      <c r="AD96" s="167" t="str">
        <f t="shared" si="40"/>
        <v/>
      </c>
      <c r="AE96" s="168" t="str">
        <f t="shared" si="41"/>
        <v/>
      </c>
      <c r="AF96" s="113"/>
      <c r="AG96" s="191"/>
      <c r="AH96" s="192"/>
      <c r="AI96" s="114"/>
      <c r="AJ96" s="114"/>
      <c r="AK96" s="191"/>
      <c r="AL96" s="192"/>
      <c r="AM96" s="155"/>
      <c r="AN96" s="155"/>
      <c r="AO96" s="155"/>
      <c r="AP96" s="155"/>
      <c r="AQ96" s="155"/>
      <c r="AR96" s="155"/>
      <c r="AS96" s="155"/>
      <c r="AT96" s="155"/>
      <c r="AU96" s="155"/>
      <c r="AV96" s="155"/>
      <c r="AW96" s="155"/>
      <c r="AX96" s="155"/>
      <c r="AY96" s="155"/>
      <c r="AZ96" s="155"/>
      <c r="BA96" s="155"/>
      <c r="BB96" s="155"/>
      <c r="BC96" s="155"/>
      <c r="BD96" s="155"/>
      <c r="BE96" s="155"/>
      <c r="BF96" s="155"/>
      <c r="BG96" s="155"/>
      <c r="BH96" s="155"/>
      <c r="BI96" s="155"/>
      <c r="BJ96" s="155"/>
      <c r="BK96" s="155"/>
      <c r="BL96" s="155"/>
      <c r="BM96" s="155"/>
      <c r="BN96" s="155"/>
      <c r="BO96" s="155"/>
      <c r="BP96" s="155"/>
      <c r="BQ96" s="155"/>
      <c r="BR96" s="155"/>
    </row>
    <row r="97" spans="1:70" s="156" customFormat="1" ht="141" customHeight="1" x14ac:dyDescent="0.25">
      <c r="A97" s="266">
        <v>15</v>
      </c>
      <c r="B97" s="267" t="s">
        <v>211</v>
      </c>
      <c r="C97" s="267" t="s">
        <v>538</v>
      </c>
      <c r="D97" s="270" t="s">
        <v>130</v>
      </c>
      <c r="E97" s="270" t="s">
        <v>539</v>
      </c>
      <c r="F97" s="270" t="s">
        <v>540</v>
      </c>
      <c r="G97" s="362" t="s">
        <v>541</v>
      </c>
      <c r="H97" s="270" t="s">
        <v>437</v>
      </c>
      <c r="I97" s="281">
        <v>50001</v>
      </c>
      <c r="J97" s="275" t="str">
        <f>IF(I97&lt;=0,"",IF(I97&lt;=2,"Muy Baja",IF(I97&lt;=24,"Baja",IF(I97&lt;=500,"Media",IF(I97&lt;=5000,"Alta","Muy Alta")))))</f>
        <v>Muy Alta</v>
      </c>
      <c r="K97" s="277">
        <f>IF(J97="","",IF(J97="Muy Baja",0.2,IF(J97="Baja",0.4,IF(J97="Media",0.6,IF(J97="Alta",0.8,IF(J97="Muy Alta",1,))))))</f>
        <v>1</v>
      </c>
      <c r="L97" s="273" t="s">
        <v>98</v>
      </c>
      <c r="M97" s="277" t="str">
        <f>IF(NOT(ISERROR(MATCH(L97,'[4]Tabla Impacto'!$B$221:$B$223,0))),'[4]Tabla Impacto'!$F$223&amp;"Por favor no seleccionar los criterios de impacto(Afectación Económica o presupuestal y Pérdida Reputacional)",L97)</f>
        <v>El riesgo afecta la imagen de la entidad con algunos usuarios de relevancia frente al logro de los objetivos</v>
      </c>
      <c r="N97" s="275" t="str">
        <f>+IF(OR(M97='[4]Tabla Impacto'!$C$11,M97='[4]Tabla Impacto'!$D$11),"Leve",IF(OR(M97='[4]Tabla Impacto'!$C$12,M97='[4]Tabla Impacto'!$D$12),"Menor",IF(OR(M97='[4]Tabla Impacto'!$C$13,M97='[4]Tabla Impacto'!$D$13),"Moderado",IF(OR(M97='[4]Tabla Impacto'!$C$14,M97='[4]Tabla Impacto'!$D$14),"Mayor",IF(OR(M97='[4]Tabla Impacto'!$C$15,M97='[4]Tabla Impacto'!$D$15),"Catastrófico","")))))</f>
        <v>Moderado</v>
      </c>
      <c r="O97" s="277">
        <f>IF(N97="","",IF(N97="Leve",0.2,IF(N97="Menor",0.4,IF(N97="Moderado",0.6,IF(N97="Mayor",0.8,IF(N97="Catastrófico",1,))))))</f>
        <v>0.6</v>
      </c>
      <c r="P97" s="279" t="str">
        <f>IF(OR(AND(J97="Muy Baja",N97="Leve"),AND(J97="Muy Baja",N97="Menor"),AND(J97="Baja",N97="Leve")),"Bajo",IF(OR(AND(J97="Muy baja",N97="Moderado"),AND(J97="Baja",N97="Menor"),AND(J97="Baja",N97="Moderado"),AND(J97="Media",N97="Leve"),AND(J97="Media",N97="Menor"),AND(J97="Media",N97="Moderado"),AND(J97="Alta",N97="Leve"),AND(J97="Alta",N97="Menor")),"Moderado",IF(OR(AND(J97="Muy Baja",N97="Mayor"),AND(J97="Baja",N97="Mayor"),AND(J97="Media",N97="Mayor"),AND(J97="Alta",N97="Moderado"),AND(J97="Alta",N97="Mayor"),AND(J97="Muy Alta",N97="Leve"),AND(J97="Muy Alta",N97="Menor"),AND(J97="Muy Alta",N97="Moderado"),AND(J97="Muy Alta",N97="Mayor")),"Alto",IF(OR(AND(J97="Muy Baja",N97="Catastrófico"),AND(J97="Baja",N97="Catastrófico"),AND(J97="Media",N97="Catastrófico"),AND(J97="Alta",N97="Catastrófico"),AND(J97="Muy Alta",N97="Catastrófico")),"Extremo",""))))</f>
        <v>Alto</v>
      </c>
      <c r="Q97" s="201">
        <v>1</v>
      </c>
      <c r="R97" s="112" t="s">
        <v>546</v>
      </c>
      <c r="S97" s="201" t="str">
        <f t="shared" si="42"/>
        <v>Probabilidad</v>
      </c>
      <c r="T97" s="113" t="s">
        <v>14</v>
      </c>
      <c r="U97" s="113" t="s">
        <v>9</v>
      </c>
      <c r="V97" s="167" t="str">
        <f t="shared" si="43"/>
        <v>40%</v>
      </c>
      <c r="W97" s="113" t="s">
        <v>19</v>
      </c>
      <c r="X97" s="113" t="s">
        <v>22</v>
      </c>
      <c r="Y97" s="113" t="s">
        <v>117</v>
      </c>
      <c r="Z97" s="165">
        <f t="shared" si="44"/>
        <v>0.6</v>
      </c>
      <c r="AA97" s="166" t="str">
        <f t="shared" si="37"/>
        <v>Media</v>
      </c>
      <c r="AB97" s="167">
        <f t="shared" si="38"/>
        <v>0.6</v>
      </c>
      <c r="AC97" s="166" t="str">
        <f t="shared" si="39"/>
        <v>Moderado</v>
      </c>
      <c r="AD97" s="167">
        <f t="shared" si="40"/>
        <v>0.6</v>
      </c>
      <c r="AE97" s="168" t="str">
        <f t="shared" si="41"/>
        <v>Moderado</v>
      </c>
      <c r="AF97" s="113" t="s">
        <v>31</v>
      </c>
      <c r="AG97" s="191"/>
      <c r="AH97" s="192"/>
      <c r="AI97" s="114"/>
      <c r="AJ97" s="114"/>
      <c r="AK97" s="191"/>
      <c r="AL97" s="192"/>
      <c r="AM97" s="155"/>
      <c r="AN97" s="155"/>
      <c r="AO97" s="155"/>
      <c r="AP97" s="155"/>
      <c r="AQ97" s="155"/>
      <c r="AR97" s="155"/>
      <c r="AS97" s="155"/>
      <c r="AT97" s="155"/>
      <c r="AU97" s="155"/>
      <c r="AV97" s="155"/>
      <c r="AW97" s="155"/>
      <c r="AX97" s="155"/>
      <c r="AY97" s="155"/>
      <c r="AZ97" s="155"/>
      <c r="BA97" s="155"/>
      <c r="BB97" s="155"/>
      <c r="BC97" s="155"/>
      <c r="BD97" s="155"/>
      <c r="BE97" s="155"/>
      <c r="BF97" s="155"/>
      <c r="BG97" s="155"/>
      <c r="BH97" s="155"/>
      <c r="BI97" s="155"/>
      <c r="BJ97" s="155"/>
      <c r="BK97" s="155"/>
      <c r="BL97" s="155"/>
      <c r="BM97" s="155"/>
      <c r="BN97" s="155"/>
      <c r="BO97" s="155"/>
      <c r="BP97" s="155"/>
      <c r="BQ97" s="155"/>
      <c r="BR97" s="155"/>
    </row>
    <row r="98" spans="1:70" s="156" customFormat="1" ht="16.5" hidden="1" customHeight="1" x14ac:dyDescent="0.25">
      <c r="A98" s="266"/>
      <c r="B98" s="268"/>
      <c r="C98" s="268"/>
      <c r="D98" s="271"/>
      <c r="E98" s="271"/>
      <c r="F98" s="271"/>
      <c r="G98" s="363"/>
      <c r="H98" s="271"/>
      <c r="I98" s="266"/>
      <c r="J98" s="276"/>
      <c r="K98" s="278"/>
      <c r="L98" s="274"/>
      <c r="M98" s="278">
        <f ca="1">IF(NOT(ISERROR(MATCH(L98,_xlfn.ANCHORARRAY(G109),0))),K111&amp;"Por favor no seleccionar los criterios de impacto",L98)</f>
        <v>0</v>
      </c>
      <c r="N98" s="276"/>
      <c r="O98" s="278"/>
      <c r="P98" s="280"/>
      <c r="Q98" s="201">
        <v>2</v>
      </c>
      <c r="R98" s="112"/>
      <c r="S98" s="201" t="str">
        <f t="shared" si="42"/>
        <v/>
      </c>
      <c r="T98" s="113"/>
      <c r="U98" s="113"/>
      <c r="V98" s="167" t="str">
        <f t="shared" si="43"/>
        <v/>
      </c>
      <c r="W98" s="113"/>
      <c r="X98" s="113"/>
      <c r="Y98" s="113"/>
      <c r="Z98" s="165" t="str">
        <f>IFERROR(IF(S98="Probabilidad",(K97-(+K97*V98)),IF(S98="Impacto",K97,"")),"")</f>
        <v/>
      </c>
      <c r="AA98" s="166" t="str">
        <f t="shared" si="37"/>
        <v/>
      </c>
      <c r="AB98" s="167" t="str">
        <f t="shared" si="38"/>
        <v/>
      </c>
      <c r="AC98" s="166" t="str">
        <f t="shared" si="39"/>
        <v/>
      </c>
      <c r="AD98" s="167" t="str">
        <f t="shared" si="40"/>
        <v/>
      </c>
      <c r="AE98" s="168" t="str">
        <f t="shared" si="41"/>
        <v/>
      </c>
      <c r="AF98" s="113"/>
      <c r="AG98" s="191"/>
      <c r="AH98" s="192"/>
      <c r="AI98" s="114"/>
      <c r="AJ98" s="114"/>
      <c r="AK98" s="191"/>
      <c r="AL98" s="192"/>
      <c r="AM98" s="155"/>
      <c r="AN98" s="155"/>
      <c r="AO98" s="155"/>
      <c r="AP98" s="155"/>
      <c r="AQ98" s="155"/>
      <c r="AR98" s="155"/>
      <c r="AS98" s="155"/>
      <c r="AT98" s="155"/>
      <c r="AU98" s="155"/>
      <c r="AV98" s="155"/>
      <c r="AW98" s="155"/>
      <c r="AX98" s="155"/>
      <c r="AY98" s="155"/>
      <c r="AZ98" s="155"/>
      <c r="BA98" s="155"/>
      <c r="BB98" s="155"/>
      <c r="BC98" s="155"/>
      <c r="BD98" s="155"/>
      <c r="BE98" s="155"/>
      <c r="BF98" s="155"/>
      <c r="BG98" s="155"/>
      <c r="BH98" s="155"/>
      <c r="BI98" s="155"/>
      <c r="BJ98" s="155"/>
      <c r="BK98" s="155"/>
      <c r="BL98" s="155"/>
      <c r="BM98" s="155"/>
      <c r="BN98" s="155"/>
      <c r="BO98" s="155"/>
      <c r="BP98" s="155"/>
      <c r="BQ98" s="155"/>
      <c r="BR98" s="155"/>
    </row>
    <row r="99" spans="1:70" s="156" customFormat="1" ht="16.5" hidden="1" customHeight="1" x14ac:dyDescent="0.25">
      <c r="A99" s="266"/>
      <c r="B99" s="268"/>
      <c r="C99" s="268"/>
      <c r="D99" s="271"/>
      <c r="E99" s="271"/>
      <c r="F99" s="271"/>
      <c r="G99" s="363"/>
      <c r="H99" s="271"/>
      <c r="I99" s="266"/>
      <c r="J99" s="276"/>
      <c r="K99" s="278"/>
      <c r="L99" s="274"/>
      <c r="M99" s="278">
        <f ca="1">IF(NOT(ISERROR(MATCH(L99,_xlfn.ANCHORARRAY(G110),0))),K112&amp;"Por favor no seleccionar los criterios de impacto",L99)</f>
        <v>0</v>
      </c>
      <c r="N99" s="276"/>
      <c r="O99" s="278"/>
      <c r="P99" s="280"/>
      <c r="Q99" s="201">
        <v>3</v>
      </c>
      <c r="R99" s="112"/>
      <c r="S99" s="201" t="str">
        <f t="shared" si="42"/>
        <v/>
      </c>
      <c r="T99" s="113"/>
      <c r="U99" s="113"/>
      <c r="V99" s="167" t="str">
        <f t="shared" si="43"/>
        <v/>
      </c>
      <c r="W99" s="113"/>
      <c r="X99" s="113"/>
      <c r="Y99" s="113"/>
      <c r="Z99" s="165" t="str">
        <f>IFERROR(IF(S99="Probabilidad",(K97-(+K97*V99)),IF(S99="Impacto",K97,"")),"")</f>
        <v/>
      </c>
      <c r="AA99" s="166" t="str">
        <f t="shared" si="37"/>
        <v/>
      </c>
      <c r="AB99" s="167" t="str">
        <f t="shared" si="38"/>
        <v/>
      </c>
      <c r="AC99" s="166" t="str">
        <f t="shared" si="39"/>
        <v/>
      </c>
      <c r="AD99" s="167" t="str">
        <f t="shared" si="40"/>
        <v/>
      </c>
      <c r="AE99" s="168" t="str">
        <f t="shared" si="41"/>
        <v/>
      </c>
      <c r="AF99" s="113"/>
      <c r="AG99" s="191"/>
      <c r="AH99" s="192"/>
      <c r="AI99" s="114"/>
      <c r="AJ99" s="114"/>
      <c r="AK99" s="191"/>
      <c r="AL99" s="192"/>
      <c r="AM99" s="155"/>
      <c r="AN99" s="155"/>
      <c r="AO99" s="155"/>
      <c r="AP99" s="155"/>
      <c r="AQ99" s="155"/>
      <c r="AR99" s="155"/>
      <c r="AS99" s="155"/>
      <c r="AT99" s="155"/>
      <c r="AU99" s="155"/>
      <c r="AV99" s="155"/>
      <c r="AW99" s="155"/>
      <c r="AX99" s="155"/>
      <c r="AY99" s="155"/>
      <c r="AZ99" s="155"/>
      <c r="BA99" s="155"/>
      <c r="BB99" s="155"/>
      <c r="BC99" s="155"/>
      <c r="BD99" s="155"/>
      <c r="BE99" s="155"/>
      <c r="BF99" s="155"/>
      <c r="BG99" s="155"/>
      <c r="BH99" s="155"/>
      <c r="BI99" s="155"/>
      <c r="BJ99" s="155"/>
      <c r="BK99" s="155"/>
      <c r="BL99" s="155"/>
      <c r="BM99" s="155"/>
      <c r="BN99" s="155"/>
      <c r="BO99" s="155"/>
      <c r="BP99" s="155"/>
      <c r="BQ99" s="155"/>
      <c r="BR99" s="155"/>
    </row>
    <row r="100" spans="1:70" s="156" customFormat="1" ht="16.5" hidden="1" customHeight="1" x14ac:dyDescent="0.25">
      <c r="A100" s="266"/>
      <c r="B100" s="268"/>
      <c r="C100" s="268"/>
      <c r="D100" s="271"/>
      <c r="E100" s="271"/>
      <c r="F100" s="271"/>
      <c r="G100" s="363"/>
      <c r="H100" s="271"/>
      <c r="I100" s="266"/>
      <c r="J100" s="276"/>
      <c r="K100" s="278"/>
      <c r="L100" s="274"/>
      <c r="M100" s="278">
        <f ca="1">IF(NOT(ISERROR(MATCH(L100,_xlfn.ANCHORARRAY(G111),0))),K113&amp;"Por favor no seleccionar los criterios de impacto",L100)</f>
        <v>0</v>
      </c>
      <c r="N100" s="276"/>
      <c r="O100" s="278"/>
      <c r="P100" s="280"/>
      <c r="Q100" s="201">
        <v>4</v>
      </c>
      <c r="R100" s="112"/>
      <c r="S100" s="201" t="str">
        <f t="shared" si="42"/>
        <v/>
      </c>
      <c r="T100" s="113"/>
      <c r="U100" s="113"/>
      <c r="V100" s="167" t="str">
        <f t="shared" si="43"/>
        <v/>
      </c>
      <c r="W100" s="113"/>
      <c r="X100" s="113"/>
      <c r="Y100" s="113"/>
      <c r="Z100" s="165" t="str">
        <f>IFERROR(IF(S100="Probabilidad",(K97-(+K97*V100)),IF(S100="Impacto",K97,"")),"")</f>
        <v/>
      </c>
      <c r="AA100" s="166" t="str">
        <f t="shared" si="37"/>
        <v/>
      </c>
      <c r="AB100" s="167" t="str">
        <f t="shared" si="38"/>
        <v/>
      </c>
      <c r="AC100" s="166" t="str">
        <f t="shared" si="39"/>
        <v/>
      </c>
      <c r="AD100" s="167" t="str">
        <f t="shared" si="40"/>
        <v/>
      </c>
      <c r="AE100" s="168" t="str">
        <f t="shared" si="41"/>
        <v/>
      </c>
      <c r="AF100" s="113"/>
      <c r="AG100" s="191"/>
      <c r="AH100" s="192"/>
      <c r="AI100" s="114"/>
      <c r="AJ100" s="114"/>
      <c r="AK100" s="191"/>
      <c r="AL100" s="192"/>
      <c r="AM100" s="155"/>
      <c r="AN100" s="155"/>
      <c r="AO100" s="155"/>
      <c r="AP100" s="155"/>
      <c r="AQ100" s="155"/>
      <c r="AR100" s="155"/>
      <c r="AS100" s="155"/>
      <c r="AT100" s="155"/>
      <c r="AU100" s="155"/>
      <c r="AV100" s="155"/>
      <c r="AW100" s="155"/>
      <c r="AX100" s="155"/>
      <c r="AY100" s="155"/>
      <c r="AZ100" s="155"/>
      <c r="BA100" s="155"/>
      <c r="BB100" s="155"/>
      <c r="BC100" s="155"/>
      <c r="BD100" s="155"/>
      <c r="BE100" s="155"/>
      <c r="BF100" s="155"/>
      <c r="BG100" s="155"/>
      <c r="BH100" s="155"/>
      <c r="BI100" s="155"/>
      <c r="BJ100" s="155"/>
      <c r="BK100" s="155"/>
      <c r="BL100" s="155"/>
      <c r="BM100" s="155"/>
      <c r="BN100" s="155"/>
      <c r="BO100" s="155"/>
      <c r="BP100" s="155"/>
      <c r="BQ100" s="155"/>
      <c r="BR100" s="155"/>
    </row>
    <row r="101" spans="1:70" s="156" customFormat="1" ht="16.5" hidden="1" customHeight="1" x14ac:dyDescent="0.25">
      <c r="A101" s="266"/>
      <c r="B101" s="268"/>
      <c r="C101" s="268"/>
      <c r="D101" s="271"/>
      <c r="E101" s="271"/>
      <c r="F101" s="271"/>
      <c r="G101" s="363"/>
      <c r="H101" s="271"/>
      <c r="I101" s="266"/>
      <c r="J101" s="276"/>
      <c r="K101" s="278"/>
      <c r="L101" s="274"/>
      <c r="M101" s="278">
        <f ca="1">IF(NOT(ISERROR(MATCH(L101,_xlfn.ANCHORARRAY(G112),0))),K114&amp;"Por favor no seleccionar los criterios de impacto",L101)</f>
        <v>0</v>
      </c>
      <c r="N101" s="276"/>
      <c r="O101" s="278"/>
      <c r="P101" s="280"/>
      <c r="Q101" s="201">
        <v>5</v>
      </c>
      <c r="R101" s="112"/>
      <c r="S101" s="201" t="str">
        <f t="shared" si="42"/>
        <v/>
      </c>
      <c r="T101" s="113"/>
      <c r="U101" s="113"/>
      <c r="V101" s="167" t="str">
        <f t="shared" si="43"/>
        <v/>
      </c>
      <c r="W101" s="113"/>
      <c r="X101" s="113"/>
      <c r="Y101" s="113"/>
      <c r="Z101" s="165" t="str">
        <f>IFERROR(IF(S101="Probabilidad",(K97-(+K97*V101)),IF(S101="Impacto",K97,"")),"")</f>
        <v/>
      </c>
      <c r="AA101" s="166" t="str">
        <f t="shared" si="37"/>
        <v/>
      </c>
      <c r="AB101" s="167" t="str">
        <f t="shared" si="38"/>
        <v/>
      </c>
      <c r="AC101" s="166" t="str">
        <f t="shared" si="39"/>
        <v/>
      </c>
      <c r="AD101" s="167" t="str">
        <f t="shared" si="40"/>
        <v/>
      </c>
      <c r="AE101" s="168" t="str">
        <f t="shared" si="41"/>
        <v/>
      </c>
      <c r="AF101" s="113"/>
      <c r="AG101" s="191"/>
      <c r="AH101" s="192"/>
      <c r="AI101" s="114"/>
      <c r="AJ101" s="114"/>
      <c r="AK101" s="191"/>
      <c r="AL101" s="192"/>
      <c r="AM101" s="155"/>
      <c r="AN101" s="155"/>
      <c r="AO101" s="155"/>
      <c r="AP101" s="155"/>
      <c r="AQ101" s="155"/>
      <c r="AR101" s="155"/>
      <c r="AS101" s="155"/>
      <c r="AT101" s="155"/>
      <c r="AU101" s="155"/>
      <c r="AV101" s="155"/>
      <c r="AW101" s="155"/>
      <c r="AX101" s="155"/>
      <c r="AY101" s="155"/>
      <c r="AZ101" s="155"/>
      <c r="BA101" s="155"/>
      <c r="BB101" s="155"/>
      <c r="BC101" s="155"/>
      <c r="BD101" s="155"/>
      <c r="BE101" s="155"/>
      <c r="BF101" s="155"/>
      <c r="BG101" s="155"/>
      <c r="BH101" s="155"/>
      <c r="BI101" s="155"/>
      <c r="BJ101" s="155"/>
      <c r="BK101" s="155"/>
      <c r="BL101" s="155"/>
      <c r="BM101" s="155"/>
      <c r="BN101" s="155"/>
      <c r="BO101" s="155"/>
      <c r="BP101" s="155"/>
      <c r="BQ101" s="155"/>
      <c r="BR101" s="155"/>
    </row>
    <row r="102" spans="1:70" s="156" customFormat="1" ht="16.5" hidden="1" customHeight="1" x14ac:dyDescent="0.25">
      <c r="A102" s="266"/>
      <c r="B102" s="269"/>
      <c r="C102" s="269"/>
      <c r="D102" s="271"/>
      <c r="E102" s="271"/>
      <c r="F102" s="271"/>
      <c r="G102" s="363"/>
      <c r="H102" s="271"/>
      <c r="I102" s="266"/>
      <c r="J102" s="276"/>
      <c r="K102" s="278"/>
      <c r="L102" s="274"/>
      <c r="M102" s="278">
        <f ca="1">IF(NOT(ISERROR(MATCH(L102,_xlfn.ANCHORARRAY(G113),0))),K115&amp;"Por favor no seleccionar los criterios de impacto",L102)</f>
        <v>0</v>
      </c>
      <c r="N102" s="276"/>
      <c r="O102" s="278"/>
      <c r="P102" s="280"/>
      <c r="Q102" s="201">
        <v>6</v>
      </c>
      <c r="R102" s="112"/>
      <c r="S102" s="201" t="str">
        <f t="shared" si="42"/>
        <v/>
      </c>
      <c r="T102" s="113"/>
      <c r="U102" s="113"/>
      <c r="V102" s="167" t="str">
        <f t="shared" si="43"/>
        <v/>
      </c>
      <c r="W102" s="113"/>
      <c r="X102" s="113"/>
      <c r="Y102" s="113"/>
      <c r="Z102" s="165" t="str">
        <f>IFERROR(IF(S102="Probabilidad",(K97-(+K97*V102)),IF(S102="Impacto",K97,"")),"")</f>
        <v/>
      </c>
      <c r="AA102" s="166" t="str">
        <f t="shared" si="37"/>
        <v/>
      </c>
      <c r="AB102" s="167" t="str">
        <f t="shared" si="38"/>
        <v/>
      </c>
      <c r="AC102" s="166" t="str">
        <f t="shared" si="39"/>
        <v/>
      </c>
      <c r="AD102" s="167" t="str">
        <f t="shared" si="40"/>
        <v/>
      </c>
      <c r="AE102" s="168" t="str">
        <f t="shared" si="41"/>
        <v/>
      </c>
      <c r="AF102" s="113"/>
      <c r="AG102" s="191"/>
      <c r="AH102" s="192"/>
      <c r="AI102" s="114"/>
      <c r="AJ102" s="114"/>
      <c r="AK102" s="191"/>
      <c r="AL102" s="192"/>
      <c r="AM102" s="155"/>
      <c r="AN102" s="155"/>
      <c r="AO102" s="155"/>
      <c r="AP102" s="155"/>
      <c r="AQ102" s="155"/>
      <c r="AR102" s="155"/>
      <c r="AS102" s="155"/>
      <c r="AT102" s="155"/>
      <c r="AU102" s="155"/>
      <c r="AV102" s="155"/>
      <c r="AW102" s="155"/>
      <c r="AX102" s="155"/>
      <c r="AY102" s="155"/>
      <c r="AZ102" s="155"/>
      <c r="BA102" s="155"/>
      <c r="BB102" s="155"/>
      <c r="BC102" s="155"/>
      <c r="BD102" s="155"/>
      <c r="BE102" s="155"/>
      <c r="BF102" s="155"/>
      <c r="BG102" s="155"/>
      <c r="BH102" s="155"/>
      <c r="BI102" s="155"/>
      <c r="BJ102" s="155"/>
      <c r="BK102" s="155"/>
      <c r="BL102" s="155"/>
      <c r="BM102" s="155"/>
      <c r="BN102" s="155"/>
      <c r="BO102" s="155"/>
      <c r="BP102" s="155"/>
      <c r="BQ102" s="155"/>
      <c r="BR102" s="155"/>
    </row>
    <row r="103" spans="1:70" s="156" customFormat="1" ht="109.5" customHeight="1" x14ac:dyDescent="0.25">
      <c r="A103" s="266">
        <v>16</v>
      </c>
      <c r="B103" s="267" t="s">
        <v>211</v>
      </c>
      <c r="C103" s="267" t="s">
        <v>538</v>
      </c>
      <c r="D103" s="270" t="s">
        <v>130</v>
      </c>
      <c r="E103" s="270" t="s">
        <v>542</v>
      </c>
      <c r="F103" s="270" t="s">
        <v>543</v>
      </c>
      <c r="G103" s="362" t="s">
        <v>544</v>
      </c>
      <c r="H103" s="270" t="s">
        <v>437</v>
      </c>
      <c r="I103" s="281">
        <v>5001</v>
      </c>
      <c r="J103" s="275" t="str">
        <f>IF(I103&lt;=0,"",IF(I103&lt;=2,"Muy Baja",IF(I103&lt;=24,"Baja",IF(I103&lt;=500,"Media",IF(I103&lt;=5000,"Alta","Muy Alta")))))</f>
        <v>Muy Alta</v>
      </c>
      <c r="K103" s="277">
        <f>IF(J103="","",IF(J103="Muy Baja",0.2,IF(J103="Baja",0.4,IF(J103="Media",0.6,IF(J103="Alta",0.8,IF(J103="Muy Alta",1,))))))</f>
        <v>1</v>
      </c>
      <c r="L103" s="273" t="s">
        <v>98</v>
      </c>
      <c r="M103" s="277" t="str">
        <f>IF(NOT(ISERROR(MATCH(L103,'[4]Tabla Impacto'!$B$221:$B$223,0))),'[4]Tabla Impacto'!$F$223&amp;"Por favor no seleccionar los criterios de impacto(Afectación Económica o presupuestal y Pérdida Reputacional)",L103)</f>
        <v>El riesgo afecta la imagen de la entidad con algunos usuarios de relevancia frente al logro de los objetivos</v>
      </c>
      <c r="N103" s="275" t="str">
        <f>+IF(OR(M103='[4]Tabla Impacto'!$C$11,M103='[4]Tabla Impacto'!$D$11),"Leve",IF(OR(M103='[4]Tabla Impacto'!$C$12,M103='[4]Tabla Impacto'!$D$12),"Menor",IF(OR(M103='[4]Tabla Impacto'!$C$13,M103='[4]Tabla Impacto'!$D$13),"Moderado",IF(OR(M103='[4]Tabla Impacto'!$C$14,M103='[4]Tabla Impacto'!$D$14),"Mayor",IF(OR(M103='[4]Tabla Impacto'!$C$15,M103='[4]Tabla Impacto'!$D$15),"Catastrófico","")))))</f>
        <v>Moderado</v>
      </c>
      <c r="O103" s="277">
        <f>IF(N103="","",IF(N103="Leve",0.2,IF(N103="Menor",0.4,IF(N103="Moderado",0.6,IF(N103="Mayor",0.8,IF(N103="Catastrófico",1,))))))</f>
        <v>0.6</v>
      </c>
      <c r="P103" s="279" t="str">
        <f>IF(OR(AND(J103="Muy Baja",N103="Leve"),AND(J103="Muy Baja",N103="Menor"),AND(J103="Baja",N103="Leve")),"Bajo",IF(OR(AND(J103="Muy baja",N103="Moderado"),AND(J103="Baja",N103="Menor"),AND(J103="Baja",N103="Moderado"),AND(J103="Media",N103="Leve"),AND(J103="Media",N103="Menor"),AND(J103="Media",N103="Moderado"),AND(J103="Alta",N103="Leve"),AND(J103="Alta",N103="Menor")),"Moderado",IF(OR(AND(J103="Muy Baja",N103="Mayor"),AND(J103="Baja",N103="Mayor"),AND(J103="Media",N103="Mayor"),AND(J103="Alta",N103="Moderado"),AND(J103="Alta",N103="Mayor"),AND(J103="Muy Alta",N103="Leve"),AND(J103="Muy Alta",N103="Menor"),AND(J103="Muy Alta",N103="Moderado"),AND(J103="Muy Alta",N103="Mayor")),"Alto",IF(OR(AND(J103="Muy Baja",N103="Catastrófico"),AND(J103="Baja",N103="Catastrófico"),AND(J103="Media",N103="Catastrófico"),AND(J103="Alta",N103="Catastrófico"),AND(J103="Muy Alta",N103="Catastrófico")),"Extremo",""))))</f>
        <v>Alto</v>
      </c>
      <c r="Q103" s="201">
        <v>1</v>
      </c>
      <c r="R103" s="112" t="s">
        <v>547</v>
      </c>
      <c r="S103" s="201" t="str">
        <f t="shared" si="42"/>
        <v>Probabilidad</v>
      </c>
      <c r="T103" s="113" t="s">
        <v>14</v>
      </c>
      <c r="U103" s="113" t="s">
        <v>9</v>
      </c>
      <c r="V103" s="167" t="str">
        <f t="shared" si="43"/>
        <v>40%</v>
      </c>
      <c r="W103" s="113" t="s">
        <v>20</v>
      </c>
      <c r="X103" s="113" t="s">
        <v>22</v>
      </c>
      <c r="Y103" s="113" t="s">
        <v>117</v>
      </c>
      <c r="Z103" s="165">
        <f t="shared" si="44"/>
        <v>0.6</v>
      </c>
      <c r="AA103" s="166" t="str">
        <f t="shared" si="37"/>
        <v>Media</v>
      </c>
      <c r="AB103" s="167">
        <f t="shared" si="38"/>
        <v>0.6</v>
      </c>
      <c r="AC103" s="166" t="str">
        <f t="shared" si="39"/>
        <v>Moderado</v>
      </c>
      <c r="AD103" s="167">
        <f>IFERROR(IF(S103="Impacto",(O103-(+O103*V103)),IF(S103="Probabilidad",O103,"")),"")</f>
        <v>0.6</v>
      </c>
      <c r="AE103" s="168" t="str">
        <f t="shared" si="41"/>
        <v>Moderado</v>
      </c>
      <c r="AF103" s="113" t="s">
        <v>31</v>
      </c>
      <c r="AG103" s="191"/>
      <c r="AH103" s="192"/>
      <c r="AI103" s="114"/>
      <c r="AJ103" s="114"/>
      <c r="AK103" s="191"/>
      <c r="AL103" s="192"/>
      <c r="AM103" s="155"/>
      <c r="AN103" s="155"/>
      <c r="AO103" s="155"/>
      <c r="AP103" s="155"/>
      <c r="AQ103" s="155"/>
      <c r="AR103" s="155"/>
      <c r="AS103" s="155"/>
      <c r="AT103" s="155"/>
      <c r="AU103" s="155"/>
      <c r="AV103" s="155"/>
      <c r="AW103" s="155"/>
      <c r="AX103" s="155"/>
      <c r="AY103" s="155"/>
      <c r="AZ103" s="155"/>
      <c r="BA103" s="155"/>
      <c r="BB103" s="155"/>
      <c r="BC103" s="155"/>
      <c r="BD103" s="155"/>
      <c r="BE103" s="155"/>
      <c r="BF103" s="155"/>
      <c r="BG103" s="155"/>
      <c r="BH103" s="155"/>
      <c r="BI103" s="155"/>
      <c r="BJ103" s="155"/>
      <c r="BK103" s="155"/>
      <c r="BL103" s="155"/>
      <c r="BM103" s="155"/>
      <c r="BN103" s="155"/>
      <c r="BO103" s="155"/>
      <c r="BP103" s="155"/>
      <c r="BQ103" s="155"/>
      <c r="BR103" s="155"/>
    </row>
    <row r="104" spans="1:70" s="156" customFormat="1" ht="16.5" hidden="1" customHeight="1" x14ac:dyDescent="0.25">
      <c r="A104" s="266"/>
      <c r="B104" s="268"/>
      <c r="C104" s="268"/>
      <c r="D104" s="271"/>
      <c r="E104" s="271"/>
      <c r="F104" s="271"/>
      <c r="G104" s="363"/>
      <c r="H104" s="271"/>
      <c r="I104" s="266"/>
      <c r="J104" s="276"/>
      <c r="K104" s="278"/>
      <c r="L104" s="274"/>
      <c r="M104" s="278">
        <f ca="1">IF(NOT(ISERROR(MATCH(L104,_xlfn.ANCHORARRAY(G115),0))),K117&amp;"Por favor no seleccionar los criterios de impacto",L104)</f>
        <v>0</v>
      </c>
      <c r="N104" s="276"/>
      <c r="O104" s="278"/>
      <c r="P104" s="280"/>
      <c r="Q104" s="201">
        <v>2</v>
      </c>
      <c r="R104" s="112"/>
      <c r="S104" s="201" t="str">
        <f t="shared" si="42"/>
        <v/>
      </c>
      <c r="T104" s="113"/>
      <c r="U104" s="113"/>
      <c r="V104" s="167" t="str">
        <f t="shared" si="43"/>
        <v/>
      </c>
      <c r="W104" s="113"/>
      <c r="X104" s="113"/>
      <c r="Y104" s="113"/>
      <c r="Z104" s="165" t="str">
        <f>IFERROR(IF(S104="Probabilidad",(K103-(+K103*V104)),IF(S104="Impacto",K103,"")),"")</f>
        <v/>
      </c>
      <c r="AA104" s="166" t="str">
        <f t="shared" si="37"/>
        <v/>
      </c>
      <c r="AB104" s="167" t="str">
        <f t="shared" si="38"/>
        <v/>
      </c>
      <c r="AC104" s="166" t="str">
        <f t="shared" si="39"/>
        <v/>
      </c>
      <c r="AD104" s="167" t="str">
        <f t="shared" si="40"/>
        <v/>
      </c>
      <c r="AE104" s="168" t="str">
        <f t="shared" si="41"/>
        <v/>
      </c>
      <c r="AF104" s="113"/>
      <c r="AG104" s="191"/>
      <c r="AH104" s="192"/>
      <c r="AI104" s="114"/>
      <c r="AJ104" s="114"/>
      <c r="AK104" s="191"/>
      <c r="AL104" s="192"/>
      <c r="AM104" s="155"/>
      <c r="AN104" s="155"/>
      <c r="AO104" s="155"/>
      <c r="AP104" s="155"/>
      <c r="AQ104" s="155"/>
      <c r="AR104" s="155"/>
      <c r="AS104" s="155"/>
      <c r="AT104" s="155"/>
      <c r="AU104" s="155"/>
      <c r="AV104" s="155"/>
      <c r="AW104" s="155"/>
      <c r="AX104" s="155"/>
      <c r="AY104" s="155"/>
      <c r="AZ104" s="155"/>
      <c r="BA104" s="155"/>
      <c r="BB104" s="155"/>
      <c r="BC104" s="155"/>
      <c r="BD104" s="155"/>
      <c r="BE104" s="155"/>
      <c r="BF104" s="155"/>
      <c r="BG104" s="155"/>
      <c r="BH104" s="155"/>
      <c r="BI104" s="155"/>
      <c r="BJ104" s="155"/>
      <c r="BK104" s="155"/>
      <c r="BL104" s="155"/>
      <c r="BM104" s="155"/>
      <c r="BN104" s="155"/>
      <c r="BO104" s="155"/>
      <c r="BP104" s="155"/>
      <c r="BQ104" s="155"/>
      <c r="BR104" s="155"/>
    </row>
    <row r="105" spans="1:70" s="156" customFormat="1" ht="16.5" hidden="1" customHeight="1" x14ac:dyDescent="0.25">
      <c r="A105" s="266"/>
      <c r="B105" s="268"/>
      <c r="C105" s="268"/>
      <c r="D105" s="271"/>
      <c r="E105" s="271"/>
      <c r="F105" s="271"/>
      <c r="G105" s="363"/>
      <c r="H105" s="271"/>
      <c r="I105" s="266"/>
      <c r="J105" s="276"/>
      <c r="K105" s="278"/>
      <c r="L105" s="274"/>
      <c r="M105" s="278">
        <f ca="1">IF(NOT(ISERROR(MATCH(L105,_xlfn.ANCHORARRAY(G116),0))),K118&amp;"Por favor no seleccionar los criterios de impacto",L105)</f>
        <v>0</v>
      </c>
      <c r="N105" s="276"/>
      <c r="O105" s="278"/>
      <c r="P105" s="280"/>
      <c r="Q105" s="201">
        <v>3</v>
      </c>
      <c r="R105" s="112"/>
      <c r="S105" s="201" t="str">
        <f t="shared" si="42"/>
        <v/>
      </c>
      <c r="T105" s="113"/>
      <c r="U105" s="113"/>
      <c r="V105" s="167" t="str">
        <f t="shared" si="43"/>
        <v/>
      </c>
      <c r="W105" s="113"/>
      <c r="X105" s="113"/>
      <c r="Y105" s="113"/>
      <c r="Z105" s="165" t="str">
        <f>IFERROR(IF(S105="Probabilidad",(K103-(+K103*V105)),IF(S105="Impacto",K103,"")),"")</f>
        <v/>
      </c>
      <c r="AA105" s="166" t="str">
        <f t="shared" si="37"/>
        <v/>
      </c>
      <c r="AB105" s="167" t="str">
        <f t="shared" si="38"/>
        <v/>
      </c>
      <c r="AC105" s="166" t="str">
        <f t="shared" si="39"/>
        <v/>
      </c>
      <c r="AD105" s="167" t="str">
        <f t="shared" si="40"/>
        <v/>
      </c>
      <c r="AE105" s="168" t="str">
        <f t="shared" si="41"/>
        <v/>
      </c>
      <c r="AF105" s="113"/>
      <c r="AG105" s="191"/>
      <c r="AH105" s="192"/>
      <c r="AI105" s="114"/>
      <c r="AJ105" s="114"/>
      <c r="AK105" s="191"/>
      <c r="AL105" s="192"/>
      <c r="AM105" s="155"/>
      <c r="AN105" s="155"/>
      <c r="AO105" s="155"/>
      <c r="AP105" s="155"/>
      <c r="AQ105" s="155"/>
      <c r="AR105" s="155"/>
      <c r="AS105" s="155"/>
      <c r="AT105" s="155"/>
      <c r="AU105" s="155"/>
      <c r="AV105" s="155"/>
      <c r="AW105" s="155"/>
      <c r="AX105" s="155"/>
      <c r="AY105" s="155"/>
      <c r="AZ105" s="155"/>
      <c r="BA105" s="155"/>
      <c r="BB105" s="155"/>
      <c r="BC105" s="155"/>
      <c r="BD105" s="155"/>
      <c r="BE105" s="155"/>
      <c r="BF105" s="155"/>
      <c r="BG105" s="155"/>
      <c r="BH105" s="155"/>
      <c r="BI105" s="155"/>
      <c r="BJ105" s="155"/>
      <c r="BK105" s="155"/>
      <c r="BL105" s="155"/>
      <c r="BM105" s="155"/>
      <c r="BN105" s="155"/>
      <c r="BO105" s="155"/>
      <c r="BP105" s="155"/>
      <c r="BQ105" s="155"/>
      <c r="BR105" s="155"/>
    </row>
    <row r="106" spans="1:70" s="156" customFormat="1" ht="16.5" hidden="1" customHeight="1" x14ac:dyDescent="0.25">
      <c r="A106" s="266"/>
      <c r="B106" s="268"/>
      <c r="C106" s="268"/>
      <c r="D106" s="271"/>
      <c r="E106" s="271"/>
      <c r="F106" s="271"/>
      <c r="G106" s="363"/>
      <c r="H106" s="271"/>
      <c r="I106" s="266"/>
      <c r="J106" s="276"/>
      <c r="K106" s="278"/>
      <c r="L106" s="274"/>
      <c r="M106" s="278">
        <f ca="1">IF(NOT(ISERROR(MATCH(L106,_xlfn.ANCHORARRAY(G117),0))),K119&amp;"Por favor no seleccionar los criterios de impacto",L106)</f>
        <v>0</v>
      </c>
      <c r="N106" s="276"/>
      <c r="O106" s="278"/>
      <c r="P106" s="280"/>
      <c r="Q106" s="201">
        <v>4</v>
      </c>
      <c r="R106" s="112"/>
      <c r="S106" s="201" t="str">
        <f t="shared" si="42"/>
        <v/>
      </c>
      <c r="T106" s="113"/>
      <c r="U106" s="113"/>
      <c r="V106" s="167" t="str">
        <f t="shared" si="43"/>
        <v/>
      </c>
      <c r="W106" s="113"/>
      <c r="X106" s="113"/>
      <c r="Y106" s="113"/>
      <c r="Z106" s="165" t="str">
        <f>IFERROR(IF(S106="Probabilidad",(K103-(+K103*V106)),IF(S106="Impacto",K103,"")),"")</f>
        <v/>
      </c>
      <c r="AA106" s="166" t="str">
        <f t="shared" si="37"/>
        <v/>
      </c>
      <c r="AB106" s="167" t="str">
        <f t="shared" si="38"/>
        <v/>
      </c>
      <c r="AC106" s="166" t="str">
        <f t="shared" si="39"/>
        <v/>
      </c>
      <c r="AD106" s="167" t="str">
        <f t="shared" si="40"/>
        <v/>
      </c>
      <c r="AE106" s="168" t="str">
        <f t="shared" si="41"/>
        <v/>
      </c>
      <c r="AF106" s="113"/>
      <c r="AG106" s="191"/>
      <c r="AH106" s="192"/>
      <c r="AI106" s="114"/>
      <c r="AJ106" s="114"/>
      <c r="AK106" s="191"/>
      <c r="AL106" s="192"/>
      <c r="AM106" s="155"/>
      <c r="AN106" s="155"/>
      <c r="AO106" s="155"/>
      <c r="AP106" s="155"/>
      <c r="AQ106" s="155"/>
      <c r="AR106" s="155"/>
      <c r="AS106" s="155"/>
      <c r="AT106" s="155"/>
      <c r="AU106" s="155"/>
      <c r="AV106" s="155"/>
      <c r="AW106" s="155"/>
      <c r="AX106" s="155"/>
      <c r="AY106" s="155"/>
      <c r="AZ106" s="155"/>
      <c r="BA106" s="155"/>
      <c r="BB106" s="155"/>
      <c r="BC106" s="155"/>
      <c r="BD106" s="155"/>
      <c r="BE106" s="155"/>
      <c r="BF106" s="155"/>
      <c r="BG106" s="155"/>
      <c r="BH106" s="155"/>
      <c r="BI106" s="155"/>
      <c r="BJ106" s="155"/>
      <c r="BK106" s="155"/>
      <c r="BL106" s="155"/>
      <c r="BM106" s="155"/>
      <c r="BN106" s="155"/>
      <c r="BO106" s="155"/>
      <c r="BP106" s="155"/>
      <c r="BQ106" s="155"/>
      <c r="BR106" s="155"/>
    </row>
    <row r="107" spans="1:70" s="156" customFormat="1" ht="16.5" hidden="1" customHeight="1" x14ac:dyDescent="0.25">
      <c r="A107" s="266"/>
      <c r="B107" s="268"/>
      <c r="C107" s="268"/>
      <c r="D107" s="271"/>
      <c r="E107" s="271"/>
      <c r="F107" s="271"/>
      <c r="G107" s="363"/>
      <c r="H107" s="271"/>
      <c r="I107" s="266"/>
      <c r="J107" s="276"/>
      <c r="K107" s="278"/>
      <c r="L107" s="274"/>
      <c r="M107" s="278">
        <f ca="1">IF(NOT(ISERROR(MATCH(L107,_xlfn.ANCHORARRAY(G118),0))),K120&amp;"Por favor no seleccionar los criterios de impacto",L107)</f>
        <v>0</v>
      </c>
      <c r="N107" s="276"/>
      <c r="O107" s="278"/>
      <c r="P107" s="280"/>
      <c r="Q107" s="201">
        <v>5</v>
      </c>
      <c r="R107" s="112"/>
      <c r="S107" s="201" t="str">
        <f t="shared" si="42"/>
        <v/>
      </c>
      <c r="T107" s="113"/>
      <c r="U107" s="113"/>
      <c r="V107" s="167" t="str">
        <f t="shared" si="43"/>
        <v/>
      </c>
      <c r="W107" s="113"/>
      <c r="X107" s="113"/>
      <c r="Y107" s="113"/>
      <c r="Z107" s="165" t="str">
        <f>IFERROR(IF(S107="Probabilidad",(K103-(+K103*V107)),IF(S107="Impacto",K103,"")),"")</f>
        <v/>
      </c>
      <c r="AA107" s="166" t="str">
        <f t="shared" si="37"/>
        <v/>
      </c>
      <c r="AB107" s="167" t="str">
        <f t="shared" si="38"/>
        <v/>
      </c>
      <c r="AC107" s="166" t="str">
        <f t="shared" si="39"/>
        <v/>
      </c>
      <c r="AD107" s="167" t="str">
        <f t="shared" si="40"/>
        <v/>
      </c>
      <c r="AE107" s="168" t="str">
        <f t="shared" si="41"/>
        <v/>
      </c>
      <c r="AF107" s="113"/>
      <c r="AG107" s="191"/>
      <c r="AH107" s="192"/>
      <c r="AI107" s="114"/>
      <c r="AJ107" s="114"/>
      <c r="AK107" s="191"/>
      <c r="AL107" s="192"/>
      <c r="AM107" s="155"/>
      <c r="AN107" s="155"/>
      <c r="AO107" s="155"/>
      <c r="AP107" s="155"/>
      <c r="AQ107" s="155"/>
      <c r="AR107" s="155"/>
      <c r="AS107" s="155"/>
      <c r="AT107" s="155"/>
      <c r="AU107" s="155"/>
      <c r="AV107" s="155"/>
      <c r="AW107" s="155"/>
      <c r="AX107" s="155"/>
      <c r="AY107" s="155"/>
      <c r="AZ107" s="155"/>
      <c r="BA107" s="155"/>
      <c r="BB107" s="155"/>
      <c r="BC107" s="155"/>
      <c r="BD107" s="155"/>
      <c r="BE107" s="155"/>
      <c r="BF107" s="155"/>
      <c r="BG107" s="155"/>
      <c r="BH107" s="155"/>
      <c r="BI107" s="155"/>
      <c r="BJ107" s="155"/>
      <c r="BK107" s="155"/>
      <c r="BL107" s="155"/>
      <c r="BM107" s="155"/>
      <c r="BN107" s="155"/>
      <c r="BO107" s="155"/>
      <c r="BP107" s="155"/>
      <c r="BQ107" s="155"/>
      <c r="BR107" s="155"/>
    </row>
    <row r="108" spans="1:70" s="156" customFormat="1" ht="16.5" hidden="1" customHeight="1" x14ac:dyDescent="0.25">
      <c r="A108" s="266"/>
      <c r="B108" s="269"/>
      <c r="C108" s="269"/>
      <c r="D108" s="271"/>
      <c r="E108" s="271"/>
      <c r="F108" s="271"/>
      <c r="G108" s="363"/>
      <c r="H108" s="271"/>
      <c r="I108" s="266"/>
      <c r="J108" s="276"/>
      <c r="K108" s="278"/>
      <c r="L108" s="274"/>
      <c r="M108" s="278">
        <f ca="1">IF(NOT(ISERROR(MATCH(L108,_xlfn.ANCHORARRAY(G119),0))),K121&amp;"Por favor no seleccionar los criterios de impacto",L108)</f>
        <v>0</v>
      </c>
      <c r="N108" s="276"/>
      <c r="O108" s="278"/>
      <c r="P108" s="280"/>
      <c r="Q108" s="201">
        <v>6</v>
      </c>
      <c r="R108" s="112"/>
      <c r="S108" s="201" t="str">
        <f t="shared" si="42"/>
        <v/>
      </c>
      <c r="T108" s="113"/>
      <c r="U108" s="113"/>
      <c r="V108" s="167" t="str">
        <f t="shared" si="43"/>
        <v/>
      </c>
      <c r="W108" s="113"/>
      <c r="X108" s="113"/>
      <c r="Y108" s="113"/>
      <c r="Z108" s="165" t="str">
        <f>IFERROR(IF(S108="Probabilidad",(K103-(+K103*V108)),IF(S108="Impacto",K103,"")),"")</f>
        <v/>
      </c>
      <c r="AA108" s="166" t="str">
        <f t="shared" si="37"/>
        <v/>
      </c>
      <c r="AB108" s="167" t="str">
        <f t="shared" si="38"/>
        <v/>
      </c>
      <c r="AC108" s="166" t="str">
        <f t="shared" si="39"/>
        <v/>
      </c>
      <c r="AD108" s="167" t="str">
        <f t="shared" si="40"/>
        <v/>
      </c>
      <c r="AE108" s="168" t="str">
        <f t="shared" si="41"/>
        <v/>
      </c>
      <c r="AF108" s="113"/>
      <c r="AG108" s="191"/>
      <c r="AH108" s="192"/>
      <c r="AI108" s="114"/>
      <c r="AJ108" s="114"/>
      <c r="AK108" s="191"/>
      <c r="AL108" s="192"/>
      <c r="AM108" s="155"/>
      <c r="AN108" s="155"/>
      <c r="AO108" s="155"/>
      <c r="AP108" s="155"/>
      <c r="AQ108" s="155"/>
      <c r="AR108" s="155"/>
      <c r="AS108" s="155"/>
      <c r="AT108" s="155"/>
      <c r="AU108" s="155"/>
      <c r="AV108" s="155"/>
      <c r="AW108" s="155"/>
      <c r="AX108" s="155"/>
      <c r="AY108" s="155"/>
      <c r="AZ108" s="155"/>
      <c r="BA108" s="155"/>
      <c r="BB108" s="155"/>
      <c r="BC108" s="155"/>
      <c r="BD108" s="155"/>
      <c r="BE108" s="155"/>
      <c r="BF108" s="155"/>
      <c r="BG108" s="155"/>
      <c r="BH108" s="155"/>
      <c r="BI108" s="155"/>
      <c r="BJ108" s="155"/>
      <c r="BK108" s="155"/>
      <c r="BL108" s="155"/>
      <c r="BM108" s="155"/>
      <c r="BN108" s="155"/>
      <c r="BO108" s="155"/>
      <c r="BP108" s="155"/>
      <c r="BQ108" s="155"/>
      <c r="BR108" s="155"/>
    </row>
    <row r="109" spans="1:70" s="156" customFormat="1" ht="92.25" customHeight="1" x14ac:dyDescent="0.25">
      <c r="A109" s="266">
        <v>17</v>
      </c>
      <c r="B109" s="267" t="s">
        <v>212</v>
      </c>
      <c r="C109" s="267" t="s">
        <v>548</v>
      </c>
      <c r="D109" s="270" t="s">
        <v>131</v>
      </c>
      <c r="E109" s="270" t="s">
        <v>549</v>
      </c>
      <c r="F109" s="270" t="s">
        <v>550</v>
      </c>
      <c r="G109" s="362" t="s">
        <v>551</v>
      </c>
      <c r="H109" s="364" t="s">
        <v>123</v>
      </c>
      <c r="I109" s="281">
        <v>5000</v>
      </c>
      <c r="J109" s="275" t="str">
        <f>IF(I109&lt;=0,"",IF(I109&lt;=2,"Muy Baja",IF(I109&lt;=24,"Baja",IF(I109&lt;=500,"Media",IF(I109&lt;=5000,"Alta","Muy Alta")))))</f>
        <v>Alta</v>
      </c>
      <c r="K109" s="277">
        <f>IF(J109="","",IF(J109="Muy Baja",0.2,IF(J109="Baja",0.4,IF(J109="Media",0.6,IF(J109="Alta",0.8,IF(J109="Muy Alta",1,))))))</f>
        <v>0.8</v>
      </c>
      <c r="L109" s="273" t="s">
        <v>91</v>
      </c>
      <c r="M109" s="277" t="str">
        <f>IF(NOT(ISERROR(MATCH(L109,'[5]Tabla Impacto'!$B$221:$B$223,0))),'[5]Tabla Impacto'!$F$223&amp;"Por favor no seleccionar los criterios de impacto(Afectación Económica o presupuestal y Pérdida Reputacional)",L109)</f>
        <v xml:space="preserve">Entre 10 y 50 SMLMV </v>
      </c>
      <c r="N109" s="275" t="str">
        <f>+IF(OR(M109='[5]Tabla Impacto'!$C$11,M109='[5]Tabla Impacto'!$D$11),"Leve",IF(OR(M109='[5]Tabla Impacto'!$C$12,M109='[5]Tabla Impacto'!$D$12),"Menor",IF(OR(M109='[5]Tabla Impacto'!$C$13,M109='[5]Tabla Impacto'!$D$13),"Moderado",IF(OR(M109='[5]Tabla Impacto'!$C$14,M109='[5]Tabla Impacto'!$D$14),"Mayor",IF(OR(M109='[5]Tabla Impacto'!$C$15,M109='[5]Tabla Impacto'!$D$15),"Catastrófico","")))))</f>
        <v>Menor</v>
      </c>
      <c r="O109" s="277">
        <f>IF(N109="","",IF(N109="Leve",0.2,IF(N109="Menor",0.4,IF(N109="Moderado",0.6,IF(N109="Mayor",0.8,IF(N109="Catastrófico",1,))))))</f>
        <v>0.4</v>
      </c>
      <c r="P109" s="279" t="str">
        <f>IF(OR(AND(J109="Muy Baja",N109="Leve"),AND(J109="Muy Baja",N109="Menor"),AND(J109="Baja",N109="Leve")),"Bajo",IF(OR(AND(J109="Muy baja",N109="Moderado"),AND(J109="Baja",N109="Menor"),AND(J109="Baja",N109="Moderado"),AND(J109="Media",N109="Leve"),AND(J109="Media",N109="Menor"),AND(J109="Media",N109="Moderado"),AND(J109="Alta",N109="Leve"),AND(J109="Alta",N109="Menor")),"Moderado",IF(OR(AND(J109="Muy Baja",N109="Mayor"),AND(J109="Baja",N109="Mayor"),AND(J109="Media",N109="Mayor"),AND(J109="Alta",N109="Moderado"),AND(J109="Alta",N109="Mayor"),AND(J109="Muy Alta",N109="Leve"),AND(J109="Muy Alta",N109="Menor"),AND(J109="Muy Alta",N109="Moderado"),AND(J109="Muy Alta",N109="Mayor")),"Alto",IF(OR(AND(J109="Muy Baja",N109="Catastrófico"),AND(J109="Baja",N109="Catastrófico"),AND(J109="Media",N109="Catastrófico"),AND(J109="Alta",N109="Catastrófico"),AND(J109="Muy Alta",N109="Catastrófico")),"Extremo",""))))</f>
        <v>Moderado</v>
      </c>
      <c r="Q109" s="201">
        <v>1</v>
      </c>
      <c r="R109" s="195" t="s">
        <v>569</v>
      </c>
      <c r="S109" s="201" t="str">
        <f>IF(OR(T109="Preventivo",T109="Detectivo"),"Probabilidad",IF(T109="Correctivo","Impacto",""))</f>
        <v>Probabilidad</v>
      </c>
      <c r="T109" s="196" t="s">
        <v>15</v>
      </c>
      <c r="U109" s="196" t="s">
        <v>9</v>
      </c>
      <c r="V109" s="167" t="str">
        <f t="shared" si="43"/>
        <v>30%</v>
      </c>
      <c r="W109" s="196" t="s">
        <v>19</v>
      </c>
      <c r="X109" s="196" t="s">
        <v>22</v>
      </c>
      <c r="Y109" s="196" t="s">
        <v>117</v>
      </c>
      <c r="Z109" s="165">
        <f>IFERROR(IF(S109="Probabilidad",(K109-(+K109*V109)),IF(S109="Impacto",K109,"")),"")</f>
        <v>0.56000000000000005</v>
      </c>
      <c r="AA109" s="166" t="str">
        <f t="shared" si="37"/>
        <v>Media</v>
      </c>
      <c r="AB109" s="167">
        <f t="shared" si="38"/>
        <v>0.56000000000000005</v>
      </c>
      <c r="AC109" s="166" t="str">
        <f t="shared" si="39"/>
        <v>Menor</v>
      </c>
      <c r="AD109" s="167">
        <f t="shared" si="40"/>
        <v>0.4</v>
      </c>
      <c r="AE109" s="168" t="str">
        <f t="shared" si="41"/>
        <v>Moderado</v>
      </c>
      <c r="AF109" s="113" t="s">
        <v>134</v>
      </c>
      <c r="AG109" s="191"/>
      <c r="AH109" s="192"/>
      <c r="AI109" s="114"/>
      <c r="AJ109" s="114"/>
      <c r="AK109" s="191"/>
      <c r="AL109" s="192"/>
      <c r="AM109" s="155"/>
      <c r="AN109" s="155"/>
      <c r="AO109" s="155"/>
      <c r="AP109" s="155"/>
      <c r="AQ109" s="155"/>
      <c r="AR109" s="155"/>
      <c r="AS109" s="155"/>
      <c r="AT109" s="155"/>
      <c r="AU109" s="155"/>
      <c r="AV109" s="155"/>
      <c r="AW109" s="155"/>
      <c r="AX109" s="155"/>
      <c r="AY109" s="155"/>
      <c r="AZ109" s="155"/>
      <c r="BA109" s="155"/>
      <c r="BB109" s="155"/>
      <c r="BC109" s="155"/>
      <c r="BD109" s="155"/>
      <c r="BE109" s="155"/>
      <c r="BF109" s="155"/>
      <c r="BG109" s="155"/>
      <c r="BH109" s="155"/>
      <c r="BI109" s="155"/>
      <c r="BJ109" s="155"/>
      <c r="BK109" s="155"/>
      <c r="BL109" s="155"/>
      <c r="BM109" s="155"/>
      <c r="BN109" s="155"/>
      <c r="BO109" s="155"/>
      <c r="BP109" s="155"/>
      <c r="BQ109" s="155"/>
      <c r="BR109" s="155"/>
    </row>
    <row r="110" spans="1:70" s="156" customFormat="1" ht="92.25" customHeight="1" x14ac:dyDescent="0.25">
      <c r="A110" s="266"/>
      <c r="B110" s="294"/>
      <c r="C110" s="294"/>
      <c r="D110" s="270"/>
      <c r="E110" s="270"/>
      <c r="F110" s="270"/>
      <c r="G110" s="362"/>
      <c r="H110" s="270"/>
      <c r="I110" s="281"/>
      <c r="J110" s="275"/>
      <c r="K110" s="277"/>
      <c r="L110" s="273"/>
      <c r="M110" s="277">
        <f ca="1">IF(NOT(ISERROR(MATCH(L110,_xlfn.ANCHORARRAY(G133),0))),K135&amp;"Por favor no seleccionar los criterios de impacto",L110)</f>
        <v>0</v>
      </c>
      <c r="N110" s="275"/>
      <c r="O110" s="277"/>
      <c r="P110" s="279"/>
      <c r="Q110" s="201">
        <v>2</v>
      </c>
      <c r="R110" s="195" t="s">
        <v>570</v>
      </c>
      <c r="S110" s="201" t="str">
        <f t="shared" ref="S110:S152" si="45">IF(OR(T110="Preventivo",T110="Detectivo"),"Probabilidad",IF(T110="Correctivo","Impacto",""))</f>
        <v>Probabilidad</v>
      </c>
      <c r="T110" s="196" t="s">
        <v>14</v>
      </c>
      <c r="U110" s="196" t="s">
        <v>9</v>
      </c>
      <c r="V110" s="167" t="str">
        <f t="shared" si="43"/>
        <v>40%</v>
      </c>
      <c r="W110" s="196" t="s">
        <v>19</v>
      </c>
      <c r="X110" s="196" t="s">
        <v>23</v>
      </c>
      <c r="Y110" s="196" t="s">
        <v>117</v>
      </c>
      <c r="Z110" s="165">
        <f>IFERROR(IF(S110="Probabilidad",(K109-(+K109*V110)),IF(S110="Impacto",K109,"")),"")</f>
        <v>0.48</v>
      </c>
      <c r="AA110" s="166" t="str">
        <f t="shared" si="37"/>
        <v>Media</v>
      </c>
      <c r="AB110" s="167">
        <f t="shared" si="38"/>
        <v>0.48</v>
      </c>
      <c r="AC110" s="166" t="str">
        <f t="shared" si="39"/>
        <v>Menor</v>
      </c>
      <c r="AD110" s="167">
        <f>IFERROR(IF(S110="Impacto",(O109-(+O109*V110)),IF(S110="Probabilidad",O109,"")),"")</f>
        <v>0.4</v>
      </c>
      <c r="AE110" s="168" t="str">
        <f t="shared" si="41"/>
        <v>Moderado</v>
      </c>
      <c r="AF110" s="196" t="s">
        <v>31</v>
      </c>
      <c r="AG110" s="191"/>
      <c r="AH110" s="192"/>
      <c r="AI110" s="114"/>
      <c r="AJ110" s="114"/>
      <c r="AK110" s="191"/>
      <c r="AL110" s="192"/>
      <c r="AM110" s="155"/>
      <c r="AN110" s="155"/>
      <c r="AO110" s="155"/>
      <c r="AP110" s="155"/>
      <c r="AQ110" s="155"/>
      <c r="AR110" s="155"/>
      <c r="AS110" s="155"/>
      <c r="AT110" s="155"/>
      <c r="AU110" s="155"/>
      <c r="AV110" s="155"/>
      <c r="AW110" s="155"/>
      <c r="AX110" s="155"/>
      <c r="AY110" s="155"/>
      <c r="AZ110" s="155"/>
      <c r="BA110" s="155"/>
      <c r="BB110" s="155"/>
      <c r="BC110" s="155"/>
      <c r="BD110" s="155"/>
      <c r="BE110" s="155"/>
      <c r="BF110" s="155"/>
      <c r="BG110" s="155"/>
      <c r="BH110" s="155"/>
      <c r="BI110" s="155"/>
      <c r="BJ110" s="155"/>
      <c r="BK110" s="155"/>
      <c r="BL110" s="155"/>
      <c r="BM110" s="155"/>
      <c r="BN110" s="155"/>
      <c r="BO110" s="155"/>
      <c r="BP110" s="155"/>
      <c r="BQ110" s="155"/>
      <c r="BR110" s="155"/>
    </row>
    <row r="111" spans="1:70" s="156" customFormat="1" ht="92.25" customHeight="1" x14ac:dyDescent="0.25">
      <c r="A111" s="266"/>
      <c r="B111" s="294"/>
      <c r="C111" s="294"/>
      <c r="D111" s="270"/>
      <c r="E111" s="270"/>
      <c r="F111" s="270"/>
      <c r="G111" s="362"/>
      <c r="H111" s="270"/>
      <c r="I111" s="281"/>
      <c r="J111" s="275"/>
      <c r="K111" s="277"/>
      <c r="L111" s="273"/>
      <c r="M111" s="277">
        <f ca="1">IF(NOT(ISERROR(MATCH(L111,_xlfn.ANCHORARRAY(G134),0))),K136&amp;"Por favor no seleccionar los criterios de impacto",L111)</f>
        <v>0</v>
      </c>
      <c r="N111" s="275"/>
      <c r="O111" s="277"/>
      <c r="P111" s="279"/>
      <c r="Q111" s="201">
        <v>3</v>
      </c>
      <c r="R111" s="195" t="s">
        <v>563</v>
      </c>
      <c r="S111" s="201" t="str">
        <f t="shared" si="45"/>
        <v>Probabilidad</v>
      </c>
      <c r="T111" s="196" t="s">
        <v>14</v>
      </c>
      <c r="U111" s="196" t="s">
        <v>10</v>
      </c>
      <c r="V111" s="167" t="str">
        <f t="shared" si="43"/>
        <v>50%</v>
      </c>
      <c r="W111" s="196" t="s">
        <v>19</v>
      </c>
      <c r="X111" s="196" t="s">
        <v>22</v>
      </c>
      <c r="Y111" s="196" t="s">
        <v>117</v>
      </c>
      <c r="Z111" s="165">
        <f>IFERROR(IF(S111="Probabilidad",(K109-(+K109*V111)),IF(S111="Impacto",K109,"")),"")</f>
        <v>0.4</v>
      </c>
      <c r="AA111" s="166" t="str">
        <f t="shared" si="37"/>
        <v>Baja</v>
      </c>
      <c r="AB111" s="167">
        <f t="shared" si="38"/>
        <v>0.4</v>
      </c>
      <c r="AC111" s="166" t="str">
        <f t="shared" si="39"/>
        <v>Menor</v>
      </c>
      <c r="AD111" s="167">
        <f>IFERROR(IF(S111="Impacto",(O109-(+O109*V111)),IF(S111="Probabilidad",O109,"")),"")</f>
        <v>0.4</v>
      </c>
      <c r="AE111" s="168" t="str">
        <f t="shared" si="41"/>
        <v>Moderado</v>
      </c>
      <c r="AF111" s="196" t="s">
        <v>31</v>
      </c>
      <c r="AG111" s="191"/>
      <c r="AH111" s="192"/>
      <c r="AI111" s="114"/>
      <c r="AJ111" s="114"/>
      <c r="AK111" s="191"/>
      <c r="AL111" s="192"/>
      <c r="AM111" s="155"/>
      <c r="AN111" s="155"/>
      <c r="AO111" s="155"/>
      <c r="AP111" s="155"/>
      <c r="AQ111" s="155"/>
      <c r="AR111" s="155"/>
      <c r="AS111" s="155"/>
      <c r="AT111" s="155"/>
      <c r="AU111" s="155"/>
      <c r="AV111" s="155"/>
      <c r="AW111" s="155"/>
      <c r="AX111" s="155"/>
      <c r="AY111" s="155"/>
      <c r="AZ111" s="155"/>
      <c r="BA111" s="155"/>
      <c r="BB111" s="155"/>
      <c r="BC111" s="155"/>
      <c r="BD111" s="155"/>
      <c r="BE111" s="155"/>
      <c r="BF111" s="155"/>
      <c r="BG111" s="155"/>
      <c r="BH111" s="155"/>
      <c r="BI111" s="155"/>
      <c r="BJ111" s="155"/>
      <c r="BK111" s="155"/>
      <c r="BL111" s="155"/>
      <c r="BM111" s="155"/>
      <c r="BN111" s="155"/>
      <c r="BO111" s="155"/>
      <c r="BP111" s="155"/>
      <c r="BQ111" s="155"/>
      <c r="BR111" s="155"/>
    </row>
    <row r="112" spans="1:70" s="156" customFormat="1" ht="92.25" customHeight="1" x14ac:dyDescent="0.25">
      <c r="A112" s="266"/>
      <c r="B112" s="294"/>
      <c r="C112" s="294"/>
      <c r="D112" s="270"/>
      <c r="E112" s="270"/>
      <c r="F112" s="270"/>
      <c r="G112" s="362"/>
      <c r="H112" s="270"/>
      <c r="I112" s="281"/>
      <c r="J112" s="275"/>
      <c r="K112" s="277"/>
      <c r="L112" s="273"/>
      <c r="M112" s="277">
        <f ca="1">IF(NOT(ISERROR(MATCH(L112,_xlfn.ANCHORARRAY(G135),0))),K137&amp;"Por favor no seleccionar los criterios de impacto",L112)</f>
        <v>0</v>
      </c>
      <c r="N112" s="275"/>
      <c r="O112" s="277"/>
      <c r="P112" s="279"/>
      <c r="Q112" s="201">
        <v>4</v>
      </c>
      <c r="R112" s="195" t="s">
        <v>564</v>
      </c>
      <c r="S112" s="201" t="str">
        <f t="shared" si="45"/>
        <v>Probabilidad</v>
      </c>
      <c r="T112" s="196" t="s">
        <v>14</v>
      </c>
      <c r="U112" s="196" t="s">
        <v>9</v>
      </c>
      <c r="V112" s="167" t="str">
        <f t="shared" si="43"/>
        <v>40%</v>
      </c>
      <c r="W112" s="196" t="s">
        <v>19</v>
      </c>
      <c r="X112" s="196" t="s">
        <v>22</v>
      </c>
      <c r="Y112" s="196" t="s">
        <v>117</v>
      </c>
      <c r="Z112" s="165">
        <f>IFERROR(IF(S112="Probabilidad",(K109-(+K109*V112)),IF(S112="Impacto",K109,"")),"")</f>
        <v>0.48</v>
      </c>
      <c r="AA112" s="166" t="str">
        <f t="shared" si="37"/>
        <v>Media</v>
      </c>
      <c r="AB112" s="167">
        <f t="shared" si="38"/>
        <v>0.48</v>
      </c>
      <c r="AC112" s="166" t="str">
        <f t="shared" si="39"/>
        <v>Menor</v>
      </c>
      <c r="AD112" s="167">
        <f>IFERROR(IF(S112="Impacto",(O109-(+O109*V112)),IF(S112="Probabilidad",O109,"")),"")</f>
        <v>0.4</v>
      </c>
      <c r="AE112" s="168" t="str">
        <f t="shared" si="41"/>
        <v>Moderado</v>
      </c>
      <c r="AF112" s="196" t="s">
        <v>31</v>
      </c>
      <c r="AG112" s="191"/>
      <c r="AH112" s="192"/>
      <c r="AI112" s="114"/>
      <c r="AJ112" s="114"/>
      <c r="AK112" s="191"/>
      <c r="AL112" s="192"/>
      <c r="AM112" s="155"/>
      <c r="AN112" s="155"/>
      <c r="AO112" s="155"/>
      <c r="AP112" s="155"/>
      <c r="AQ112" s="155"/>
      <c r="AR112" s="155"/>
      <c r="AS112" s="155"/>
      <c r="AT112" s="155"/>
      <c r="AU112" s="155"/>
      <c r="AV112" s="155"/>
      <c r="AW112" s="155"/>
      <c r="AX112" s="155"/>
      <c r="AY112" s="155"/>
      <c r="AZ112" s="155"/>
      <c r="BA112" s="155"/>
      <c r="BB112" s="155"/>
      <c r="BC112" s="155"/>
      <c r="BD112" s="155"/>
      <c r="BE112" s="155"/>
      <c r="BF112" s="155"/>
      <c r="BG112" s="155"/>
      <c r="BH112" s="155"/>
      <c r="BI112" s="155"/>
      <c r="BJ112" s="155"/>
      <c r="BK112" s="155"/>
      <c r="BL112" s="155"/>
      <c r="BM112" s="155"/>
      <c r="BN112" s="155"/>
      <c r="BO112" s="155"/>
      <c r="BP112" s="155"/>
      <c r="BQ112" s="155"/>
      <c r="BR112" s="155"/>
    </row>
    <row r="113" spans="1:70" s="156" customFormat="1" ht="16.5" hidden="1" customHeight="1" x14ac:dyDescent="0.25">
      <c r="A113" s="266"/>
      <c r="B113" s="268"/>
      <c r="C113" s="268"/>
      <c r="D113" s="271"/>
      <c r="E113" s="271"/>
      <c r="F113" s="271"/>
      <c r="G113" s="363"/>
      <c r="H113" s="271"/>
      <c r="I113" s="266"/>
      <c r="J113" s="276"/>
      <c r="K113" s="278"/>
      <c r="L113" s="274"/>
      <c r="M113" s="278">
        <f ca="1">IF(NOT(ISERROR(MATCH(L113,_xlfn.ANCHORARRAY(G136),0))),K138&amp;"Por favor no seleccionar los criterios de impacto",L113)</f>
        <v>0</v>
      </c>
      <c r="N113" s="276"/>
      <c r="O113" s="278"/>
      <c r="P113" s="280"/>
      <c r="Q113" s="201">
        <v>5</v>
      </c>
      <c r="R113" s="195"/>
      <c r="S113" s="201" t="str">
        <f t="shared" si="45"/>
        <v/>
      </c>
      <c r="T113" s="196"/>
      <c r="U113" s="196"/>
      <c r="V113" s="167" t="str">
        <f t="shared" si="43"/>
        <v/>
      </c>
      <c r="W113" s="196"/>
      <c r="X113" s="196"/>
      <c r="Y113" s="196"/>
      <c r="Z113" s="165" t="str">
        <f>IFERROR(IF(S113="Probabilidad",(K109-(+K109*V113)),IF(S113="Impacto",K109,"")),"")</f>
        <v/>
      </c>
      <c r="AA113" s="166" t="str">
        <f t="shared" si="37"/>
        <v/>
      </c>
      <c r="AB113" s="167" t="str">
        <f t="shared" si="38"/>
        <v/>
      </c>
      <c r="AC113" s="166" t="str">
        <f t="shared" si="39"/>
        <v/>
      </c>
      <c r="AD113" s="167" t="str">
        <f t="shared" ref="AD113:AD118" si="46">IFERROR(IF(S113="Impacto",(O111-(+O111*V113)),IF(S113="Probabilidad",O111,"")),"")</f>
        <v/>
      </c>
      <c r="AE113" s="168" t="str">
        <f t="shared" si="41"/>
        <v/>
      </c>
      <c r="AF113" s="196"/>
      <c r="AG113" s="191"/>
      <c r="AH113" s="192"/>
      <c r="AI113" s="114"/>
      <c r="AJ113" s="114"/>
      <c r="AK113" s="191"/>
      <c r="AL113" s="192"/>
      <c r="AM113" s="155"/>
      <c r="AN113" s="155"/>
      <c r="AO113" s="155"/>
      <c r="AP113" s="155"/>
      <c r="AQ113" s="155"/>
      <c r="AR113" s="155"/>
      <c r="AS113" s="155"/>
      <c r="AT113" s="155"/>
      <c r="AU113" s="155"/>
      <c r="AV113" s="155"/>
      <c r="AW113" s="155"/>
      <c r="AX113" s="155"/>
      <c r="AY113" s="155"/>
      <c r="AZ113" s="155"/>
      <c r="BA113" s="155"/>
      <c r="BB113" s="155"/>
      <c r="BC113" s="155"/>
      <c r="BD113" s="155"/>
      <c r="BE113" s="155"/>
      <c r="BF113" s="155"/>
      <c r="BG113" s="155"/>
      <c r="BH113" s="155"/>
      <c r="BI113" s="155"/>
      <c r="BJ113" s="155"/>
      <c r="BK113" s="155"/>
      <c r="BL113" s="155"/>
      <c r="BM113" s="155"/>
      <c r="BN113" s="155"/>
      <c r="BO113" s="155"/>
      <c r="BP113" s="155"/>
      <c r="BQ113" s="155"/>
      <c r="BR113" s="155"/>
    </row>
    <row r="114" spans="1:70" s="156" customFormat="1" ht="16.5" hidden="1" customHeight="1" x14ac:dyDescent="0.25">
      <c r="A114" s="266"/>
      <c r="B114" s="269"/>
      <c r="C114" s="269"/>
      <c r="D114" s="271"/>
      <c r="E114" s="271"/>
      <c r="F114" s="271"/>
      <c r="G114" s="363"/>
      <c r="H114" s="271"/>
      <c r="I114" s="266"/>
      <c r="J114" s="276"/>
      <c r="K114" s="278"/>
      <c r="L114" s="274"/>
      <c r="M114" s="278">
        <f ca="1">IF(NOT(ISERROR(MATCH(L114,_xlfn.ANCHORARRAY(G137),0))),K145&amp;"Por favor no seleccionar los criterios de impacto",L114)</f>
        <v>0</v>
      </c>
      <c r="N114" s="276"/>
      <c r="O114" s="278"/>
      <c r="P114" s="280"/>
      <c r="Q114" s="201">
        <v>6</v>
      </c>
      <c r="R114" s="195"/>
      <c r="S114" s="201" t="str">
        <f t="shared" si="45"/>
        <v/>
      </c>
      <c r="T114" s="196"/>
      <c r="U114" s="196"/>
      <c r="V114" s="167" t="str">
        <f t="shared" si="43"/>
        <v/>
      </c>
      <c r="W114" s="196"/>
      <c r="X114" s="196"/>
      <c r="Y114" s="196"/>
      <c r="Z114" s="165" t="str">
        <f>IFERROR(IF(S114="Probabilidad",(K109-(+K109*V114)),IF(S114="Impacto",K109,"")),"")</f>
        <v/>
      </c>
      <c r="AA114" s="166" t="str">
        <f t="shared" si="37"/>
        <v/>
      </c>
      <c r="AB114" s="167" t="str">
        <f t="shared" si="38"/>
        <v/>
      </c>
      <c r="AC114" s="166" t="str">
        <f t="shared" si="39"/>
        <v/>
      </c>
      <c r="AD114" s="167" t="str">
        <f t="shared" si="46"/>
        <v/>
      </c>
      <c r="AE114" s="168" t="str">
        <f t="shared" si="41"/>
        <v/>
      </c>
      <c r="AF114" s="196"/>
      <c r="AG114" s="191"/>
      <c r="AH114" s="192"/>
      <c r="AI114" s="114"/>
      <c r="AJ114" s="114"/>
      <c r="AK114" s="191"/>
      <c r="AL114" s="192"/>
      <c r="AM114" s="155"/>
      <c r="AN114" s="155"/>
      <c r="AO114" s="155"/>
      <c r="AP114" s="155"/>
      <c r="AQ114" s="155"/>
      <c r="AR114" s="155"/>
      <c r="AS114" s="155"/>
      <c r="AT114" s="155"/>
      <c r="AU114" s="155"/>
      <c r="AV114" s="155"/>
      <c r="AW114" s="155"/>
      <c r="AX114" s="155"/>
      <c r="AY114" s="155"/>
      <c r="AZ114" s="155"/>
      <c r="BA114" s="155"/>
      <c r="BB114" s="155"/>
      <c r="BC114" s="155"/>
      <c r="BD114" s="155"/>
      <c r="BE114" s="155"/>
      <c r="BF114" s="155"/>
      <c r="BG114" s="155"/>
      <c r="BH114" s="155"/>
      <c r="BI114" s="155"/>
      <c r="BJ114" s="155"/>
      <c r="BK114" s="155"/>
      <c r="BL114" s="155"/>
      <c r="BM114" s="155"/>
      <c r="BN114" s="155"/>
      <c r="BO114" s="155"/>
      <c r="BP114" s="155"/>
      <c r="BQ114" s="155"/>
      <c r="BR114" s="155"/>
    </row>
    <row r="115" spans="1:70" s="156" customFormat="1" ht="84" customHeight="1" x14ac:dyDescent="0.25">
      <c r="A115" s="266">
        <v>18</v>
      </c>
      <c r="B115" s="267" t="s">
        <v>212</v>
      </c>
      <c r="C115" s="267" t="s">
        <v>548</v>
      </c>
      <c r="D115" s="270" t="s">
        <v>131</v>
      </c>
      <c r="E115" s="270" t="s">
        <v>552</v>
      </c>
      <c r="F115" s="270" t="s">
        <v>553</v>
      </c>
      <c r="G115" s="362" t="s">
        <v>554</v>
      </c>
      <c r="H115" s="270" t="s">
        <v>437</v>
      </c>
      <c r="I115" s="281">
        <v>5000</v>
      </c>
      <c r="J115" s="275" t="str">
        <f>IF(I115&lt;=0,"",IF(I115&lt;=2,"Muy Baja",IF(I115&lt;=24,"Baja",IF(I115&lt;=500,"Media",IF(I115&lt;=5000,"Alta","Muy Alta")))))</f>
        <v>Alta</v>
      </c>
      <c r="K115" s="277">
        <f>IF(J115="","",IF(J115="Muy Baja",0.2,IF(J115="Baja",0.4,IF(J115="Media",0.6,IF(J115="Alta",0.8,IF(J115="Muy Alta",1,))))))</f>
        <v>0.8</v>
      </c>
      <c r="L115" s="273" t="s">
        <v>92</v>
      </c>
      <c r="M115" s="277" t="str">
        <f>IF(NOT(ISERROR(MATCH(L115,'[5]Tabla Impacto'!$B$221:$B$223,0))),'[5]Tabla Impacto'!$F$223&amp;"Por favor no seleccionar los criterios de impacto(Afectación Económica o presupuestal y Pérdida Reputacional)",L115)</f>
        <v xml:space="preserve">Entre 50 y 100 SMLMV </v>
      </c>
      <c r="N115" s="275" t="str">
        <f>+IF(OR(M115='[5]Tabla Impacto'!$C$11,M115='[5]Tabla Impacto'!$D$11),"Leve",IF(OR(M115='[5]Tabla Impacto'!$C$12,M115='[5]Tabla Impacto'!$D$12),"Menor",IF(OR(M115='[5]Tabla Impacto'!$C$13,M115='[5]Tabla Impacto'!$D$13),"Moderado",IF(OR(M115='[5]Tabla Impacto'!$C$14,M115='[5]Tabla Impacto'!$D$14),"Mayor",IF(OR(M115='[5]Tabla Impacto'!$C$15,M115='[5]Tabla Impacto'!$D$15),"Catastrófico","")))))</f>
        <v>Moderado</v>
      </c>
      <c r="O115" s="277">
        <f>IF(N115="","",IF(N115="Leve",0.2,IF(N115="Menor",0.4,IF(N115="Moderado",0.6,IF(N115="Mayor",0.8,IF(N115="Catastrófico",1,))))))</f>
        <v>0.6</v>
      </c>
      <c r="P115" s="279" t="str">
        <f>IF(OR(AND(J115="Muy Baja",N115="Leve"),AND(J115="Muy Baja",N115="Menor"),AND(J115="Baja",N115="Leve")),"Bajo",IF(OR(AND(J115="Muy baja",N115="Moderado"),AND(J115="Baja",N115="Menor"),AND(J115="Baja",N115="Moderado"),AND(J115="Media",N115="Leve"),AND(J115="Media",N115="Menor"),AND(J115="Media",N115="Moderado"),AND(J115="Alta",N115="Leve"),AND(J115="Alta",N115="Menor")),"Moderado",IF(OR(AND(J115="Muy Baja",N115="Mayor"),AND(J115="Baja",N115="Mayor"),AND(J115="Media",N115="Mayor"),AND(J115="Alta",N115="Moderado"),AND(J115="Alta",N115="Mayor"),AND(J115="Muy Alta",N115="Leve"),AND(J115="Muy Alta",N115="Menor"),AND(J115="Muy Alta",N115="Moderado"),AND(J115="Muy Alta",N115="Mayor")),"Alto",IF(OR(AND(J115="Muy Baja",N115="Catastrófico"),AND(J115="Baja",N115="Catastrófico"),AND(J115="Media",N115="Catastrófico"),AND(J115="Alta",N115="Catastrófico"),AND(J115="Muy Alta",N115="Catastrófico")),"Extremo",""))))</f>
        <v>Alto</v>
      </c>
      <c r="Q115" s="201">
        <v>1</v>
      </c>
      <c r="R115" s="195" t="s">
        <v>571</v>
      </c>
      <c r="S115" s="201" t="str">
        <f t="shared" si="45"/>
        <v>Probabilidad</v>
      </c>
      <c r="T115" s="196" t="s">
        <v>14</v>
      </c>
      <c r="U115" s="196" t="s">
        <v>9</v>
      </c>
      <c r="V115" s="167" t="str">
        <f t="shared" si="43"/>
        <v>40%</v>
      </c>
      <c r="W115" s="196" t="s">
        <v>19</v>
      </c>
      <c r="X115" s="196" t="s">
        <v>22</v>
      </c>
      <c r="Y115" s="196" t="s">
        <v>117</v>
      </c>
      <c r="Z115" s="165">
        <f>IFERROR(IF(S115="Probabilidad",(K115-(+K115*V115)),IF(S115="Impacto",K115,"")),"")</f>
        <v>0.48</v>
      </c>
      <c r="AA115" s="166" t="str">
        <f t="shared" si="37"/>
        <v>Media</v>
      </c>
      <c r="AB115" s="167">
        <f t="shared" si="38"/>
        <v>0.48</v>
      </c>
      <c r="AC115" s="166" t="str">
        <f t="shared" si="39"/>
        <v>Moderado</v>
      </c>
      <c r="AD115" s="167">
        <f>IFERROR(IF(S115="Impacto",(O115-(+O115*V115)),IF(S115="Probabilidad",O115,"")),"")</f>
        <v>0.6</v>
      </c>
      <c r="AE115" s="168" t="str">
        <f t="shared" si="41"/>
        <v>Moderado</v>
      </c>
      <c r="AF115" s="113" t="s">
        <v>31</v>
      </c>
      <c r="AG115" s="191"/>
      <c r="AH115" s="192"/>
      <c r="AI115" s="114"/>
      <c r="AJ115" s="114"/>
      <c r="AK115" s="191"/>
      <c r="AL115" s="192"/>
      <c r="AM115" s="155"/>
      <c r="AN115" s="155"/>
      <c r="AO115" s="155"/>
      <c r="AP115" s="155"/>
      <c r="AQ115" s="155"/>
      <c r="AR115" s="155"/>
      <c r="AS115" s="155"/>
      <c r="AT115" s="155"/>
      <c r="AU115" s="155"/>
      <c r="AV115" s="155"/>
      <c r="AW115" s="155"/>
      <c r="AX115" s="155"/>
      <c r="AY115" s="155"/>
      <c r="AZ115" s="155"/>
      <c r="BA115" s="155"/>
      <c r="BB115" s="155"/>
      <c r="BC115" s="155"/>
      <c r="BD115" s="155"/>
      <c r="BE115" s="155"/>
      <c r="BF115" s="155"/>
      <c r="BG115" s="155"/>
      <c r="BH115" s="155"/>
      <c r="BI115" s="155"/>
      <c r="BJ115" s="155"/>
      <c r="BK115" s="155"/>
      <c r="BL115" s="155"/>
      <c r="BM115" s="155"/>
      <c r="BN115" s="155"/>
      <c r="BO115" s="155"/>
      <c r="BP115" s="155"/>
      <c r="BQ115" s="155"/>
      <c r="BR115" s="155"/>
    </row>
    <row r="116" spans="1:70" s="156" customFormat="1" ht="84" customHeight="1" x14ac:dyDescent="0.25">
      <c r="A116" s="266"/>
      <c r="B116" s="294"/>
      <c r="C116" s="294"/>
      <c r="D116" s="270"/>
      <c r="E116" s="270"/>
      <c r="F116" s="270"/>
      <c r="G116" s="362"/>
      <c r="H116" s="270"/>
      <c r="I116" s="281"/>
      <c r="J116" s="275"/>
      <c r="K116" s="277"/>
      <c r="L116" s="273"/>
      <c r="M116" s="277">
        <f ca="1">IF(NOT(ISERROR(MATCH(L116,_xlfn.ANCHORARRAY(G139),0))),K141&amp;"Por favor no seleccionar los criterios de impacto",L116)</f>
        <v>0</v>
      </c>
      <c r="N116" s="275"/>
      <c r="O116" s="277"/>
      <c r="P116" s="279"/>
      <c r="Q116" s="201">
        <v>2</v>
      </c>
      <c r="R116" s="195" t="s">
        <v>565</v>
      </c>
      <c r="S116" s="201" t="str">
        <f t="shared" si="45"/>
        <v>Probabilidad</v>
      </c>
      <c r="T116" s="196" t="s">
        <v>14</v>
      </c>
      <c r="U116" s="196" t="s">
        <v>9</v>
      </c>
      <c r="V116" s="167" t="str">
        <f t="shared" si="43"/>
        <v>40%</v>
      </c>
      <c r="W116" s="196" t="s">
        <v>19</v>
      </c>
      <c r="X116" s="196" t="s">
        <v>22</v>
      </c>
      <c r="Y116" s="196" t="s">
        <v>117</v>
      </c>
      <c r="Z116" s="165">
        <f>IFERROR(IF(S116="Probabilidad",(K115-(+K115*V116)),IF(S116="Impacto",K115,"")),"")</f>
        <v>0.48</v>
      </c>
      <c r="AA116" s="166" t="str">
        <f t="shared" si="37"/>
        <v>Media</v>
      </c>
      <c r="AB116" s="167">
        <f t="shared" si="38"/>
        <v>0.48</v>
      </c>
      <c r="AC116" s="166" t="str">
        <f t="shared" si="39"/>
        <v>Moderado</v>
      </c>
      <c r="AD116" s="167">
        <f>IFERROR(IF(S116="Impacto",(O115-(+O115*V116)),IF(S116="Probabilidad",O115,"")),"")</f>
        <v>0.6</v>
      </c>
      <c r="AE116" s="168" t="str">
        <f t="shared" si="41"/>
        <v>Moderado</v>
      </c>
      <c r="AF116" s="196" t="s">
        <v>31</v>
      </c>
      <c r="AG116" s="191"/>
      <c r="AH116" s="192"/>
      <c r="AI116" s="114"/>
      <c r="AJ116" s="114"/>
      <c r="AK116" s="191"/>
      <c r="AL116" s="192"/>
      <c r="AM116" s="155"/>
      <c r="AN116" s="155"/>
      <c r="AO116" s="155"/>
      <c r="AP116" s="155"/>
      <c r="AQ116" s="155"/>
      <c r="AR116" s="155"/>
      <c r="AS116" s="155"/>
      <c r="AT116" s="155"/>
      <c r="AU116" s="155"/>
      <c r="AV116" s="155"/>
      <c r="AW116" s="155"/>
      <c r="AX116" s="155"/>
      <c r="AY116" s="155"/>
      <c r="AZ116" s="155"/>
      <c r="BA116" s="155"/>
      <c r="BB116" s="155"/>
      <c r="BC116" s="155"/>
      <c r="BD116" s="155"/>
      <c r="BE116" s="155"/>
      <c r="BF116" s="155"/>
      <c r="BG116" s="155"/>
      <c r="BH116" s="155"/>
      <c r="BI116" s="155"/>
      <c r="BJ116" s="155"/>
      <c r="BK116" s="155"/>
      <c r="BL116" s="155"/>
      <c r="BM116" s="155"/>
      <c r="BN116" s="155"/>
      <c r="BO116" s="155"/>
      <c r="BP116" s="155"/>
      <c r="BQ116" s="155"/>
      <c r="BR116" s="155"/>
    </row>
    <row r="117" spans="1:70" s="156" customFormat="1" ht="16.5" hidden="1" customHeight="1" x14ac:dyDescent="0.25">
      <c r="A117" s="266"/>
      <c r="B117" s="268"/>
      <c r="C117" s="268"/>
      <c r="D117" s="271"/>
      <c r="E117" s="271"/>
      <c r="F117" s="271"/>
      <c r="G117" s="363"/>
      <c r="H117" s="271"/>
      <c r="I117" s="266"/>
      <c r="J117" s="276"/>
      <c r="K117" s="278"/>
      <c r="L117" s="274"/>
      <c r="M117" s="278">
        <f ca="1">IF(NOT(ISERROR(MATCH(L117,_xlfn.ANCHORARRAY(G140),0))),K142&amp;"Por favor no seleccionar los criterios de impacto",L117)</f>
        <v>0</v>
      </c>
      <c r="N117" s="276"/>
      <c r="O117" s="278"/>
      <c r="P117" s="280"/>
      <c r="Q117" s="201">
        <v>3</v>
      </c>
      <c r="R117" s="195"/>
      <c r="S117" s="201"/>
      <c r="T117" s="196"/>
      <c r="U117" s="196"/>
      <c r="V117" s="167" t="str">
        <f t="shared" si="43"/>
        <v/>
      </c>
      <c r="W117" s="196"/>
      <c r="X117" s="196"/>
      <c r="Y117" s="196"/>
      <c r="Z117" s="165" t="str">
        <f t="shared" ref="Z117:Z121" si="47">IFERROR(IF(S117="Probabilidad",(K117-(+K117*V117)),IF(S117="Impacto",K117,"")),"")</f>
        <v/>
      </c>
      <c r="AA117" s="166" t="str">
        <f t="shared" si="37"/>
        <v/>
      </c>
      <c r="AB117" s="167" t="str">
        <f t="shared" si="38"/>
        <v/>
      </c>
      <c r="AC117" s="166" t="str">
        <f t="shared" si="39"/>
        <v/>
      </c>
      <c r="AD117" s="167" t="str">
        <f t="shared" si="46"/>
        <v/>
      </c>
      <c r="AE117" s="168" t="str">
        <f t="shared" si="41"/>
        <v/>
      </c>
      <c r="AF117" s="196"/>
      <c r="AG117" s="191"/>
      <c r="AH117" s="192"/>
      <c r="AI117" s="114"/>
      <c r="AJ117" s="114"/>
      <c r="AK117" s="191"/>
      <c r="AL117" s="192"/>
      <c r="AM117" s="155"/>
      <c r="AN117" s="155"/>
      <c r="AO117" s="155"/>
      <c r="AP117" s="155"/>
      <c r="AQ117" s="155"/>
      <c r="AR117" s="155"/>
      <c r="AS117" s="155"/>
      <c r="AT117" s="155"/>
      <c r="AU117" s="155"/>
      <c r="AV117" s="155"/>
      <c r="AW117" s="155"/>
      <c r="AX117" s="155"/>
      <c r="AY117" s="155"/>
      <c r="AZ117" s="155"/>
      <c r="BA117" s="155"/>
      <c r="BB117" s="155"/>
      <c r="BC117" s="155"/>
      <c r="BD117" s="155"/>
      <c r="BE117" s="155"/>
      <c r="BF117" s="155"/>
      <c r="BG117" s="155"/>
      <c r="BH117" s="155"/>
      <c r="BI117" s="155"/>
      <c r="BJ117" s="155"/>
      <c r="BK117" s="155"/>
      <c r="BL117" s="155"/>
      <c r="BM117" s="155"/>
      <c r="BN117" s="155"/>
      <c r="BO117" s="155"/>
      <c r="BP117" s="155"/>
      <c r="BQ117" s="155"/>
      <c r="BR117" s="155"/>
    </row>
    <row r="118" spans="1:70" s="156" customFormat="1" ht="16.5" hidden="1" customHeight="1" x14ac:dyDescent="0.25">
      <c r="A118" s="266"/>
      <c r="B118" s="268"/>
      <c r="C118" s="268"/>
      <c r="D118" s="271"/>
      <c r="E118" s="271"/>
      <c r="F118" s="271"/>
      <c r="G118" s="363"/>
      <c r="H118" s="271"/>
      <c r="I118" s="266"/>
      <c r="J118" s="276"/>
      <c r="K118" s="278"/>
      <c r="L118" s="274"/>
      <c r="M118" s="278">
        <f ca="1">IF(NOT(ISERROR(MATCH(L118,_xlfn.ANCHORARRAY(G141),0))),K143&amp;"Por favor no seleccionar los criterios de impacto",L118)</f>
        <v>0</v>
      </c>
      <c r="N118" s="276"/>
      <c r="O118" s="278"/>
      <c r="P118" s="280"/>
      <c r="Q118" s="201">
        <v>4</v>
      </c>
      <c r="R118" s="195"/>
      <c r="S118" s="201"/>
      <c r="T118" s="196"/>
      <c r="U118" s="196"/>
      <c r="V118" s="167" t="str">
        <f t="shared" si="43"/>
        <v/>
      </c>
      <c r="W118" s="196"/>
      <c r="X118" s="196"/>
      <c r="Y118" s="196"/>
      <c r="Z118" s="165" t="str">
        <f t="shared" si="47"/>
        <v/>
      </c>
      <c r="AA118" s="166" t="str">
        <f t="shared" si="37"/>
        <v/>
      </c>
      <c r="AB118" s="167" t="str">
        <f t="shared" si="38"/>
        <v/>
      </c>
      <c r="AC118" s="166" t="str">
        <f t="shared" si="39"/>
        <v/>
      </c>
      <c r="AD118" s="167" t="str">
        <f t="shared" si="46"/>
        <v/>
      </c>
      <c r="AE118" s="168" t="str">
        <f t="shared" si="41"/>
        <v/>
      </c>
      <c r="AF118" s="196"/>
      <c r="AG118" s="191"/>
      <c r="AH118" s="192"/>
      <c r="AI118" s="114"/>
      <c r="AJ118" s="114"/>
      <c r="AK118" s="191"/>
      <c r="AL118" s="192"/>
      <c r="AM118" s="155"/>
      <c r="AN118" s="155"/>
      <c r="AO118" s="155"/>
      <c r="AP118" s="155"/>
      <c r="AQ118" s="155"/>
      <c r="AR118" s="155"/>
      <c r="AS118" s="155"/>
      <c r="AT118" s="155"/>
      <c r="AU118" s="155"/>
      <c r="AV118" s="155"/>
      <c r="AW118" s="155"/>
      <c r="AX118" s="155"/>
      <c r="AY118" s="155"/>
      <c r="AZ118" s="155"/>
      <c r="BA118" s="155"/>
      <c r="BB118" s="155"/>
      <c r="BC118" s="155"/>
      <c r="BD118" s="155"/>
      <c r="BE118" s="155"/>
      <c r="BF118" s="155"/>
      <c r="BG118" s="155"/>
      <c r="BH118" s="155"/>
      <c r="BI118" s="155"/>
      <c r="BJ118" s="155"/>
      <c r="BK118" s="155"/>
      <c r="BL118" s="155"/>
      <c r="BM118" s="155"/>
      <c r="BN118" s="155"/>
      <c r="BO118" s="155"/>
      <c r="BP118" s="155"/>
      <c r="BQ118" s="155"/>
      <c r="BR118" s="155"/>
    </row>
    <row r="119" spans="1:70" s="156" customFormat="1" ht="16.5" hidden="1" customHeight="1" x14ac:dyDescent="0.25">
      <c r="A119" s="266"/>
      <c r="B119" s="268"/>
      <c r="C119" s="268"/>
      <c r="D119" s="271"/>
      <c r="E119" s="271"/>
      <c r="F119" s="271"/>
      <c r="G119" s="363"/>
      <c r="H119" s="271"/>
      <c r="I119" s="266"/>
      <c r="J119" s="276"/>
      <c r="K119" s="278"/>
      <c r="L119" s="274"/>
      <c r="M119" s="278">
        <f ca="1">IF(NOT(ISERROR(MATCH(L119,_xlfn.ANCHORARRAY(G142),0))),K144&amp;"Por favor no seleccionar los criterios de impacto",L119)</f>
        <v>0</v>
      </c>
      <c r="N119" s="276"/>
      <c r="O119" s="278"/>
      <c r="P119" s="280"/>
      <c r="Q119" s="201">
        <v>5</v>
      </c>
      <c r="R119" s="195"/>
      <c r="S119" s="201"/>
      <c r="T119" s="196"/>
      <c r="U119" s="196"/>
      <c r="V119" s="167" t="str">
        <f t="shared" si="43"/>
        <v/>
      </c>
      <c r="W119" s="196"/>
      <c r="X119" s="196"/>
      <c r="Y119" s="196"/>
      <c r="Z119" s="165" t="str">
        <f t="shared" si="47"/>
        <v/>
      </c>
      <c r="AA119" s="166"/>
      <c r="AB119" s="167"/>
      <c r="AC119" s="166"/>
      <c r="AD119" s="167"/>
      <c r="AE119" s="168"/>
      <c r="AF119" s="196"/>
      <c r="AG119" s="191"/>
      <c r="AH119" s="192"/>
      <c r="AI119" s="114"/>
      <c r="AJ119" s="114"/>
      <c r="AK119" s="191"/>
      <c r="AL119" s="192"/>
      <c r="AM119" s="155"/>
      <c r="AN119" s="155"/>
      <c r="AO119" s="155"/>
      <c r="AP119" s="155"/>
      <c r="AQ119" s="155"/>
      <c r="AR119" s="155"/>
      <c r="AS119" s="155"/>
      <c r="AT119" s="155"/>
      <c r="AU119" s="155"/>
      <c r="AV119" s="155"/>
      <c r="AW119" s="155"/>
      <c r="AX119" s="155"/>
      <c r="AY119" s="155"/>
      <c r="AZ119" s="155"/>
      <c r="BA119" s="155"/>
      <c r="BB119" s="155"/>
      <c r="BC119" s="155"/>
      <c r="BD119" s="155"/>
      <c r="BE119" s="155"/>
      <c r="BF119" s="155"/>
      <c r="BG119" s="155"/>
      <c r="BH119" s="155"/>
      <c r="BI119" s="155"/>
      <c r="BJ119" s="155"/>
      <c r="BK119" s="155"/>
      <c r="BL119" s="155"/>
      <c r="BM119" s="155"/>
      <c r="BN119" s="155"/>
      <c r="BO119" s="155"/>
      <c r="BP119" s="155"/>
      <c r="BQ119" s="155"/>
      <c r="BR119" s="155"/>
    </row>
    <row r="120" spans="1:70" s="156" customFormat="1" ht="16.5" hidden="1" customHeight="1" x14ac:dyDescent="0.25">
      <c r="A120" s="266"/>
      <c r="B120" s="269"/>
      <c r="C120" s="269"/>
      <c r="D120" s="271"/>
      <c r="E120" s="271"/>
      <c r="F120" s="271"/>
      <c r="G120" s="363"/>
      <c r="H120" s="271"/>
      <c r="I120" s="266"/>
      <c r="J120" s="276"/>
      <c r="K120" s="278"/>
      <c r="L120" s="274"/>
      <c r="M120" s="278">
        <f ca="1">IF(NOT(ISERROR(MATCH(L120,_xlfn.ANCHORARRAY(G143),0))),K151&amp;"Por favor no seleccionar los criterios de impacto",L120)</f>
        <v>0</v>
      </c>
      <c r="N120" s="276"/>
      <c r="O120" s="278"/>
      <c r="P120" s="280"/>
      <c r="Q120" s="201">
        <v>6</v>
      </c>
      <c r="R120" s="195"/>
      <c r="S120" s="201"/>
      <c r="T120" s="196"/>
      <c r="U120" s="196"/>
      <c r="V120" s="167" t="str">
        <f t="shared" si="43"/>
        <v/>
      </c>
      <c r="W120" s="196"/>
      <c r="X120" s="196"/>
      <c r="Y120" s="196"/>
      <c r="Z120" s="165" t="str">
        <f t="shared" si="47"/>
        <v/>
      </c>
      <c r="AA120" s="166"/>
      <c r="AB120" s="167"/>
      <c r="AC120" s="166"/>
      <c r="AD120" s="167"/>
      <c r="AE120" s="168"/>
      <c r="AF120" s="196"/>
      <c r="AG120" s="191"/>
      <c r="AH120" s="192"/>
      <c r="AI120" s="114"/>
      <c r="AJ120" s="114"/>
      <c r="AK120" s="191"/>
      <c r="AL120" s="192"/>
      <c r="AM120" s="155"/>
      <c r="AN120" s="155"/>
      <c r="AO120" s="155"/>
      <c r="AP120" s="155"/>
      <c r="AQ120" s="155"/>
      <c r="AR120" s="155"/>
      <c r="AS120" s="155"/>
      <c r="AT120" s="155"/>
      <c r="AU120" s="155"/>
      <c r="AV120" s="155"/>
      <c r="AW120" s="155"/>
      <c r="AX120" s="155"/>
      <c r="AY120" s="155"/>
      <c r="AZ120" s="155"/>
      <c r="BA120" s="155"/>
      <c r="BB120" s="155"/>
      <c r="BC120" s="155"/>
      <c r="BD120" s="155"/>
      <c r="BE120" s="155"/>
      <c r="BF120" s="155"/>
      <c r="BG120" s="155"/>
      <c r="BH120" s="155"/>
      <c r="BI120" s="155"/>
      <c r="BJ120" s="155"/>
      <c r="BK120" s="155"/>
      <c r="BL120" s="155"/>
      <c r="BM120" s="155"/>
      <c r="BN120" s="155"/>
      <c r="BO120" s="155"/>
      <c r="BP120" s="155"/>
      <c r="BQ120" s="155"/>
      <c r="BR120" s="155"/>
    </row>
    <row r="121" spans="1:70" s="156" customFormat="1" ht="76.5" customHeight="1" x14ac:dyDescent="0.25">
      <c r="A121" s="266">
        <v>19</v>
      </c>
      <c r="B121" s="267" t="s">
        <v>212</v>
      </c>
      <c r="C121" s="267" t="s">
        <v>555</v>
      </c>
      <c r="D121" s="270" t="s">
        <v>130</v>
      </c>
      <c r="E121" s="270" t="s">
        <v>556</v>
      </c>
      <c r="F121" s="270" t="s">
        <v>557</v>
      </c>
      <c r="G121" s="362" t="s">
        <v>558</v>
      </c>
      <c r="H121" s="270" t="s">
        <v>437</v>
      </c>
      <c r="I121" s="281">
        <v>5000</v>
      </c>
      <c r="J121" s="275" t="str">
        <f>IF(I121&lt;=0,"",IF(I121&lt;=2,"Muy Baja",IF(I121&lt;=24,"Baja",IF(I121&lt;=500,"Media",IF(I121&lt;=5000,"Alta","Muy Alta")))))</f>
        <v>Alta</v>
      </c>
      <c r="K121" s="277">
        <f>IF(J121="","",IF(J121="Muy Baja",0.2,IF(J121="Baja",0.4,IF(J121="Media",0.6,IF(J121="Alta",0.8,IF(J121="Muy Alta",1,))))))</f>
        <v>0.8</v>
      </c>
      <c r="L121" s="273" t="s">
        <v>96</v>
      </c>
      <c r="M121" s="277" t="str">
        <f>IF(NOT(ISERROR(MATCH(L121,'[5]Tabla Impacto'!$B$221:$B$223,0))),'[5]Tabla Impacto'!$F$223&amp;"Por favor no seleccionar los criterios de impacto(Afectación Económica o presupuestal y Pérdida Reputacional)",L121)</f>
        <v>El riesgo afecta la imagen de la entidad internamente, de conocimiento general, nivel interno, de junta dircetiva y accionistas y/o de provedores</v>
      </c>
      <c r="N121" s="275" t="str">
        <f>+IF(OR(M121='[5]Tabla Impacto'!$C$11,M121='[5]Tabla Impacto'!$D$11),"Leve",IF(OR(M121='[5]Tabla Impacto'!$C$12,M121='[5]Tabla Impacto'!$D$12),"Menor",IF(OR(M121='[5]Tabla Impacto'!$C$13,M121='[5]Tabla Impacto'!$D$13),"Moderado",IF(OR(M121='[5]Tabla Impacto'!$C$14,M121='[5]Tabla Impacto'!$D$14),"Mayor",IF(OR(M121='[5]Tabla Impacto'!$C$15,M121='[5]Tabla Impacto'!$D$15),"Catastrófico","")))))</f>
        <v>Menor</v>
      </c>
      <c r="O121" s="277">
        <f>IF(N121="","",IF(N121="Leve",0.2,IF(N121="Menor",0.4,IF(N121="Moderado",0.6,IF(N121="Mayor",0.8,IF(N121="Catastrófico",1,))))))</f>
        <v>0.4</v>
      </c>
      <c r="P121" s="279" t="str">
        <f>IF(OR(AND(J121="Muy Baja",N121="Leve"),AND(J121="Muy Baja",N121="Menor"),AND(J121="Baja",N121="Leve")),"Bajo",IF(OR(AND(J121="Muy baja",N121="Moderado"),AND(J121="Baja",N121="Menor"),AND(J121="Baja",N121="Moderado"),AND(J121="Media",N121="Leve"),AND(J121="Media",N121="Menor"),AND(J121="Media",N121="Moderado"),AND(J121="Alta",N121="Leve"),AND(J121="Alta",N121="Menor")),"Moderado",IF(OR(AND(J121="Muy Baja",N121="Mayor"),AND(J121="Baja",N121="Mayor"),AND(J121="Media",N121="Mayor"),AND(J121="Alta",N121="Moderado"),AND(J121="Alta",N121="Mayor"),AND(J121="Muy Alta",N121="Leve"),AND(J121="Muy Alta",N121="Menor"),AND(J121="Muy Alta",N121="Moderado"),AND(J121="Muy Alta",N121="Mayor")),"Alto",IF(OR(AND(J121="Muy Baja",N121="Catastrófico"),AND(J121="Baja",N121="Catastrófico"),AND(J121="Media",N121="Catastrófico"),AND(J121="Alta",N121="Catastrófico"),AND(J121="Muy Alta",N121="Catastrófico")),"Extremo",""))))</f>
        <v>Moderado</v>
      </c>
      <c r="Q121" s="201">
        <v>1</v>
      </c>
      <c r="R121" s="195" t="s">
        <v>566</v>
      </c>
      <c r="S121" s="201" t="str">
        <f t="shared" si="45"/>
        <v>Impacto</v>
      </c>
      <c r="T121" s="196" t="s">
        <v>16</v>
      </c>
      <c r="U121" s="196" t="s">
        <v>9</v>
      </c>
      <c r="V121" s="167" t="str">
        <f t="shared" si="43"/>
        <v>25%</v>
      </c>
      <c r="W121" s="196" t="s">
        <v>19</v>
      </c>
      <c r="X121" s="196" t="s">
        <v>23</v>
      </c>
      <c r="Y121" s="196" t="s">
        <v>117</v>
      </c>
      <c r="Z121" s="165">
        <f t="shared" si="47"/>
        <v>0.8</v>
      </c>
      <c r="AA121" s="166" t="str">
        <f t="shared" si="37"/>
        <v>Alta</v>
      </c>
      <c r="AB121" s="167">
        <f t="shared" si="38"/>
        <v>0.8</v>
      </c>
      <c r="AC121" s="166" t="str">
        <f t="shared" si="39"/>
        <v>Menor</v>
      </c>
      <c r="AD121" s="167">
        <f t="shared" ref="AD121" si="48">IFERROR(IF(S121="Impacto",(O121-(+O121*V121)),IF(S121="Probabilidad",O121,"")),"")</f>
        <v>0.30000000000000004</v>
      </c>
      <c r="AE121" s="168" t="str">
        <f t="shared" si="41"/>
        <v>Moderado</v>
      </c>
      <c r="AF121" s="113" t="s">
        <v>31</v>
      </c>
      <c r="AG121" s="191"/>
      <c r="AH121" s="192"/>
      <c r="AI121" s="114"/>
      <c r="AJ121" s="114"/>
      <c r="AK121" s="191"/>
      <c r="AL121" s="192"/>
      <c r="AM121" s="155"/>
      <c r="AN121" s="155"/>
      <c r="AO121" s="155"/>
      <c r="AP121" s="155"/>
      <c r="AQ121" s="155"/>
      <c r="AR121" s="155"/>
      <c r="AS121" s="155"/>
      <c r="AT121" s="155"/>
      <c r="AU121" s="155"/>
      <c r="AV121" s="155"/>
      <c r="AW121" s="155"/>
      <c r="AX121" s="155"/>
      <c r="AY121" s="155"/>
      <c r="AZ121" s="155"/>
      <c r="BA121" s="155"/>
      <c r="BB121" s="155"/>
      <c r="BC121" s="155"/>
      <c r="BD121" s="155"/>
      <c r="BE121" s="155"/>
      <c r="BF121" s="155"/>
      <c r="BG121" s="155"/>
      <c r="BH121" s="155"/>
      <c r="BI121" s="155"/>
      <c r="BJ121" s="155"/>
      <c r="BK121" s="155"/>
      <c r="BL121" s="155"/>
      <c r="BM121" s="155"/>
      <c r="BN121" s="155"/>
      <c r="BO121" s="155"/>
      <c r="BP121" s="155"/>
      <c r="BQ121" s="155"/>
      <c r="BR121" s="155"/>
    </row>
    <row r="122" spans="1:70" s="156" customFormat="1" ht="76.5" customHeight="1" x14ac:dyDescent="0.25">
      <c r="A122" s="266"/>
      <c r="B122" s="294"/>
      <c r="C122" s="294"/>
      <c r="D122" s="270"/>
      <c r="E122" s="270"/>
      <c r="F122" s="270"/>
      <c r="G122" s="362"/>
      <c r="H122" s="270"/>
      <c r="I122" s="281"/>
      <c r="J122" s="275"/>
      <c r="K122" s="277"/>
      <c r="L122" s="273"/>
      <c r="M122" s="277">
        <f ca="1">IF(NOT(ISERROR(MATCH(L122,_xlfn.ANCHORARRAY(G145),0))),K147&amp;"Por favor no seleccionar los criterios de impacto",L122)</f>
        <v>0</v>
      </c>
      <c r="N122" s="275"/>
      <c r="O122" s="277"/>
      <c r="P122" s="279"/>
      <c r="Q122" s="201">
        <v>2</v>
      </c>
      <c r="R122" s="195" t="s">
        <v>567</v>
      </c>
      <c r="S122" s="201" t="str">
        <f t="shared" si="45"/>
        <v>Probabilidad</v>
      </c>
      <c r="T122" s="196" t="s">
        <v>14</v>
      </c>
      <c r="U122" s="196" t="s">
        <v>9</v>
      </c>
      <c r="V122" s="167" t="str">
        <f t="shared" si="43"/>
        <v>40%</v>
      </c>
      <c r="W122" s="196" t="s">
        <v>19</v>
      </c>
      <c r="X122" s="196" t="s">
        <v>22</v>
      </c>
      <c r="Y122" s="196" t="s">
        <v>117</v>
      </c>
      <c r="Z122" s="165">
        <f>IFERROR(IF(S122="Probabilidad",(K121-(+K121*V122)),IF(S122="Impacto",K121,"")),"")</f>
        <v>0.48</v>
      </c>
      <c r="AA122" s="166" t="str">
        <f t="shared" si="37"/>
        <v>Media</v>
      </c>
      <c r="AB122" s="167">
        <f t="shared" si="38"/>
        <v>0.48</v>
      </c>
      <c r="AC122" s="166" t="str">
        <f t="shared" si="39"/>
        <v>Menor</v>
      </c>
      <c r="AD122" s="167">
        <f>IFERROR(IF(S122="Impacto",(O121-(+O121*V122)),IF(S122="Probabilidad",O121,"")),"")</f>
        <v>0.4</v>
      </c>
      <c r="AE122" s="168" t="str">
        <f t="shared" si="41"/>
        <v>Moderado</v>
      </c>
      <c r="AF122" s="196" t="s">
        <v>31</v>
      </c>
      <c r="AG122" s="191"/>
      <c r="AH122" s="192"/>
      <c r="AI122" s="114"/>
      <c r="AJ122" s="114"/>
      <c r="AK122" s="191"/>
      <c r="AL122" s="192"/>
      <c r="AM122" s="155"/>
      <c r="AN122" s="155"/>
      <c r="AO122" s="155"/>
      <c r="AP122" s="155"/>
      <c r="AQ122" s="155"/>
      <c r="AR122" s="155"/>
      <c r="AS122" s="155"/>
      <c r="AT122" s="155"/>
      <c r="AU122" s="155"/>
      <c r="AV122" s="155"/>
      <c r="AW122" s="155"/>
      <c r="AX122" s="155"/>
      <c r="AY122" s="155"/>
      <c r="AZ122" s="155"/>
      <c r="BA122" s="155"/>
      <c r="BB122" s="155"/>
      <c r="BC122" s="155"/>
      <c r="BD122" s="155"/>
      <c r="BE122" s="155"/>
      <c r="BF122" s="155"/>
      <c r="BG122" s="155"/>
      <c r="BH122" s="155"/>
      <c r="BI122" s="155"/>
      <c r="BJ122" s="155"/>
      <c r="BK122" s="155"/>
      <c r="BL122" s="155"/>
      <c r="BM122" s="155"/>
      <c r="BN122" s="155"/>
      <c r="BO122" s="155"/>
      <c r="BP122" s="155"/>
      <c r="BQ122" s="155"/>
      <c r="BR122" s="155"/>
    </row>
    <row r="123" spans="1:70" s="156" customFormat="1" ht="16.5" hidden="1" customHeight="1" x14ac:dyDescent="0.25">
      <c r="A123" s="266"/>
      <c r="B123" s="268"/>
      <c r="C123" s="268"/>
      <c r="D123" s="271"/>
      <c r="E123" s="271"/>
      <c r="F123" s="271"/>
      <c r="G123" s="363"/>
      <c r="H123" s="271"/>
      <c r="I123" s="266"/>
      <c r="J123" s="276"/>
      <c r="K123" s="278"/>
      <c r="L123" s="274"/>
      <c r="M123" s="278">
        <f ca="1">IF(NOT(ISERROR(MATCH(L123,_xlfn.ANCHORARRAY(G146),0))),K148&amp;"Por favor no seleccionar los criterios de impacto",L123)</f>
        <v>0</v>
      </c>
      <c r="N123" s="276"/>
      <c r="O123" s="278"/>
      <c r="P123" s="280"/>
      <c r="Q123" s="201">
        <v>3</v>
      </c>
      <c r="R123" s="195"/>
      <c r="S123" s="201" t="str">
        <f t="shared" si="45"/>
        <v/>
      </c>
      <c r="T123" s="196"/>
      <c r="U123" s="196"/>
      <c r="V123" s="167"/>
      <c r="W123" s="196"/>
      <c r="X123" s="196"/>
      <c r="Y123" s="196"/>
      <c r="Z123" s="165" t="str">
        <f>IFERROR(IF(S123="Probabilidad",(K121-(+K121*V123)),IF(S123="Impacto",K121,"")),"")</f>
        <v/>
      </c>
      <c r="AA123" s="166" t="str">
        <f t="shared" si="37"/>
        <v/>
      </c>
      <c r="AB123" s="167" t="str">
        <f t="shared" si="38"/>
        <v/>
      </c>
      <c r="AC123" s="166" t="str">
        <f t="shared" si="39"/>
        <v/>
      </c>
      <c r="AD123" s="167" t="str">
        <f>IFERROR(IF(S123="Impacto",(O121-(+O121*V123)),IF(S123="Probabilidad",O121,"")),"")</f>
        <v/>
      </c>
      <c r="AE123" s="168" t="str">
        <f t="shared" si="41"/>
        <v/>
      </c>
      <c r="AF123" s="196"/>
      <c r="AG123" s="191"/>
      <c r="AH123" s="192"/>
      <c r="AI123" s="114"/>
      <c r="AJ123" s="114"/>
      <c r="AK123" s="191"/>
      <c r="AL123" s="192"/>
      <c r="AM123" s="155"/>
      <c r="AN123" s="155"/>
      <c r="AO123" s="155"/>
      <c r="AP123" s="155"/>
      <c r="AQ123" s="155"/>
      <c r="AR123" s="155"/>
      <c r="AS123" s="155"/>
      <c r="AT123" s="155"/>
      <c r="AU123" s="155"/>
      <c r="AV123" s="155"/>
      <c r="AW123" s="155"/>
      <c r="AX123" s="155"/>
      <c r="AY123" s="155"/>
      <c r="AZ123" s="155"/>
      <c r="BA123" s="155"/>
      <c r="BB123" s="155"/>
      <c r="BC123" s="155"/>
      <c r="BD123" s="155"/>
      <c r="BE123" s="155"/>
      <c r="BF123" s="155"/>
      <c r="BG123" s="155"/>
      <c r="BH123" s="155"/>
      <c r="BI123" s="155"/>
      <c r="BJ123" s="155"/>
      <c r="BK123" s="155"/>
      <c r="BL123" s="155"/>
      <c r="BM123" s="155"/>
      <c r="BN123" s="155"/>
      <c r="BO123" s="155"/>
      <c r="BP123" s="155"/>
      <c r="BQ123" s="155"/>
      <c r="BR123" s="155"/>
    </row>
    <row r="124" spans="1:70" s="156" customFormat="1" ht="16.5" hidden="1" customHeight="1" x14ac:dyDescent="0.25">
      <c r="A124" s="266"/>
      <c r="B124" s="268"/>
      <c r="C124" s="268"/>
      <c r="D124" s="271"/>
      <c r="E124" s="271"/>
      <c r="F124" s="271"/>
      <c r="G124" s="363"/>
      <c r="H124" s="271"/>
      <c r="I124" s="266"/>
      <c r="J124" s="276"/>
      <c r="K124" s="278"/>
      <c r="L124" s="274"/>
      <c r="M124" s="278">
        <f ca="1">IF(NOT(ISERROR(MATCH(L124,_xlfn.ANCHORARRAY(G147),0))),K149&amp;"Por favor no seleccionar los criterios de impacto",L124)</f>
        <v>0</v>
      </c>
      <c r="N124" s="276"/>
      <c r="O124" s="278"/>
      <c r="P124" s="280"/>
      <c r="Q124" s="201">
        <v>4</v>
      </c>
      <c r="R124" s="195"/>
      <c r="S124" s="201" t="str">
        <f t="shared" si="45"/>
        <v/>
      </c>
      <c r="T124" s="196"/>
      <c r="U124" s="196"/>
      <c r="V124" s="167"/>
      <c r="W124" s="196"/>
      <c r="X124" s="196"/>
      <c r="Y124" s="196"/>
      <c r="Z124" s="165" t="str">
        <f>IFERROR(IF(S124="Probabilidad",(K121-(+K121*V124)),IF(S124="Impacto",K121,"")),"")</f>
        <v/>
      </c>
      <c r="AA124" s="166" t="str">
        <f t="shared" si="37"/>
        <v/>
      </c>
      <c r="AB124" s="167" t="str">
        <f t="shared" si="38"/>
        <v/>
      </c>
      <c r="AC124" s="166" t="str">
        <f t="shared" si="39"/>
        <v/>
      </c>
      <c r="AD124" s="167" t="str">
        <f>IFERROR(IF(S124="Impacto",(O121-(+O121*V124)),IF(S124="Probabilidad",O121,"")),"")</f>
        <v/>
      </c>
      <c r="AE124" s="168" t="str">
        <f t="shared" si="41"/>
        <v/>
      </c>
      <c r="AF124" s="196"/>
      <c r="AG124" s="191"/>
      <c r="AH124" s="192"/>
      <c r="AI124" s="114"/>
      <c r="AJ124" s="114"/>
      <c r="AK124" s="191"/>
      <c r="AL124" s="192"/>
      <c r="AM124" s="155"/>
      <c r="AN124" s="155"/>
      <c r="AO124" s="155"/>
      <c r="AP124" s="155"/>
      <c r="AQ124" s="155"/>
      <c r="AR124" s="155"/>
      <c r="AS124" s="155"/>
      <c r="AT124" s="155"/>
      <c r="AU124" s="155"/>
      <c r="AV124" s="155"/>
      <c r="AW124" s="155"/>
      <c r="AX124" s="155"/>
      <c r="AY124" s="155"/>
      <c r="AZ124" s="155"/>
      <c r="BA124" s="155"/>
      <c r="BB124" s="155"/>
      <c r="BC124" s="155"/>
      <c r="BD124" s="155"/>
      <c r="BE124" s="155"/>
      <c r="BF124" s="155"/>
      <c r="BG124" s="155"/>
      <c r="BH124" s="155"/>
      <c r="BI124" s="155"/>
      <c r="BJ124" s="155"/>
      <c r="BK124" s="155"/>
      <c r="BL124" s="155"/>
      <c r="BM124" s="155"/>
      <c r="BN124" s="155"/>
      <c r="BO124" s="155"/>
      <c r="BP124" s="155"/>
      <c r="BQ124" s="155"/>
      <c r="BR124" s="155"/>
    </row>
    <row r="125" spans="1:70" s="156" customFormat="1" ht="16.5" hidden="1" customHeight="1" x14ac:dyDescent="0.25">
      <c r="A125" s="266"/>
      <c r="B125" s="268"/>
      <c r="C125" s="268"/>
      <c r="D125" s="271"/>
      <c r="E125" s="271"/>
      <c r="F125" s="271"/>
      <c r="G125" s="363"/>
      <c r="H125" s="271"/>
      <c r="I125" s="266"/>
      <c r="J125" s="276"/>
      <c r="K125" s="278"/>
      <c r="L125" s="274"/>
      <c r="M125" s="278">
        <f ca="1">IF(NOT(ISERROR(MATCH(L125,_xlfn.ANCHORARRAY(G148),0))),K150&amp;"Por favor no seleccionar los criterios de impacto",L125)</f>
        <v>0</v>
      </c>
      <c r="N125" s="276"/>
      <c r="O125" s="278"/>
      <c r="P125" s="280"/>
      <c r="Q125" s="201">
        <v>5</v>
      </c>
      <c r="R125" s="195"/>
      <c r="S125" s="201" t="str">
        <f t="shared" si="45"/>
        <v/>
      </c>
      <c r="T125" s="196"/>
      <c r="U125" s="196"/>
      <c r="V125" s="167"/>
      <c r="W125" s="196"/>
      <c r="X125" s="196"/>
      <c r="Y125" s="196"/>
      <c r="Z125" s="165" t="str">
        <f>IFERROR(IF(S125="Probabilidad",(K121-(+K121*V125)),IF(S125="Impacto",K121,"")),"")</f>
        <v/>
      </c>
      <c r="AA125" s="166" t="str">
        <f t="shared" si="37"/>
        <v/>
      </c>
      <c r="AB125" s="167" t="str">
        <f>+Z125</f>
        <v/>
      </c>
      <c r="AC125" s="166" t="str">
        <f t="shared" si="39"/>
        <v/>
      </c>
      <c r="AD125" s="167" t="str">
        <f>IFERROR(IF(S125="Impacto",(O121-(+O121*V125)),IF(S125="Probabilidad",O121,"")),"")</f>
        <v/>
      </c>
      <c r="AE125" s="168" t="str">
        <f t="shared" si="41"/>
        <v/>
      </c>
      <c r="AF125" s="196"/>
      <c r="AG125" s="191"/>
      <c r="AH125" s="192"/>
      <c r="AI125" s="114"/>
      <c r="AJ125" s="114"/>
      <c r="AK125" s="191"/>
      <c r="AL125" s="192"/>
      <c r="AM125" s="155"/>
      <c r="AN125" s="155"/>
      <c r="AO125" s="155"/>
      <c r="AP125" s="155"/>
      <c r="AQ125" s="155"/>
      <c r="AR125" s="155"/>
      <c r="AS125" s="155"/>
      <c r="AT125" s="155"/>
      <c r="AU125" s="155"/>
      <c r="AV125" s="155"/>
      <c r="AW125" s="155"/>
      <c r="AX125" s="155"/>
      <c r="AY125" s="155"/>
      <c r="AZ125" s="155"/>
      <c r="BA125" s="155"/>
      <c r="BB125" s="155"/>
      <c r="BC125" s="155"/>
      <c r="BD125" s="155"/>
      <c r="BE125" s="155"/>
      <c r="BF125" s="155"/>
      <c r="BG125" s="155"/>
      <c r="BH125" s="155"/>
      <c r="BI125" s="155"/>
      <c r="BJ125" s="155"/>
      <c r="BK125" s="155"/>
      <c r="BL125" s="155"/>
      <c r="BM125" s="155"/>
      <c r="BN125" s="155"/>
      <c r="BO125" s="155"/>
      <c r="BP125" s="155"/>
      <c r="BQ125" s="155"/>
      <c r="BR125" s="155"/>
    </row>
    <row r="126" spans="1:70" s="156" customFormat="1" ht="16.5" hidden="1" customHeight="1" x14ac:dyDescent="0.25">
      <c r="A126" s="266"/>
      <c r="B126" s="269"/>
      <c r="C126" s="269"/>
      <c r="D126" s="271"/>
      <c r="E126" s="271"/>
      <c r="F126" s="271"/>
      <c r="G126" s="363"/>
      <c r="H126" s="271"/>
      <c r="I126" s="266"/>
      <c r="J126" s="276"/>
      <c r="K126" s="278"/>
      <c r="L126" s="274"/>
      <c r="M126" s="278">
        <f ca="1">IF(NOT(ISERROR(MATCH(L126,_xlfn.ANCHORARRAY(G149),0))),K163&amp;"Por favor no seleccionar los criterios de impacto",L126)</f>
        <v>0</v>
      </c>
      <c r="N126" s="276"/>
      <c r="O126" s="278"/>
      <c r="P126" s="280"/>
      <c r="Q126" s="201">
        <v>6</v>
      </c>
      <c r="R126" s="195"/>
      <c r="S126" s="201" t="str">
        <f t="shared" si="45"/>
        <v/>
      </c>
      <c r="T126" s="196"/>
      <c r="U126" s="196"/>
      <c r="V126" s="167"/>
      <c r="W126" s="196"/>
      <c r="X126" s="196"/>
      <c r="Y126" s="196"/>
      <c r="Z126" s="165" t="str">
        <f t="shared" ref="Z126" si="49">IFERROR(IF(S126="Probabilidad",(K125-(+K125*V126)),IF(S126="Impacto",K125,"")),"")</f>
        <v/>
      </c>
      <c r="AA126" s="166" t="str">
        <f t="shared" si="37"/>
        <v/>
      </c>
      <c r="AB126" s="167" t="str">
        <f t="shared" si="38"/>
        <v/>
      </c>
      <c r="AC126" s="166" t="str">
        <f t="shared" si="39"/>
        <v/>
      </c>
      <c r="AD126" s="167" t="str">
        <f>IFERROR(IF(S126="Impacto",(O121-(+O121*V126)),IF(S126="Probabilidad",O121,"")),"")</f>
        <v/>
      </c>
      <c r="AE126" s="168" t="str">
        <f t="shared" si="41"/>
        <v/>
      </c>
      <c r="AF126" s="196"/>
      <c r="AG126" s="191"/>
      <c r="AH126" s="192"/>
      <c r="AI126" s="114"/>
      <c r="AJ126" s="114"/>
      <c r="AK126" s="191"/>
      <c r="AL126" s="192"/>
      <c r="AM126" s="155"/>
      <c r="AN126" s="155"/>
      <c r="AO126" s="155"/>
      <c r="AP126" s="155"/>
      <c r="AQ126" s="155"/>
      <c r="AR126" s="155"/>
      <c r="AS126" s="155"/>
      <c r="AT126" s="155"/>
      <c r="AU126" s="155"/>
      <c r="AV126" s="155"/>
      <c r="AW126" s="155"/>
      <c r="AX126" s="155"/>
      <c r="AY126" s="155"/>
      <c r="AZ126" s="155"/>
      <c r="BA126" s="155"/>
      <c r="BB126" s="155"/>
      <c r="BC126" s="155"/>
      <c r="BD126" s="155"/>
      <c r="BE126" s="155"/>
      <c r="BF126" s="155"/>
      <c r="BG126" s="155"/>
      <c r="BH126" s="155"/>
      <c r="BI126" s="155"/>
      <c r="BJ126" s="155"/>
      <c r="BK126" s="155"/>
      <c r="BL126" s="155"/>
      <c r="BM126" s="155"/>
      <c r="BN126" s="155"/>
      <c r="BO126" s="155"/>
      <c r="BP126" s="155"/>
      <c r="BQ126" s="155"/>
      <c r="BR126" s="155"/>
    </row>
    <row r="127" spans="1:70" s="156" customFormat="1" ht="96" customHeight="1" x14ac:dyDescent="0.25">
      <c r="A127" s="266">
        <v>20</v>
      </c>
      <c r="B127" s="267" t="s">
        <v>212</v>
      </c>
      <c r="C127" s="267" t="s">
        <v>559</v>
      </c>
      <c r="D127" s="270" t="s">
        <v>130</v>
      </c>
      <c r="E127" s="270" t="s">
        <v>560</v>
      </c>
      <c r="F127" s="270" t="s">
        <v>561</v>
      </c>
      <c r="G127" s="362" t="s">
        <v>562</v>
      </c>
      <c r="H127" s="270" t="s">
        <v>437</v>
      </c>
      <c r="I127" s="281">
        <v>365</v>
      </c>
      <c r="J127" s="275" t="str">
        <f>IF(I127&lt;=0,"",IF(I127&lt;=2,"Muy Baja",IF(I127&lt;=24,"Baja",IF(I127&lt;=500,"Media",IF(I127&lt;=5000,"Alta","Muy Alta")))))</f>
        <v>Media</v>
      </c>
      <c r="K127" s="277">
        <f>IF(J127="","",IF(J127="Muy Baja",0.2,IF(J127="Baja",0.4,IF(J127="Media",0.6,IF(J127="Alta",0.8,IF(J127="Muy Alta",1,))))))</f>
        <v>0.6</v>
      </c>
      <c r="L127" s="273" t="s">
        <v>96</v>
      </c>
      <c r="M127" s="277" t="str">
        <f>IF(NOT(ISERROR(MATCH(L127,'[5]Tabla Impacto'!$B$221:$B$223,0))),'[5]Tabla Impacto'!$F$223&amp;"Por favor no seleccionar los criterios de impacto(Afectación Económica o presupuestal y Pérdida Reputacional)",L127)</f>
        <v>El riesgo afecta la imagen de la entidad internamente, de conocimiento general, nivel interno, de junta dircetiva y accionistas y/o de provedores</v>
      </c>
      <c r="N127" s="275" t="str">
        <f>+IF(OR(M127='[5]Tabla Impacto'!$C$11,M127='[5]Tabla Impacto'!$D$11),"Leve",IF(OR(M127='[5]Tabla Impacto'!$C$12,M127='[5]Tabla Impacto'!$D$12),"Menor",IF(OR(M127='[5]Tabla Impacto'!$C$13,M127='[5]Tabla Impacto'!$D$13),"Moderado",IF(OR(M127='[5]Tabla Impacto'!$C$14,M127='[5]Tabla Impacto'!$D$14),"Mayor",IF(OR(M127='[5]Tabla Impacto'!$C$15,M127='[5]Tabla Impacto'!$D$15),"Catastrófico","")))))</f>
        <v>Menor</v>
      </c>
      <c r="O127" s="277">
        <f>IF(N127="","",IF(N127="Leve",0.2,IF(N127="Menor",0.4,IF(N127="Moderado",0.6,IF(N127="Mayor",0.8,IF(N127="Catastrófico",1,))))))</f>
        <v>0.4</v>
      </c>
      <c r="P127" s="279" t="str">
        <f>IF(OR(AND(J127="Muy Baja",N127="Leve"),AND(J127="Muy Baja",N127="Menor"),AND(J127="Baja",N127="Leve")),"Bajo",IF(OR(AND(J127="Muy baja",N127="Moderado"),AND(J127="Baja",N127="Menor"),AND(J127="Baja",N127="Moderado"),AND(J127="Media",N127="Leve"),AND(J127="Media",N127="Menor"),AND(J127="Media",N127="Moderado"),AND(J127="Alta",N127="Leve"),AND(J127="Alta",N127="Menor")),"Moderado",IF(OR(AND(J127="Muy Baja",N127="Mayor"),AND(J127="Baja",N127="Mayor"),AND(J127="Media",N127="Mayor"),AND(J127="Alta",N127="Moderado"),AND(J127="Alta",N127="Mayor"),AND(J127="Muy Alta",N127="Leve"),AND(J127="Muy Alta",N127="Menor"),AND(J127="Muy Alta",N127="Moderado"),AND(J127="Muy Alta",N127="Mayor")),"Alto",IF(OR(AND(J127="Muy Baja",N127="Catastrófico"),AND(J127="Baja",N127="Catastrófico"),AND(J127="Media",N127="Catastrófico"),AND(J127="Alta",N127="Catastrófico"),AND(J127="Muy Alta",N127="Catastrófico")),"Extremo",""))))</f>
        <v>Moderado</v>
      </c>
      <c r="Q127" s="201">
        <v>1</v>
      </c>
      <c r="R127" s="195" t="s">
        <v>568</v>
      </c>
      <c r="S127" s="201" t="str">
        <f t="shared" si="45"/>
        <v>Probabilidad</v>
      </c>
      <c r="T127" s="196" t="s">
        <v>14</v>
      </c>
      <c r="U127" s="196" t="s">
        <v>9</v>
      </c>
      <c r="V127" s="167" t="str">
        <f t="shared" ref="V127:V159" si="50">IF(AND(T127="Preventivo",U127="Automático"),"50%",IF(AND(T127="Preventivo",U127="Manual"),"40%",IF(AND(T127="Detectivo",U127="Automático"),"40%",IF(AND(T127="Detectivo",U127="Manual"),"30%",IF(AND(T127="Correctivo",U127="Automático"),"35%",IF(AND(T127="Correctivo",U127="Manual"),"25%",""))))))</f>
        <v>40%</v>
      </c>
      <c r="W127" s="196" t="s">
        <v>19</v>
      </c>
      <c r="X127" s="196" t="s">
        <v>22</v>
      </c>
      <c r="Y127" s="196" t="s">
        <v>117</v>
      </c>
      <c r="Z127" s="165">
        <f>IFERROR(IF(S127="Probabilidad",(K127-(+K127*V127)),IF(S127="Impacto",K127,"")),"")</f>
        <v>0.36</v>
      </c>
      <c r="AA127" s="166" t="str">
        <f t="shared" si="37"/>
        <v>Baja</v>
      </c>
      <c r="AB127" s="167">
        <f t="shared" si="38"/>
        <v>0.36</v>
      </c>
      <c r="AC127" s="166" t="str">
        <f t="shared" si="39"/>
        <v>Menor</v>
      </c>
      <c r="AD127" s="167">
        <f>IFERROR(IF(S127="Impacto",(O127-(+O127*V127)),IF(S127="Probabilidad",O127,"")),"")</f>
        <v>0.4</v>
      </c>
      <c r="AE127" s="168" t="str">
        <f t="shared" si="41"/>
        <v>Moderado</v>
      </c>
      <c r="AF127" s="113" t="s">
        <v>31</v>
      </c>
      <c r="AG127" s="191"/>
      <c r="AH127" s="192"/>
      <c r="AI127" s="114"/>
      <c r="AJ127" s="114"/>
      <c r="AK127" s="191"/>
      <c r="AL127" s="192"/>
      <c r="AM127" s="155"/>
      <c r="AN127" s="155"/>
      <c r="AO127" s="155"/>
      <c r="AP127" s="155"/>
      <c r="AQ127" s="155"/>
      <c r="AR127" s="155"/>
      <c r="AS127" s="155"/>
      <c r="AT127" s="155"/>
      <c r="AU127" s="155"/>
      <c r="AV127" s="155"/>
      <c r="AW127" s="155"/>
      <c r="AX127" s="155"/>
      <c r="AY127" s="155"/>
      <c r="AZ127" s="155"/>
      <c r="BA127" s="155"/>
      <c r="BB127" s="155"/>
      <c r="BC127" s="155"/>
      <c r="BD127" s="155"/>
      <c r="BE127" s="155"/>
      <c r="BF127" s="155"/>
      <c r="BG127" s="155"/>
      <c r="BH127" s="155"/>
      <c r="BI127" s="155"/>
      <c r="BJ127" s="155"/>
      <c r="BK127" s="155"/>
      <c r="BL127" s="155"/>
      <c r="BM127" s="155"/>
      <c r="BN127" s="155"/>
      <c r="BO127" s="155"/>
      <c r="BP127" s="155"/>
      <c r="BQ127" s="155"/>
      <c r="BR127" s="155"/>
    </row>
    <row r="128" spans="1:70" s="156" customFormat="1" ht="16.5" hidden="1" customHeight="1" x14ac:dyDescent="0.25">
      <c r="A128" s="266"/>
      <c r="B128" s="268"/>
      <c r="C128" s="268"/>
      <c r="D128" s="271"/>
      <c r="E128" s="271"/>
      <c r="F128" s="271"/>
      <c r="G128" s="363"/>
      <c r="H128" s="271"/>
      <c r="I128" s="266"/>
      <c r="J128" s="276"/>
      <c r="K128" s="278"/>
      <c r="L128" s="274"/>
      <c r="M128" s="278">
        <f ca="1">IF(NOT(ISERROR(MATCH(L128,_xlfn.ANCHORARRAY(G151),0))),K153&amp;"Por favor no seleccionar los criterios de impacto",L128)</f>
        <v>0</v>
      </c>
      <c r="N128" s="276"/>
      <c r="O128" s="278"/>
      <c r="P128" s="280"/>
      <c r="Q128" s="201">
        <v>2</v>
      </c>
      <c r="R128" s="195"/>
      <c r="S128" s="201" t="str">
        <f t="shared" si="45"/>
        <v/>
      </c>
      <c r="T128" s="196"/>
      <c r="U128" s="196"/>
      <c r="V128" s="167" t="str">
        <f t="shared" si="50"/>
        <v/>
      </c>
      <c r="W128" s="196"/>
      <c r="X128" s="196"/>
      <c r="Y128" s="196"/>
      <c r="Z128" s="165"/>
      <c r="AA128" s="166"/>
      <c r="AB128" s="167"/>
      <c r="AC128" s="166"/>
      <c r="AD128" s="167"/>
      <c r="AE128" s="168" t="str">
        <f t="shared" si="41"/>
        <v/>
      </c>
      <c r="AF128" s="196"/>
      <c r="AG128" s="191"/>
      <c r="AH128" s="192"/>
      <c r="AI128" s="114"/>
      <c r="AJ128" s="114"/>
      <c r="AK128" s="191"/>
      <c r="AL128" s="192"/>
      <c r="AM128" s="155"/>
      <c r="AN128" s="155"/>
      <c r="AO128" s="155"/>
      <c r="AP128" s="155"/>
      <c r="AQ128" s="155"/>
      <c r="AR128" s="155"/>
      <c r="AS128" s="155"/>
      <c r="AT128" s="155"/>
      <c r="AU128" s="155"/>
      <c r="AV128" s="155"/>
      <c r="AW128" s="155"/>
      <c r="AX128" s="155"/>
      <c r="AY128" s="155"/>
      <c r="AZ128" s="155"/>
      <c r="BA128" s="155"/>
      <c r="BB128" s="155"/>
      <c r="BC128" s="155"/>
      <c r="BD128" s="155"/>
      <c r="BE128" s="155"/>
      <c r="BF128" s="155"/>
      <c r="BG128" s="155"/>
      <c r="BH128" s="155"/>
      <c r="BI128" s="155"/>
      <c r="BJ128" s="155"/>
      <c r="BK128" s="155"/>
      <c r="BL128" s="155"/>
      <c r="BM128" s="155"/>
      <c r="BN128" s="155"/>
      <c r="BO128" s="155"/>
      <c r="BP128" s="155"/>
      <c r="BQ128" s="155"/>
      <c r="BR128" s="155"/>
    </row>
    <row r="129" spans="1:70" s="156" customFormat="1" ht="16.5" hidden="1" customHeight="1" x14ac:dyDescent="0.25">
      <c r="A129" s="266"/>
      <c r="B129" s="268"/>
      <c r="C129" s="268"/>
      <c r="D129" s="271"/>
      <c r="E129" s="271"/>
      <c r="F129" s="271"/>
      <c r="G129" s="363"/>
      <c r="H129" s="271"/>
      <c r="I129" s="266"/>
      <c r="J129" s="276"/>
      <c r="K129" s="278"/>
      <c r="L129" s="274"/>
      <c r="M129" s="278">
        <f ca="1">IF(NOT(ISERROR(MATCH(L129,_xlfn.ANCHORARRAY(G152),0))),K154&amp;"Por favor no seleccionar los criterios de impacto",L129)</f>
        <v>0</v>
      </c>
      <c r="N129" s="276"/>
      <c r="O129" s="278"/>
      <c r="P129" s="280"/>
      <c r="Q129" s="201">
        <v>3</v>
      </c>
      <c r="R129" s="195"/>
      <c r="S129" s="201" t="str">
        <f t="shared" si="45"/>
        <v/>
      </c>
      <c r="T129" s="196"/>
      <c r="U129" s="196"/>
      <c r="V129" s="167" t="str">
        <f t="shared" si="50"/>
        <v/>
      </c>
      <c r="W129" s="196"/>
      <c r="X129" s="196"/>
      <c r="Y129" s="196"/>
      <c r="Z129" s="165"/>
      <c r="AA129" s="166"/>
      <c r="AB129" s="167"/>
      <c r="AC129" s="166"/>
      <c r="AD129" s="167" t="str">
        <f t="shared" ref="AD129:AD132" si="51">IFERROR(IF(S128="Impacto",(O128-(+O128*V128)),IF(S128="Probabilidad",O128,"")),"")</f>
        <v/>
      </c>
      <c r="AE129" s="168" t="str">
        <f t="shared" si="41"/>
        <v/>
      </c>
      <c r="AF129" s="196"/>
      <c r="AG129" s="191"/>
      <c r="AH129" s="192"/>
      <c r="AI129" s="114"/>
      <c r="AJ129" s="114"/>
      <c r="AK129" s="191"/>
      <c r="AL129" s="192"/>
      <c r="AM129" s="155"/>
      <c r="AN129" s="155"/>
      <c r="AO129" s="155"/>
      <c r="AP129" s="155"/>
      <c r="AQ129" s="155"/>
      <c r="AR129" s="155"/>
      <c r="AS129" s="155"/>
      <c r="AT129" s="155"/>
      <c r="AU129" s="155"/>
      <c r="AV129" s="155"/>
      <c r="AW129" s="155"/>
      <c r="AX129" s="155"/>
      <c r="AY129" s="155"/>
      <c r="AZ129" s="155"/>
      <c r="BA129" s="155"/>
      <c r="BB129" s="155"/>
      <c r="BC129" s="155"/>
      <c r="BD129" s="155"/>
      <c r="BE129" s="155"/>
      <c r="BF129" s="155"/>
      <c r="BG129" s="155"/>
      <c r="BH129" s="155"/>
      <c r="BI129" s="155"/>
      <c r="BJ129" s="155"/>
      <c r="BK129" s="155"/>
      <c r="BL129" s="155"/>
      <c r="BM129" s="155"/>
      <c r="BN129" s="155"/>
      <c r="BO129" s="155"/>
      <c r="BP129" s="155"/>
      <c r="BQ129" s="155"/>
      <c r="BR129" s="155"/>
    </row>
    <row r="130" spans="1:70" s="156" customFormat="1" ht="16.5" hidden="1" customHeight="1" x14ac:dyDescent="0.25">
      <c r="A130" s="266"/>
      <c r="B130" s="268"/>
      <c r="C130" s="268"/>
      <c r="D130" s="271"/>
      <c r="E130" s="271"/>
      <c r="F130" s="271"/>
      <c r="G130" s="363"/>
      <c r="H130" s="271"/>
      <c r="I130" s="266"/>
      <c r="J130" s="276"/>
      <c r="K130" s="278"/>
      <c r="L130" s="274"/>
      <c r="M130" s="278">
        <f ca="1">IF(NOT(ISERROR(MATCH(L130,_xlfn.ANCHORARRAY(G153),0))),K155&amp;"Por favor no seleccionar los criterios de impacto",L130)</f>
        <v>0</v>
      </c>
      <c r="N130" s="276"/>
      <c r="O130" s="278"/>
      <c r="P130" s="280"/>
      <c r="Q130" s="201">
        <v>4</v>
      </c>
      <c r="R130" s="195"/>
      <c r="S130" s="201" t="str">
        <f t="shared" si="45"/>
        <v/>
      </c>
      <c r="T130" s="196"/>
      <c r="U130" s="196"/>
      <c r="V130" s="167" t="str">
        <f t="shared" si="50"/>
        <v/>
      </c>
      <c r="W130" s="196"/>
      <c r="X130" s="196"/>
      <c r="Y130" s="196"/>
      <c r="Z130" s="165"/>
      <c r="AA130" s="166"/>
      <c r="AB130" s="167"/>
      <c r="AC130" s="166"/>
      <c r="AD130" s="167" t="str">
        <f t="shared" si="51"/>
        <v/>
      </c>
      <c r="AE130" s="168" t="str">
        <f t="shared" si="41"/>
        <v/>
      </c>
      <c r="AF130" s="196"/>
      <c r="AG130" s="191"/>
      <c r="AH130" s="192"/>
      <c r="AI130" s="114"/>
      <c r="AJ130" s="114"/>
      <c r="AK130" s="191"/>
      <c r="AL130" s="192"/>
      <c r="AM130" s="155"/>
      <c r="AN130" s="155"/>
      <c r="AO130" s="155"/>
      <c r="AP130" s="155"/>
      <c r="AQ130" s="155"/>
      <c r="AR130" s="155"/>
      <c r="AS130" s="155"/>
      <c r="AT130" s="155"/>
      <c r="AU130" s="155"/>
      <c r="AV130" s="155"/>
      <c r="AW130" s="155"/>
      <c r="AX130" s="155"/>
      <c r="AY130" s="155"/>
      <c r="AZ130" s="155"/>
      <c r="BA130" s="155"/>
      <c r="BB130" s="155"/>
      <c r="BC130" s="155"/>
      <c r="BD130" s="155"/>
      <c r="BE130" s="155"/>
      <c r="BF130" s="155"/>
      <c r="BG130" s="155"/>
      <c r="BH130" s="155"/>
      <c r="BI130" s="155"/>
      <c r="BJ130" s="155"/>
      <c r="BK130" s="155"/>
      <c r="BL130" s="155"/>
      <c r="BM130" s="155"/>
      <c r="BN130" s="155"/>
      <c r="BO130" s="155"/>
      <c r="BP130" s="155"/>
      <c r="BQ130" s="155"/>
      <c r="BR130" s="155"/>
    </row>
    <row r="131" spans="1:70" s="156" customFormat="1" ht="16.5" hidden="1" customHeight="1" x14ac:dyDescent="0.25">
      <c r="A131" s="266"/>
      <c r="B131" s="268"/>
      <c r="C131" s="268"/>
      <c r="D131" s="271"/>
      <c r="E131" s="271"/>
      <c r="F131" s="271"/>
      <c r="G131" s="363"/>
      <c r="H131" s="271"/>
      <c r="I131" s="266"/>
      <c r="J131" s="276"/>
      <c r="K131" s="278"/>
      <c r="L131" s="274"/>
      <c r="M131" s="278">
        <f ca="1">IF(NOT(ISERROR(MATCH(L131,_xlfn.ANCHORARRAY(G154),0))),K156&amp;"Por favor no seleccionar los criterios de impacto",L131)</f>
        <v>0</v>
      </c>
      <c r="N131" s="276"/>
      <c r="O131" s="278"/>
      <c r="P131" s="280"/>
      <c r="Q131" s="201">
        <v>5</v>
      </c>
      <c r="R131" s="195"/>
      <c r="S131" s="201" t="str">
        <f t="shared" si="45"/>
        <v/>
      </c>
      <c r="T131" s="196"/>
      <c r="U131" s="196"/>
      <c r="V131" s="167" t="str">
        <f t="shared" si="50"/>
        <v/>
      </c>
      <c r="W131" s="196"/>
      <c r="X131" s="196"/>
      <c r="Y131" s="196"/>
      <c r="Z131" s="165"/>
      <c r="AA131" s="166"/>
      <c r="AB131" s="167"/>
      <c r="AC131" s="166"/>
      <c r="AD131" s="167" t="str">
        <f t="shared" si="51"/>
        <v/>
      </c>
      <c r="AE131" s="168" t="str">
        <f t="shared" si="41"/>
        <v/>
      </c>
      <c r="AF131" s="196"/>
      <c r="AG131" s="191"/>
      <c r="AH131" s="192"/>
      <c r="AI131" s="114"/>
      <c r="AJ131" s="114"/>
      <c r="AK131" s="191"/>
      <c r="AL131" s="192"/>
      <c r="AM131" s="155"/>
      <c r="AN131" s="155"/>
      <c r="AO131" s="155"/>
      <c r="AP131" s="155"/>
      <c r="AQ131" s="155"/>
      <c r="AR131" s="155"/>
      <c r="AS131" s="155"/>
      <c r="AT131" s="155"/>
      <c r="AU131" s="155"/>
      <c r="AV131" s="155"/>
      <c r="AW131" s="155"/>
      <c r="AX131" s="155"/>
      <c r="AY131" s="155"/>
      <c r="AZ131" s="155"/>
      <c r="BA131" s="155"/>
      <c r="BB131" s="155"/>
      <c r="BC131" s="155"/>
      <c r="BD131" s="155"/>
      <c r="BE131" s="155"/>
      <c r="BF131" s="155"/>
      <c r="BG131" s="155"/>
      <c r="BH131" s="155"/>
      <c r="BI131" s="155"/>
      <c r="BJ131" s="155"/>
      <c r="BK131" s="155"/>
      <c r="BL131" s="155"/>
      <c r="BM131" s="155"/>
      <c r="BN131" s="155"/>
      <c r="BO131" s="155"/>
      <c r="BP131" s="155"/>
      <c r="BQ131" s="155"/>
      <c r="BR131" s="155"/>
    </row>
    <row r="132" spans="1:70" s="156" customFormat="1" ht="16.5" hidden="1" customHeight="1" x14ac:dyDescent="0.25">
      <c r="A132" s="266"/>
      <c r="B132" s="269"/>
      <c r="C132" s="269"/>
      <c r="D132" s="271"/>
      <c r="E132" s="271"/>
      <c r="F132" s="271"/>
      <c r="G132" s="363"/>
      <c r="H132" s="271"/>
      <c r="I132" s="266"/>
      <c r="J132" s="276"/>
      <c r="K132" s="278"/>
      <c r="L132" s="274"/>
      <c r="M132" s="278">
        <f ca="1">IF(NOT(ISERROR(MATCH(L132,_xlfn.ANCHORARRAY(G155),0))),K169&amp;"Por favor no seleccionar los criterios de impacto",L132)</f>
        <v>0</v>
      </c>
      <c r="N132" s="276"/>
      <c r="O132" s="278"/>
      <c r="P132" s="280"/>
      <c r="Q132" s="201">
        <v>6</v>
      </c>
      <c r="R132" s="195"/>
      <c r="S132" s="201" t="str">
        <f t="shared" si="45"/>
        <v/>
      </c>
      <c r="T132" s="196"/>
      <c r="U132" s="196"/>
      <c r="V132" s="167" t="str">
        <f t="shared" si="50"/>
        <v/>
      </c>
      <c r="W132" s="196"/>
      <c r="X132" s="196"/>
      <c r="Y132" s="196"/>
      <c r="Z132" s="165"/>
      <c r="AA132" s="166"/>
      <c r="AB132" s="167"/>
      <c r="AC132" s="166"/>
      <c r="AD132" s="167" t="str">
        <f t="shared" si="51"/>
        <v/>
      </c>
      <c r="AE132" s="168" t="str">
        <f t="shared" si="41"/>
        <v/>
      </c>
      <c r="AF132" s="196"/>
      <c r="AG132" s="191"/>
      <c r="AH132" s="192"/>
      <c r="AI132" s="114"/>
      <c r="AJ132" s="114"/>
      <c r="AK132" s="191"/>
      <c r="AL132" s="192"/>
      <c r="AM132" s="155"/>
      <c r="AN132" s="155"/>
      <c r="AO132" s="155"/>
      <c r="AP132" s="155"/>
      <c r="AQ132" s="155"/>
      <c r="AR132" s="155"/>
      <c r="AS132" s="155"/>
      <c r="AT132" s="155"/>
      <c r="AU132" s="155"/>
      <c r="AV132" s="155"/>
      <c r="AW132" s="155"/>
      <c r="AX132" s="155"/>
      <c r="AY132" s="155"/>
      <c r="AZ132" s="155"/>
      <c r="BA132" s="155"/>
      <c r="BB132" s="155"/>
      <c r="BC132" s="155"/>
      <c r="BD132" s="155"/>
      <c r="BE132" s="155"/>
      <c r="BF132" s="155"/>
      <c r="BG132" s="155"/>
      <c r="BH132" s="155"/>
      <c r="BI132" s="155"/>
      <c r="BJ132" s="155"/>
      <c r="BK132" s="155"/>
      <c r="BL132" s="155"/>
      <c r="BM132" s="155"/>
      <c r="BN132" s="155"/>
      <c r="BO132" s="155"/>
      <c r="BP132" s="155"/>
      <c r="BQ132" s="155"/>
      <c r="BR132" s="155"/>
    </row>
    <row r="133" spans="1:70" s="156" customFormat="1" ht="77.25" customHeight="1" x14ac:dyDescent="0.25">
      <c r="A133" s="266">
        <v>21</v>
      </c>
      <c r="B133" s="267" t="s">
        <v>212</v>
      </c>
      <c r="C133" s="267" t="s">
        <v>572</v>
      </c>
      <c r="D133" s="270" t="s">
        <v>130</v>
      </c>
      <c r="E133" s="270" t="s">
        <v>573</v>
      </c>
      <c r="F133" s="270" t="s">
        <v>574</v>
      </c>
      <c r="G133" s="362" t="s">
        <v>575</v>
      </c>
      <c r="H133" s="270" t="s">
        <v>437</v>
      </c>
      <c r="I133" s="281">
        <v>5000</v>
      </c>
      <c r="J133" s="275" t="str">
        <f>IF(I133&lt;=0,"",IF(I133&lt;=2,"Muy Baja",IF(I133&lt;=24,"Baja",IF(I133&lt;=500,"Media",IF(I133&lt;=5000,"Alta","Muy Alta")))))</f>
        <v>Alta</v>
      </c>
      <c r="K133" s="277">
        <f>IF(J133="","",IF(J133="Muy Baja",0.2,IF(J133="Baja",0.4,IF(J133="Media",0.6,IF(J133="Alta",0.8,IF(J133="Muy Alta",1,))))))</f>
        <v>0.8</v>
      </c>
      <c r="L133" s="273" t="s">
        <v>96</v>
      </c>
      <c r="M133" s="277" t="str">
        <f>IF(NOT(ISERROR(MATCH(L133,'[5]Tabla Impacto'!$B$221:$B$223,0))),'[5]Tabla Impacto'!$F$223&amp;"Por favor no seleccionar los criterios de impacto(Afectación Económica o presupuestal y Pérdida Reputacional)",L133)</f>
        <v>El riesgo afecta la imagen de la entidad internamente, de conocimiento general, nivel interno, de junta dircetiva y accionistas y/o de provedores</v>
      </c>
      <c r="N133" s="275" t="str">
        <f>+IF(OR(M133='[5]Tabla Impacto'!$C$11,M133='[5]Tabla Impacto'!$D$11),"Leve",IF(OR(M133='[5]Tabla Impacto'!$C$12,M133='[5]Tabla Impacto'!$D$12),"Menor",IF(OR(M133='[5]Tabla Impacto'!$C$13,M133='[5]Tabla Impacto'!$D$13),"Moderado",IF(OR(M133='[5]Tabla Impacto'!$C$14,M133='[5]Tabla Impacto'!$D$14),"Mayor",IF(OR(M133='[5]Tabla Impacto'!$C$15,M133='[5]Tabla Impacto'!$D$15),"Catastrófico","")))))</f>
        <v>Menor</v>
      </c>
      <c r="O133" s="277">
        <f>IF(N133="","",IF(N133="Leve",0.2,IF(N133="Menor",0.4,IF(N133="Moderado",0.6,IF(N133="Mayor",0.8,IF(N133="Catastrófico",1,))))))</f>
        <v>0.4</v>
      </c>
      <c r="P133" s="279" t="str">
        <f>IF(OR(AND(J133="Muy Baja",N133="Leve"),AND(J133="Muy Baja",N133="Menor"),AND(J133="Baja",N133="Leve")),"Bajo",IF(OR(AND(J133="Muy baja",N133="Moderado"),AND(J133="Baja",N133="Menor"),AND(J133="Baja",N133="Moderado"),AND(J133="Media",N133="Leve"),AND(J133="Media",N133="Menor"),AND(J133="Media",N133="Moderado"),AND(J133="Alta",N133="Leve"),AND(J133="Alta",N133="Menor")),"Moderado",IF(OR(AND(J133="Muy Baja",N133="Mayor"),AND(J133="Baja",N133="Mayor"),AND(J133="Media",N133="Mayor"),AND(J133="Alta",N133="Moderado"),AND(J133="Alta",N133="Mayor"),AND(J133="Muy Alta",N133="Leve"),AND(J133="Muy Alta",N133="Menor"),AND(J133="Muy Alta",N133="Moderado"),AND(J133="Muy Alta",N133="Mayor")),"Alto",IF(OR(AND(J133="Muy Baja",N133="Catastrófico"),AND(J133="Baja",N133="Catastrófico"),AND(J133="Media",N133="Catastrófico"),AND(J133="Alta",N133="Catastrófico"),AND(J133="Muy Alta",N133="Catastrófico")),"Extremo",""))))</f>
        <v>Moderado</v>
      </c>
      <c r="Q133" s="201">
        <v>1</v>
      </c>
      <c r="R133" s="112" t="s">
        <v>595</v>
      </c>
      <c r="S133" s="201" t="str">
        <f t="shared" si="45"/>
        <v>Probabilidad</v>
      </c>
      <c r="T133" s="113" t="s">
        <v>14</v>
      </c>
      <c r="U133" s="113" t="s">
        <v>9</v>
      </c>
      <c r="V133" s="167" t="str">
        <f t="shared" si="50"/>
        <v>40%</v>
      </c>
      <c r="W133" s="113" t="s">
        <v>19</v>
      </c>
      <c r="X133" s="113" t="s">
        <v>22</v>
      </c>
      <c r="Y133" s="113" t="s">
        <v>117</v>
      </c>
      <c r="Z133" s="165">
        <f t="shared" ref="Z133" si="52">IFERROR(IF(S133="Probabilidad",(K133-(+K133*V133)),IF(S133="Impacto",K133,"")),"")</f>
        <v>0.48</v>
      </c>
      <c r="AA133" s="166" t="str">
        <f t="shared" ref="AA133:AA152" si="53">IFERROR(IF(Z133="","",IF(Z133&lt;=0.2,"Muy Baja",IF(Z133&lt;=0.4,"Baja",IF(Z133&lt;=0.6,"Media",IF(Z133&lt;=0.8,"Alta","Muy Alta"))))),"")</f>
        <v>Media</v>
      </c>
      <c r="AB133" s="167">
        <f t="shared" ref="AB133:AB152" si="54">+Z133</f>
        <v>0.48</v>
      </c>
      <c r="AC133" s="166" t="str">
        <f t="shared" ref="AC133:AC152" si="55">IFERROR(IF(AD133="","",IF(AD133&lt;=0.2,"Leve",IF(AD133&lt;=0.4,"Menor",IF(AD133&lt;=0.6,"Moderado",IF(AD133&lt;=0.8,"Mayor","Catastrófico"))))),"")</f>
        <v>Menor</v>
      </c>
      <c r="AD133" s="167">
        <f t="shared" ref="AD133:AD145" si="56">IFERROR(IF(S133="Impacto",(O133-(+O133*V133)),IF(S133="Probabilidad",O133,"")),"")</f>
        <v>0.4</v>
      </c>
      <c r="AE133" s="168" t="str">
        <f t="shared" si="41"/>
        <v>Moderado</v>
      </c>
      <c r="AF133" s="113" t="s">
        <v>31</v>
      </c>
      <c r="AG133" s="191"/>
      <c r="AH133" s="192"/>
      <c r="AI133" s="114"/>
      <c r="AJ133" s="114"/>
      <c r="AK133" s="191"/>
      <c r="AL133" s="192"/>
      <c r="AM133" s="155"/>
      <c r="AN133" s="155"/>
      <c r="AO133" s="155"/>
      <c r="AP133" s="155"/>
      <c r="AQ133" s="155"/>
      <c r="AR133" s="155"/>
      <c r="AS133" s="155"/>
      <c r="AT133" s="155"/>
      <c r="AU133" s="155"/>
      <c r="AV133" s="155"/>
      <c r="AW133" s="155"/>
      <c r="AX133" s="155"/>
      <c r="AY133" s="155"/>
      <c r="AZ133" s="155"/>
      <c r="BA133" s="155"/>
      <c r="BB133" s="155"/>
      <c r="BC133" s="155"/>
      <c r="BD133" s="155"/>
      <c r="BE133" s="155"/>
      <c r="BF133" s="155"/>
      <c r="BG133" s="155"/>
      <c r="BH133" s="155"/>
      <c r="BI133" s="155"/>
      <c r="BJ133" s="155"/>
      <c r="BK133" s="155"/>
      <c r="BL133" s="155"/>
      <c r="BM133" s="155"/>
      <c r="BN133" s="155"/>
      <c r="BO133" s="155"/>
      <c r="BP133" s="155"/>
      <c r="BQ133" s="155"/>
      <c r="BR133" s="155"/>
    </row>
    <row r="134" spans="1:70" s="156" customFormat="1" ht="77.25" customHeight="1" x14ac:dyDescent="0.25">
      <c r="A134" s="266"/>
      <c r="B134" s="294"/>
      <c r="C134" s="294"/>
      <c r="D134" s="270"/>
      <c r="E134" s="270"/>
      <c r="F134" s="270"/>
      <c r="G134" s="362"/>
      <c r="H134" s="270"/>
      <c r="I134" s="281"/>
      <c r="J134" s="275"/>
      <c r="K134" s="277"/>
      <c r="L134" s="273"/>
      <c r="M134" s="277">
        <f ca="1">IF(NOT(ISERROR(MATCH(L134,_xlfn.ANCHORARRAY(G163),0))),K165&amp;"Por favor no seleccionar los criterios de impacto",L134)</f>
        <v>0</v>
      </c>
      <c r="N134" s="275"/>
      <c r="O134" s="277"/>
      <c r="P134" s="279"/>
      <c r="Q134" s="201">
        <v>2</v>
      </c>
      <c r="R134" s="112" t="s">
        <v>589</v>
      </c>
      <c r="S134" s="201" t="str">
        <f t="shared" si="45"/>
        <v>Probabilidad</v>
      </c>
      <c r="T134" s="113" t="s">
        <v>14</v>
      </c>
      <c r="U134" s="113" t="s">
        <v>9</v>
      </c>
      <c r="V134" s="167" t="str">
        <f t="shared" si="50"/>
        <v>40%</v>
      </c>
      <c r="W134" s="113" t="s">
        <v>19</v>
      </c>
      <c r="X134" s="113" t="s">
        <v>22</v>
      </c>
      <c r="Y134" s="113" t="s">
        <v>117</v>
      </c>
      <c r="Z134" s="165">
        <f>IFERROR(IF(S134="Probabilidad",(K133-(+K133*V134)),IF(S134="Impacto",K133,"")),"")</f>
        <v>0.48</v>
      </c>
      <c r="AA134" s="166" t="str">
        <f t="shared" si="53"/>
        <v>Media</v>
      </c>
      <c r="AB134" s="167">
        <f t="shared" si="54"/>
        <v>0.48</v>
      </c>
      <c r="AC134" s="166" t="str">
        <f t="shared" si="55"/>
        <v>Menor</v>
      </c>
      <c r="AD134" s="167">
        <f>IFERROR(IF(S133="Impacto",(O133-(+O133*V133)),IF(S133="Probabilidad",O133,"")),"")</f>
        <v>0.4</v>
      </c>
      <c r="AE134" s="168" t="str">
        <f t="shared" si="41"/>
        <v>Moderado</v>
      </c>
      <c r="AF134" s="113" t="s">
        <v>31</v>
      </c>
      <c r="AG134" s="191"/>
      <c r="AH134" s="192"/>
      <c r="AI134" s="114"/>
      <c r="AJ134" s="114"/>
      <c r="AK134" s="191"/>
      <c r="AL134" s="192"/>
      <c r="AM134" s="155"/>
      <c r="AN134" s="155"/>
      <c r="AO134" s="155"/>
      <c r="AP134" s="155"/>
      <c r="AQ134" s="155"/>
      <c r="AR134" s="155"/>
      <c r="AS134" s="155"/>
      <c r="AT134" s="155"/>
      <c r="AU134" s="155"/>
      <c r="AV134" s="155"/>
      <c r="AW134" s="155"/>
      <c r="AX134" s="155"/>
      <c r="AY134" s="155"/>
      <c r="AZ134" s="155"/>
      <c r="BA134" s="155"/>
      <c r="BB134" s="155"/>
      <c r="BC134" s="155"/>
      <c r="BD134" s="155"/>
      <c r="BE134" s="155"/>
      <c r="BF134" s="155"/>
      <c r="BG134" s="155"/>
      <c r="BH134" s="155"/>
      <c r="BI134" s="155"/>
      <c r="BJ134" s="155"/>
      <c r="BK134" s="155"/>
      <c r="BL134" s="155"/>
      <c r="BM134" s="155"/>
      <c r="BN134" s="155"/>
      <c r="BO134" s="155"/>
      <c r="BP134" s="155"/>
      <c r="BQ134" s="155"/>
      <c r="BR134" s="155"/>
    </row>
    <row r="135" spans="1:70" s="156" customFormat="1" ht="16.5" hidden="1" customHeight="1" x14ac:dyDescent="0.25">
      <c r="A135" s="266"/>
      <c r="B135" s="268"/>
      <c r="C135" s="268"/>
      <c r="D135" s="271"/>
      <c r="E135" s="271"/>
      <c r="F135" s="271"/>
      <c r="G135" s="363"/>
      <c r="H135" s="271"/>
      <c r="I135" s="266"/>
      <c r="J135" s="276"/>
      <c r="K135" s="278"/>
      <c r="L135" s="274"/>
      <c r="M135" s="278">
        <f ca="1">IF(NOT(ISERROR(MATCH(L135,_xlfn.ANCHORARRAY(G164),0))),K166&amp;"Por favor no seleccionar los criterios de impacto",L135)</f>
        <v>0</v>
      </c>
      <c r="N135" s="276"/>
      <c r="O135" s="278"/>
      <c r="P135" s="280"/>
      <c r="Q135" s="201">
        <v>3</v>
      </c>
      <c r="R135" s="112"/>
      <c r="S135" s="201" t="str">
        <f t="shared" si="45"/>
        <v/>
      </c>
      <c r="T135" s="113"/>
      <c r="U135" s="113"/>
      <c r="V135" s="167" t="str">
        <f t="shared" si="50"/>
        <v/>
      </c>
      <c r="W135" s="113"/>
      <c r="X135" s="113"/>
      <c r="Y135" s="113"/>
      <c r="Z135" s="165" t="str">
        <f t="shared" ref="Z135:Z138" si="57">IFERROR(IF(S135="Probabilidad",(K134-(+K134*V135)),IF(S135="Impacto",K134,"")),"")</f>
        <v/>
      </c>
      <c r="AA135" s="166" t="str">
        <f t="shared" si="53"/>
        <v/>
      </c>
      <c r="AB135" s="167" t="str">
        <f t="shared" si="54"/>
        <v/>
      </c>
      <c r="AC135" s="166"/>
      <c r="AD135" s="167"/>
      <c r="AE135" s="168" t="str">
        <f t="shared" si="41"/>
        <v/>
      </c>
      <c r="AF135" s="113"/>
      <c r="AG135" s="191"/>
      <c r="AH135" s="192"/>
      <c r="AI135" s="114"/>
      <c r="AJ135" s="114"/>
      <c r="AK135" s="191"/>
      <c r="AL135" s="192"/>
      <c r="AM135" s="155"/>
      <c r="AN135" s="155"/>
      <c r="AO135" s="155"/>
      <c r="AP135" s="155"/>
      <c r="AQ135" s="155"/>
      <c r="AR135" s="155"/>
      <c r="AS135" s="155"/>
      <c r="AT135" s="155"/>
      <c r="AU135" s="155"/>
      <c r="AV135" s="155"/>
      <c r="AW135" s="155"/>
      <c r="AX135" s="155"/>
      <c r="AY135" s="155"/>
      <c r="AZ135" s="155"/>
      <c r="BA135" s="155"/>
      <c r="BB135" s="155"/>
      <c r="BC135" s="155"/>
      <c r="BD135" s="155"/>
      <c r="BE135" s="155"/>
      <c r="BF135" s="155"/>
      <c r="BG135" s="155"/>
      <c r="BH135" s="155"/>
      <c r="BI135" s="155"/>
      <c r="BJ135" s="155"/>
      <c r="BK135" s="155"/>
      <c r="BL135" s="155"/>
      <c r="BM135" s="155"/>
      <c r="BN135" s="155"/>
      <c r="BO135" s="155"/>
      <c r="BP135" s="155"/>
      <c r="BQ135" s="155"/>
      <c r="BR135" s="155"/>
    </row>
    <row r="136" spans="1:70" s="156" customFormat="1" ht="16.5" hidden="1" customHeight="1" x14ac:dyDescent="0.25">
      <c r="A136" s="266"/>
      <c r="B136" s="268"/>
      <c r="C136" s="268"/>
      <c r="D136" s="271"/>
      <c r="E136" s="271"/>
      <c r="F136" s="271"/>
      <c r="G136" s="363"/>
      <c r="H136" s="271"/>
      <c r="I136" s="266"/>
      <c r="J136" s="276"/>
      <c r="K136" s="278"/>
      <c r="L136" s="274"/>
      <c r="M136" s="278">
        <f ca="1">IF(NOT(ISERROR(MATCH(L136,_xlfn.ANCHORARRAY(G165),0))),K167&amp;"Por favor no seleccionar los criterios de impacto",L136)</f>
        <v>0</v>
      </c>
      <c r="N136" s="276"/>
      <c r="O136" s="278"/>
      <c r="P136" s="280"/>
      <c r="Q136" s="201">
        <v>4</v>
      </c>
      <c r="R136" s="112"/>
      <c r="S136" s="201" t="str">
        <f t="shared" si="45"/>
        <v/>
      </c>
      <c r="T136" s="113"/>
      <c r="U136" s="113"/>
      <c r="V136" s="167" t="str">
        <f t="shared" si="50"/>
        <v/>
      </c>
      <c r="W136" s="113"/>
      <c r="X136" s="113"/>
      <c r="Y136" s="113"/>
      <c r="Z136" s="165" t="str">
        <f t="shared" si="57"/>
        <v/>
      </c>
      <c r="AA136" s="166" t="str">
        <f t="shared" si="53"/>
        <v/>
      </c>
      <c r="AB136" s="167" t="str">
        <f t="shared" si="54"/>
        <v/>
      </c>
      <c r="AC136" s="166" t="str">
        <f t="shared" si="55"/>
        <v/>
      </c>
      <c r="AD136" s="167" t="str">
        <f t="shared" ref="AD136:AD138" si="58">IFERROR(IF(S135="Impacto",(O135-(+O135*V135)),IF(S135="Probabilidad",O135,"")),"")</f>
        <v/>
      </c>
      <c r="AE136" s="168" t="str">
        <f t="shared" si="41"/>
        <v/>
      </c>
      <c r="AF136" s="113"/>
      <c r="AG136" s="191"/>
      <c r="AH136" s="192"/>
      <c r="AI136" s="114"/>
      <c r="AJ136" s="114"/>
      <c r="AK136" s="191"/>
      <c r="AL136" s="192"/>
      <c r="AM136" s="155"/>
      <c r="AN136" s="155"/>
      <c r="AO136" s="155"/>
      <c r="AP136" s="155"/>
      <c r="AQ136" s="155"/>
      <c r="AR136" s="155"/>
      <c r="AS136" s="155"/>
      <c r="AT136" s="155"/>
      <c r="AU136" s="155"/>
      <c r="AV136" s="155"/>
      <c r="AW136" s="155"/>
      <c r="AX136" s="155"/>
      <c r="AY136" s="155"/>
      <c r="AZ136" s="155"/>
      <c r="BA136" s="155"/>
      <c r="BB136" s="155"/>
      <c r="BC136" s="155"/>
      <c r="BD136" s="155"/>
      <c r="BE136" s="155"/>
      <c r="BF136" s="155"/>
      <c r="BG136" s="155"/>
      <c r="BH136" s="155"/>
      <c r="BI136" s="155"/>
      <c r="BJ136" s="155"/>
      <c r="BK136" s="155"/>
      <c r="BL136" s="155"/>
      <c r="BM136" s="155"/>
      <c r="BN136" s="155"/>
      <c r="BO136" s="155"/>
      <c r="BP136" s="155"/>
      <c r="BQ136" s="155"/>
      <c r="BR136" s="155"/>
    </row>
    <row r="137" spans="1:70" s="156" customFormat="1" ht="16.5" hidden="1" customHeight="1" x14ac:dyDescent="0.25">
      <c r="A137" s="266"/>
      <c r="B137" s="268"/>
      <c r="C137" s="268"/>
      <c r="D137" s="271"/>
      <c r="E137" s="271"/>
      <c r="F137" s="271"/>
      <c r="G137" s="363"/>
      <c r="H137" s="271"/>
      <c r="I137" s="266"/>
      <c r="J137" s="276"/>
      <c r="K137" s="278"/>
      <c r="L137" s="274"/>
      <c r="M137" s="278">
        <f ca="1">IF(NOT(ISERROR(MATCH(L137,_xlfn.ANCHORARRAY(G166),0))),K168&amp;"Por favor no seleccionar los criterios de impacto",L137)</f>
        <v>0</v>
      </c>
      <c r="N137" s="276"/>
      <c r="O137" s="278"/>
      <c r="P137" s="280"/>
      <c r="Q137" s="201">
        <v>5</v>
      </c>
      <c r="R137" s="112"/>
      <c r="S137" s="201" t="str">
        <f t="shared" si="45"/>
        <v/>
      </c>
      <c r="T137" s="113"/>
      <c r="U137" s="113"/>
      <c r="V137" s="167" t="str">
        <f t="shared" si="50"/>
        <v/>
      </c>
      <c r="W137" s="113"/>
      <c r="X137" s="113"/>
      <c r="Y137" s="113"/>
      <c r="Z137" s="165" t="str">
        <f t="shared" si="57"/>
        <v/>
      </c>
      <c r="AA137" s="166" t="str">
        <f t="shared" si="53"/>
        <v/>
      </c>
      <c r="AB137" s="167" t="str">
        <f t="shared" si="54"/>
        <v/>
      </c>
      <c r="AC137" s="166" t="str">
        <f t="shared" si="55"/>
        <v/>
      </c>
      <c r="AD137" s="167" t="str">
        <f t="shared" si="58"/>
        <v/>
      </c>
      <c r="AE137" s="168" t="str">
        <f t="shared" si="41"/>
        <v/>
      </c>
      <c r="AF137" s="113"/>
      <c r="AG137" s="191"/>
      <c r="AH137" s="192"/>
      <c r="AI137" s="114"/>
      <c r="AJ137" s="114"/>
      <c r="AK137" s="191"/>
      <c r="AL137" s="192"/>
      <c r="AM137" s="155"/>
      <c r="AN137" s="155"/>
      <c r="AO137" s="155"/>
      <c r="AP137" s="155"/>
      <c r="AQ137" s="155"/>
      <c r="AR137" s="155"/>
      <c r="AS137" s="155"/>
      <c r="AT137" s="155"/>
      <c r="AU137" s="155"/>
      <c r="AV137" s="155"/>
      <c r="AW137" s="155"/>
      <c r="AX137" s="155"/>
      <c r="AY137" s="155"/>
      <c r="AZ137" s="155"/>
      <c r="BA137" s="155"/>
      <c r="BB137" s="155"/>
      <c r="BC137" s="155"/>
      <c r="BD137" s="155"/>
      <c r="BE137" s="155"/>
      <c r="BF137" s="155"/>
      <c r="BG137" s="155"/>
      <c r="BH137" s="155"/>
      <c r="BI137" s="155"/>
      <c r="BJ137" s="155"/>
      <c r="BK137" s="155"/>
      <c r="BL137" s="155"/>
      <c r="BM137" s="155"/>
      <c r="BN137" s="155"/>
      <c r="BO137" s="155"/>
      <c r="BP137" s="155"/>
      <c r="BQ137" s="155"/>
      <c r="BR137" s="155"/>
    </row>
    <row r="138" spans="1:70" s="156" customFormat="1" ht="16.5" hidden="1" customHeight="1" x14ac:dyDescent="0.25">
      <c r="A138" s="266"/>
      <c r="B138" s="269"/>
      <c r="C138" s="269"/>
      <c r="D138" s="271"/>
      <c r="E138" s="271"/>
      <c r="F138" s="271"/>
      <c r="G138" s="363"/>
      <c r="H138" s="271"/>
      <c r="I138" s="266"/>
      <c r="J138" s="276"/>
      <c r="K138" s="278"/>
      <c r="L138" s="274"/>
      <c r="M138" s="278">
        <f ca="1">IF(NOT(ISERROR(MATCH(L138,_xlfn.ANCHORARRAY(G167),0))),K169&amp;"Por favor no seleccionar los criterios de impacto",L138)</f>
        <v>0</v>
      </c>
      <c r="N138" s="276"/>
      <c r="O138" s="278"/>
      <c r="P138" s="280"/>
      <c r="Q138" s="201">
        <v>6</v>
      </c>
      <c r="R138" s="112"/>
      <c r="S138" s="201" t="str">
        <f t="shared" si="45"/>
        <v/>
      </c>
      <c r="T138" s="113"/>
      <c r="U138" s="113"/>
      <c r="V138" s="167" t="str">
        <f t="shared" si="50"/>
        <v/>
      </c>
      <c r="W138" s="113"/>
      <c r="X138" s="113"/>
      <c r="Y138" s="113"/>
      <c r="Z138" s="165" t="str">
        <f t="shared" si="57"/>
        <v/>
      </c>
      <c r="AA138" s="166" t="str">
        <f t="shared" si="53"/>
        <v/>
      </c>
      <c r="AB138" s="167" t="str">
        <f t="shared" si="54"/>
        <v/>
      </c>
      <c r="AC138" s="166" t="str">
        <f t="shared" si="55"/>
        <v/>
      </c>
      <c r="AD138" s="167" t="str">
        <f t="shared" si="58"/>
        <v/>
      </c>
      <c r="AE138" s="168" t="str">
        <f t="shared" si="41"/>
        <v/>
      </c>
      <c r="AF138" s="113"/>
      <c r="AG138" s="191"/>
      <c r="AH138" s="192"/>
      <c r="AI138" s="114"/>
      <c r="AJ138" s="114"/>
      <c r="AK138" s="191"/>
      <c r="AL138" s="192"/>
      <c r="AM138" s="155"/>
      <c r="AN138" s="155"/>
      <c r="AO138" s="155"/>
      <c r="AP138" s="155"/>
      <c r="AQ138" s="155"/>
      <c r="AR138" s="155"/>
      <c r="AS138" s="155"/>
      <c r="AT138" s="155"/>
      <c r="AU138" s="155"/>
      <c r="AV138" s="155"/>
      <c r="AW138" s="155"/>
      <c r="AX138" s="155"/>
      <c r="AY138" s="155"/>
      <c r="AZ138" s="155"/>
      <c r="BA138" s="155"/>
      <c r="BB138" s="155"/>
      <c r="BC138" s="155"/>
      <c r="BD138" s="155"/>
      <c r="BE138" s="155"/>
      <c r="BF138" s="155"/>
      <c r="BG138" s="155"/>
      <c r="BH138" s="155"/>
      <c r="BI138" s="155"/>
      <c r="BJ138" s="155"/>
      <c r="BK138" s="155"/>
      <c r="BL138" s="155"/>
      <c r="BM138" s="155"/>
      <c r="BN138" s="155"/>
      <c r="BO138" s="155"/>
      <c r="BP138" s="155"/>
      <c r="BQ138" s="155"/>
      <c r="BR138" s="155"/>
    </row>
    <row r="139" spans="1:70" s="156" customFormat="1" ht="64.5" x14ac:dyDescent="0.25">
      <c r="A139" s="266">
        <v>22</v>
      </c>
      <c r="B139" s="267" t="s">
        <v>212</v>
      </c>
      <c r="C139" s="267" t="s">
        <v>559</v>
      </c>
      <c r="D139" s="270" t="s">
        <v>130</v>
      </c>
      <c r="E139" s="270" t="s">
        <v>573</v>
      </c>
      <c r="F139" s="270" t="s">
        <v>576</v>
      </c>
      <c r="G139" s="362" t="s">
        <v>577</v>
      </c>
      <c r="H139" s="270" t="s">
        <v>437</v>
      </c>
      <c r="I139" s="281">
        <v>5000</v>
      </c>
      <c r="J139" s="275" t="str">
        <f>IF(I139&lt;=0,"",IF(I139&lt;=2,"Muy Baja",IF(I139&lt;=24,"Baja",IF(I139&lt;=500,"Media",IF(I139&lt;=5000,"Alta","Muy Alta")))))</f>
        <v>Alta</v>
      </c>
      <c r="K139" s="277">
        <f>IF(J139="","",IF(J139="Muy Baja",0.2,IF(J139="Baja",0.4,IF(J139="Media",0.6,IF(J139="Alta",0.8,IF(J139="Muy Alta",1,))))))</f>
        <v>0.8</v>
      </c>
      <c r="L139" s="273" t="s">
        <v>96</v>
      </c>
      <c r="M139" s="277" t="str">
        <f>IF(NOT(ISERROR(MATCH(L139,'[5]Tabla Impacto'!$B$221:$B$223,0))),'[5]Tabla Impacto'!$F$223&amp;"Por favor no seleccionar los criterios de impacto(Afectación Económica o presupuestal y Pérdida Reputacional)",L139)</f>
        <v>El riesgo afecta la imagen de la entidad internamente, de conocimiento general, nivel interno, de junta dircetiva y accionistas y/o de provedores</v>
      </c>
      <c r="N139" s="275" t="str">
        <f>+IF(OR(M139='[5]Tabla Impacto'!$C$11,M139='[5]Tabla Impacto'!$D$11),"Leve",IF(OR(M139='[5]Tabla Impacto'!$C$12,M139='[5]Tabla Impacto'!$D$12),"Menor",IF(OR(M139='[5]Tabla Impacto'!$C$13,M139='[5]Tabla Impacto'!$D$13),"Moderado",IF(OR(M139='[5]Tabla Impacto'!$C$14,M139='[5]Tabla Impacto'!$D$14),"Mayor",IF(OR(M139='[5]Tabla Impacto'!$C$15,M139='[5]Tabla Impacto'!$D$15),"Catastrófico","")))))</f>
        <v>Menor</v>
      </c>
      <c r="O139" s="277">
        <f>IF(N139="","",IF(N139="Leve",0.2,IF(N139="Menor",0.4,IF(N139="Moderado",0.6,IF(N139="Mayor",0.8,IF(N139="Catastrófico",1,))))))</f>
        <v>0.4</v>
      </c>
      <c r="P139" s="279" t="str">
        <f>IF(OR(AND(J139="Muy Baja",N139="Leve"),AND(J139="Muy Baja",N139="Menor"),AND(J139="Baja",N139="Leve")),"Bajo",IF(OR(AND(J139="Muy baja",N139="Moderado"),AND(J139="Baja",N139="Menor"),AND(J139="Baja",N139="Moderado"),AND(J139="Media",N139="Leve"),AND(J139="Media",N139="Menor"),AND(J139="Media",N139="Moderado"),AND(J139="Alta",N139="Leve"),AND(J139="Alta",N139="Menor")),"Moderado",IF(OR(AND(J139="Muy Baja",N139="Mayor"),AND(J139="Baja",N139="Mayor"),AND(J139="Media",N139="Mayor"),AND(J139="Alta",N139="Moderado"),AND(J139="Alta",N139="Mayor"),AND(J139="Muy Alta",N139="Leve"),AND(J139="Muy Alta",N139="Menor"),AND(J139="Muy Alta",N139="Moderado"),AND(J139="Muy Alta",N139="Mayor")),"Alto",IF(OR(AND(J139="Muy Baja",N139="Catastrófico"),AND(J139="Baja",N139="Catastrófico"),AND(J139="Media",N139="Catastrófico"),AND(J139="Alta",N139="Catastrófico"),AND(J139="Muy Alta",N139="Catastrófico")),"Extremo",""))))</f>
        <v>Moderado</v>
      </c>
      <c r="Q139" s="201">
        <v>1</v>
      </c>
      <c r="R139" s="112" t="s">
        <v>590</v>
      </c>
      <c r="S139" s="201" t="str">
        <f t="shared" si="45"/>
        <v>Probabilidad</v>
      </c>
      <c r="T139" s="113" t="s">
        <v>14</v>
      </c>
      <c r="U139" s="113" t="s">
        <v>9</v>
      </c>
      <c r="V139" s="167" t="str">
        <f t="shared" si="50"/>
        <v>40%</v>
      </c>
      <c r="W139" s="113" t="s">
        <v>19</v>
      </c>
      <c r="X139" s="113" t="s">
        <v>22</v>
      </c>
      <c r="Y139" s="113" t="s">
        <v>117</v>
      </c>
      <c r="Z139" s="165">
        <f>IFERROR(IF(S139="Probabilidad",(K139-(+K139*V139)),IF(S139="Impacto",K139,"")),"")</f>
        <v>0.48</v>
      </c>
      <c r="AA139" s="166" t="str">
        <f t="shared" si="53"/>
        <v>Media</v>
      </c>
      <c r="AB139" s="167">
        <f t="shared" si="54"/>
        <v>0.48</v>
      </c>
      <c r="AC139" s="166" t="str">
        <f t="shared" si="55"/>
        <v>Menor</v>
      </c>
      <c r="AD139" s="167">
        <f>IFERROR(IF(S139="Impacto",(O139-(+O139*V139)),IF(S139="Probabilidad",O139,"")),"")</f>
        <v>0.4</v>
      </c>
      <c r="AE139" s="168" t="str">
        <f t="shared" si="41"/>
        <v>Moderado</v>
      </c>
      <c r="AF139" s="113" t="s">
        <v>31</v>
      </c>
      <c r="AG139" s="191"/>
      <c r="AH139" s="192"/>
      <c r="AI139" s="114"/>
      <c r="AJ139" s="114"/>
      <c r="AK139" s="191"/>
      <c r="AL139" s="192"/>
      <c r="AM139" s="155"/>
      <c r="AN139" s="155"/>
      <c r="AO139" s="155"/>
      <c r="AP139" s="155"/>
      <c r="AQ139" s="155"/>
      <c r="AR139" s="155"/>
      <c r="AS139" s="155"/>
      <c r="AT139" s="155"/>
      <c r="AU139" s="155"/>
      <c r="AV139" s="155"/>
      <c r="AW139" s="155"/>
      <c r="AX139" s="155"/>
      <c r="AY139" s="155"/>
      <c r="AZ139" s="155"/>
      <c r="BA139" s="155"/>
      <c r="BB139" s="155"/>
      <c r="BC139" s="155"/>
      <c r="BD139" s="155"/>
      <c r="BE139" s="155"/>
      <c r="BF139" s="155"/>
      <c r="BG139" s="155"/>
      <c r="BH139" s="155"/>
      <c r="BI139" s="155"/>
      <c r="BJ139" s="155"/>
      <c r="BK139" s="155"/>
      <c r="BL139" s="155"/>
      <c r="BM139" s="155"/>
      <c r="BN139" s="155"/>
      <c r="BO139" s="155"/>
      <c r="BP139" s="155"/>
      <c r="BQ139" s="155"/>
      <c r="BR139" s="155"/>
    </row>
    <row r="140" spans="1:70" s="156" customFormat="1" ht="16.5" hidden="1" customHeight="1" x14ac:dyDescent="0.25">
      <c r="A140" s="266"/>
      <c r="B140" s="268"/>
      <c r="C140" s="268"/>
      <c r="D140" s="271"/>
      <c r="E140" s="271"/>
      <c r="F140" s="271"/>
      <c r="G140" s="363"/>
      <c r="H140" s="271"/>
      <c r="I140" s="266"/>
      <c r="J140" s="276"/>
      <c r="K140" s="278"/>
      <c r="L140" s="274"/>
      <c r="M140" s="278">
        <f ca="1">IF(NOT(ISERROR(MATCH(L140,_xlfn.ANCHORARRAY(G163),0))),K165&amp;"Por favor no seleccionar los criterios de impacto",L140)</f>
        <v>0</v>
      </c>
      <c r="N140" s="276"/>
      <c r="O140" s="278"/>
      <c r="P140" s="280"/>
      <c r="Q140" s="201">
        <v>2</v>
      </c>
      <c r="R140" s="112"/>
      <c r="S140" s="201" t="str">
        <f t="shared" si="45"/>
        <v/>
      </c>
      <c r="T140" s="113"/>
      <c r="U140" s="113"/>
      <c r="V140" s="167"/>
      <c r="W140" s="113"/>
      <c r="X140" s="113"/>
      <c r="Y140" s="113"/>
      <c r="Z140" s="165" t="str">
        <f t="shared" ref="Z140:Z144" si="59">IFERROR(IF(S140="Probabilidad",(K139-(+K139*V140)),IF(S140="Impacto",K139,"")),"")</f>
        <v/>
      </c>
      <c r="AA140" s="166" t="str">
        <f t="shared" si="53"/>
        <v/>
      </c>
      <c r="AB140" s="167" t="str">
        <f t="shared" si="54"/>
        <v/>
      </c>
      <c r="AC140" s="166" t="str">
        <f t="shared" si="55"/>
        <v/>
      </c>
      <c r="AD140" s="167" t="str">
        <f t="shared" ref="AD140:AD144" si="60">IFERROR(IF(S140="Impacto",(O139-(+O140*V140)),IF(S140="Probabilidad",O140,"")),"")</f>
        <v/>
      </c>
      <c r="AE140" s="168" t="str">
        <f t="shared" si="41"/>
        <v/>
      </c>
      <c r="AF140" s="113"/>
      <c r="AG140" s="191"/>
      <c r="AH140" s="192"/>
      <c r="AI140" s="114"/>
      <c r="AJ140" s="114"/>
      <c r="AK140" s="191"/>
      <c r="AL140" s="192"/>
      <c r="AM140" s="155"/>
      <c r="AN140" s="155"/>
      <c r="AO140" s="155"/>
      <c r="AP140" s="155"/>
      <c r="AQ140" s="155"/>
      <c r="AR140" s="155"/>
      <c r="AS140" s="155"/>
      <c r="AT140" s="155"/>
      <c r="AU140" s="155"/>
      <c r="AV140" s="155"/>
      <c r="AW140" s="155"/>
      <c r="AX140" s="155"/>
      <c r="AY140" s="155"/>
      <c r="AZ140" s="155"/>
      <c r="BA140" s="155"/>
      <c r="BB140" s="155"/>
      <c r="BC140" s="155"/>
      <c r="BD140" s="155"/>
      <c r="BE140" s="155"/>
      <c r="BF140" s="155"/>
      <c r="BG140" s="155"/>
      <c r="BH140" s="155"/>
      <c r="BI140" s="155"/>
      <c r="BJ140" s="155"/>
      <c r="BK140" s="155"/>
      <c r="BL140" s="155"/>
      <c r="BM140" s="155"/>
      <c r="BN140" s="155"/>
      <c r="BO140" s="155"/>
      <c r="BP140" s="155"/>
      <c r="BQ140" s="155"/>
      <c r="BR140" s="155"/>
    </row>
    <row r="141" spans="1:70" s="156" customFormat="1" ht="16.5" hidden="1" customHeight="1" x14ac:dyDescent="0.25">
      <c r="A141" s="266"/>
      <c r="B141" s="268"/>
      <c r="C141" s="268"/>
      <c r="D141" s="271"/>
      <c r="E141" s="271"/>
      <c r="F141" s="271"/>
      <c r="G141" s="363"/>
      <c r="H141" s="271"/>
      <c r="I141" s="266"/>
      <c r="J141" s="276"/>
      <c r="K141" s="278"/>
      <c r="L141" s="274"/>
      <c r="M141" s="278">
        <f ca="1">IF(NOT(ISERROR(MATCH(L141,_xlfn.ANCHORARRAY(G164),0))),K166&amp;"Por favor no seleccionar los criterios de impacto",L141)</f>
        <v>0</v>
      </c>
      <c r="N141" s="276"/>
      <c r="O141" s="278"/>
      <c r="P141" s="280"/>
      <c r="Q141" s="201">
        <v>3</v>
      </c>
      <c r="R141" s="112"/>
      <c r="S141" s="201" t="str">
        <f t="shared" si="45"/>
        <v/>
      </c>
      <c r="T141" s="113"/>
      <c r="U141" s="113"/>
      <c r="V141" s="167"/>
      <c r="W141" s="113"/>
      <c r="X141" s="113"/>
      <c r="Y141" s="113"/>
      <c r="Z141" s="165" t="str">
        <f t="shared" si="59"/>
        <v/>
      </c>
      <c r="AA141" s="166" t="str">
        <f t="shared" si="53"/>
        <v/>
      </c>
      <c r="AB141" s="167" t="str">
        <f t="shared" si="54"/>
        <v/>
      </c>
      <c r="AC141" s="166" t="str">
        <f t="shared" si="55"/>
        <v/>
      </c>
      <c r="AD141" s="167" t="str">
        <f t="shared" si="60"/>
        <v/>
      </c>
      <c r="AE141" s="168" t="str">
        <f t="shared" si="41"/>
        <v/>
      </c>
      <c r="AF141" s="113"/>
      <c r="AG141" s="191"/>
      <c r="AH141" s="192"/>
      <c r="AI141" s="114"/>
      <c r="AJ141" s="114"/>
      <c r="AK141" s="191"/>
      <c r="AL141" s="192"/>
      <c r="AM141" s="155"/>
      <c r="AN141" s="155"/>
      <c r="AO141" s="155"/>
      <c r="AP141" s="155"/>
      <c r="AQ141" s="155"/>
      <c r="AR141" s="155"/>
      <c r="AS141" s="155"/>
      <c r="AT141" s="155"/>
      <c r="AU141" s="155"/>
      <c r="AV141" s="155"/>
      <c r="AW141" s="155"/>
      <c r="AX141" s="155"/>
      <c r="AY141" s="155"/>
      <c r="AZ141" s="155"/>
      <c r="BA141" s="155"/>
      <c r="BB141" s="155"/>
      <c r="BC141" s="155"/>
      <c r="BD141" s="155"/>
      <c r="BE141" s="155"/>
      <c r="BF141" s="155"/>
      <c r="BG141" s="155"/>
      <c r="BH141" s="155"/>
      <c r="BI141" s="155"/>
      <c r="BJ141" s="155"/>
      <c r="BK141" s="155"/>
      <c r="BL141" s="155"/>
      <c r="BM141" s="155"/>
      <c r="BN141" s="155"/>
      <c r="BO141" s="155"/>
      <c r="BP141" s="155"/>
      <c r="BQ141" s="155"/>
      <c r="BR141" s="155"/>
    </row>
    <row r="142" spans="1:70" s="156" customFormat="1" ht="16.5" hidden="1" customHeight="1" x14ac:dyDescent="0.25">
      <c r="A142" s="266"/>
      <c r="B142" s="268"/>
      <c r="C142" s="268"/>
      <c r="D142" s="271"/>
      <c r="E142" s="271"/>
      <c r="F142" s="271"/>
      <c r="G142" s="363"/>
      <c r="H142" s="271"/>
      <c r="I142" s="266"/>
      <c r="J142" s="276"/>
      <c r="K142" s="278"/>
      <c r="L142" s="274"/>
      <c r="M142" s="278">
        <f ca="1">IF(NOT(ISERROR(MATCH(L142,_xlfn.ANCHORARRAY(G165),0))),K167&amp;"Por favor no seleccionar los criterios de impacto",L142)</f>
        <v>0</v>
      </c>
      <c r="N142" s="276"/>
      <c r="O142" s="278"/>
      <c r="P142" s="280"/>
      <c r="Q142" s="201">
        <v>4</v>
      </c>
      <c r="R142" s="112"/>
      <c r="S142" s="201" t="str">
        <f t="shared" si="45"/>
        <v/>
      </c>
      <c r="T142" s="113"/>
      <c r="U142" s="113"/>
      <c r="V142" s="167"/>
      <c r="W142" s="113"/>
      <c r="X142" s="113"/>
      <c r="Y142" s="113"/>
      <c r="Z142" s="165" t="str">
        <f t="shared" si="59"/>
        <v/>
      </c>
      <c r="AA142" s="166" t="str">
        <f t="shared" si="53"/>
        <v/>
      </c>
      <c r="AB142" s="167" t="str">
        <f t="shared" si="54"/>
        <v/>
      </c>
      <c r="AC142" s="166" t="str">
        <f t="shared" si="55"/>
        <v/>
      </c>
      <c r="AD142" s="167" t="str">
        <f t="shared" si="60"/>
        <v/>
      </c>
      <c r="AE142" s="168" t="str">
        <f t="shared" si="41"/>
        <v/>
      </c>
      <c r="AF142" s="113"/>
      <c r="AG142" s="191"/>
      <c r="AH142" s="192"/>
      <c r="AI142" s="114"/>
      <c r="AJ142" s="114"/>
      <c r="AK142" s="191"/>
      <c r="AL142" s="192"/>
      <c r="AM142" s="155"/>
      <c r="AN142" s="155"/>
      <c r="AO142" s="155"/>
      <c r="AP142" s="155"/>
      <c r="AQ142" s="155"/>
      <c r="AR142" s="155"/>
      <c r="AS142" s="155"/>
      <c r="AT142" s="155"/>
      <c r="AU142" s="155"/>
      <c r="AV142" s="155"/>
      <c r="AW142" s="155"/>
      <c r="AX142" s="155"/>
      <c r="AY142" s="155"/>
      <c r="AZ142" s="155"/>
      <c r="BA142" s="155"/>
      <c r="BB142" s="155"/>
      <c r="BC142" s="155"/>
      <c r="BD142" s="155"/>
      <c r="BE142" s="155"/>
      <c r="BF142" s="155"/>
      <c r="BG142" s="155"/>
      <c r="BH142" s="155"/>
      <c r="BI142" s="155"/>
      <c r="BJ142" s="155"/>
      <c r="BK142" s="155"/>
      <c r="BL142" s="155"/>
      <c r="BM142" s="155"/>
      <c r="BN142" s="155"/>
      <c r="BO142" s="155"/>
      <c r="BP142" s="155"/>
      <c r="BQ142" s="155"/>
      <c r="BR142" s="155"/>
    </row>
    <row r="143" spans="1:70" s="156" customFormat="1" ht="16.5" hidden="1" customHeight="1" x14ac:dyDescent="0.25">
      <c r="A143" s="266"/>
      <c r="B143" s="268"/>
      <c r="C143" s="268"/>
      <c r="D143" s="271"/>
      <c r="E143" s="271"/>
      <c r="F143" s="271"/>
      <c r="G143" s="363"/>
      <c r="H143" s="271"/>
      <c r="I143" s="266"/>
      <c r="J143" s="276"/>
      <c r="K143" s="278"/>
      <c r="L143" s="274"/>
      <c r="M143" s="278">
        <f ca="1">IF(NOT(ISERROR(MATCH(L143,_xlfn.ANCHORARRAY(G166),0))),K168&amp;"Por favor no seleccionar los criterios de impacto",L143)</f>
        <v>0</v>
      </c>
      <c r="N143" s="276"/>
      <c r="O143" s="278"/>
      <c r="P143" s="280"/>
      <c r="Q143" s="201">
        <v>5</v>
      </c>
      <c r="R143" s="112"/>
      <c r="S143" s="201" t="str">
        <f t="shared" si="45"/>
        <v/>
      </c>
      <c r="T143" s="113"/>
      <c r="U143" s="113"/>
      <c r="V143" s="167"/>
      <c r="W143" s="113"/>
      <c r="X143" s="113"/>
      <c r="Y143" s="113"/>
      <c r="Z143" s="165" t="str">
        <f t="shared" si="59"/>
        <v/>
      </c>
      <c r="AA143" s="166" t="str">
        <f t="shared" si="53"/>
        <v/>
      </c>
      <c r="AB143" s="167" t="str">
        <f t="shared" si="54"/>
        <v/>
      </c>
      <c r="AC143" s="166" t="str">
        <f t="shared" si="55"/>
        <v/>
      </c>
      <c r="AD143" s="167" t="str">
        <f t="shared" si="60"/>
        <v/>
      </c>
      <c r="AE143" s="168" t="str">
        <f t="shared" si="41"/>
        <v/>
      </c>
      <c r="AF143" s="113"/>
      <c r="AG143" s="191"/>
      <c r="AH143" s="192"/>
      <c r="AI143" s="114"/>
      <c r="AJ143" s="114"/>
      <c r="AK143" s="191"/>
      <c r="AL143" s="192"/>
      <c r="AM143" s="155"/>
      <c r="AN143" s="155"/>
      <c r="AO143" s="155"/>
      <c r="AP143" s="155"/>
      <c r="AQ143" s="155"/>
      <c r="AR143" s="155"/>
      <c r="AS143" s="155"/>
      <c r="AT143" s="155"/>
      <c r="AU143" s="155"/>
      <c r="AV143" s="155"/>
      <c r="AW143" s="155"/>
      <c r="AX143" s="155"/>
      <c r="AY143" s="155"/>
      <c r="AZ143" s="155"/>
      <c r="BA143" s="155"/>
      <c r="BB143" s="155"/>
      <c r="BC143" s="155"/>
      <c r="BD143" s="155"/>
      <c r="BE143" s="155"/>
      <c r="BF143" s="155"/>
      <c r="BG143" s="155"/>
      <c r="BH143" s="155"/>
      <c r="BI143" s="155"/>
      <c r="BJ143" s="155"/>
      <c r="BK143" s="155"/>
      <c r="BL143" s="155"/>
      <c r="BM143" s="155"/>
      <c r="BN143" s="155"/>
      <c r="BO143" s="155"/>
      <c r="BP143" s="155"/>
      <c r="BQ143" s="155"/>
      <c r="BR143" s="155"/>
    </row>
    <row r="144" spans="1:70" s="156" customFormat="1" ht="16.5" hidden="1" customHeight="1" x14ac:dyDescent="0.25">
      <c r="A144" s="266"/>
      <c r="B144" s="269"/>
      <c r="C144" s="269"/>
      <c r="D144" s="271"/>
      <c r="E144" s="271"/>
      <c r="F144" s="271"/>
      <c r="G144" s="363"/>
      <c r="H144" s="271"/>
      <c r="I144" s="266"/>
      <c r="J144" s="276"/>
      <c r="K144" s="278"/>
      <c r="L144" s="274"/>
      <c r="M144" s="278">
        <f ca="1">IF(NOT(ISERROR(MATCH(L144,_xlfn.ANCHORARRAY(G167),0))),K169&amp;"Por favor no seleccionar los criterios de impacto",L144)</f>
        <v>0</v>
      </c>
      <c r="N144" s="276"/>
      <c r="O144" s="278"/>
      <c r="P144" s="280"/>
      <c r="Q144" s="201">
        <v>6</v>
      </c>
      <c r="R144" s="112"/>
      <c r="S144" s="201" t="str">
        <f t="shared" si="45"/>
        <v/>
      </c>
      <c r="T144" s="113"/>
      <c r="U144" s="113"/>
      <c r="V144" s="167"/>
      <c r="W144" s="113"/>
      <c r="X144" s="113"/>
      <c r="Y144" s="113"/>
      <c r="Z144" s="165" t="str">
        <f t="shared" si="59"/>
        <v/>
      </c>
      <c r="AA144" s="166" t="str">
        <f t="shared" si="53"/>
        <v/>
      </c>
      <c r="AB144" s="167" t="str">
        <f t="shared" si="54"/>
        <v/>
      </c>
      <c r="AC144" s="166" t="str">
        <f t="shared" si="55"/>
        <v/>
      </c>
      <c r="AD144" s="167" t="str">
        <f t="shared" si="60"/>
        <v/>
      </c>
      <c r="AE144" s="168" t="str">
        <f t="shared" si="41"/>
        <v/>
      </c>
      <c r="AF144" s="113"/>
      <c r="AG144" s="191"/>
      <c r="AH144" s="192"/>
      <c r="AI144" s="114"/>
      <c r="AJ144" s="114"/>
      <c r="AK144" s="191"/>
      <c r="AL144" s="192"/>
      <c r="AM144" s="155"/>
      <c r="AN144" s="155"/>
      <c r="AO144" s="155"/>
      <c r="AP144" s="155"/>
      <c r="AQ144" s="155"/>
      <c r="AR144" s="155"/>
      <c r="AS144" s="155"/>
      <c r="AT144" s="155"/>
      <c r="AU144" s="155"/>
      <c r="AV144" s="155"/>
      <c r="AW144" s="155"/>
      <c r="AX144" s="155"/>
      <c r="AY144" s="155"/>
      <c r="AZ144" s="155"/>
      <c r="BA144" s="155"/>
      <c r="BB144" s="155"/>
      <c r="BC144" s="155"/>
      <c r="BD144" s="155"/>
      <c r="BE144" s="155"/>
      <c r="BF144" s="155"/>
      <c r="BG144" s="155"/>
      <c r="BH144" s="155"/>
      <c r="BI144" s="155"/>
      <c r="BJ144" s="155"/>
      <c r="BK144" s="155"/>
      <c r="BL144" s="155"/>
      <c r="BM144" s="155"/>
      <c r="BN144" s="155"/>
      <c r="BO144" s="155"/>
      <c r="BP144" s="155"/>
      <c r="BQ144" s="155"/>
      <c r="BR144" s="155"/>
    </row>
    <row r="145" spans="1:70" s="156" customFormat="1" ht="64.5" x14ac:dyDescent="0.25">
      <c r="A145" s="266">
        <v>23</v>
      </c>
      <c r="B145" s="267" t="s">
        <v>212</v>
      </c>
      <c r="C145" s="267" t="s">
        <v>578</v>
      </c>
      <c r="D145" s="270" t="s">
        <v>131</v>
      </c>
      <c r="E145" s="270" t="s">
        <v>579</v>
      </c>
      <c r="F145" s="270" t="s">
        <v>580</v>
      </c>
      <c r="G145" s="362" t="s">
        <v>581</v>
      </c>
      <c r="H145" s="270" t="s">
        <v>438</v>
      </c>
      <c r="I145" s="281">
        <v>5000</v>
      </c>
      <c r="J145" s="275" t="str">
        <f>IF(I145&lt;=0,"",IF(I145&lt;=2,"Muy Baja",IF(I145&lt;=24,"Baja",IF(I145&lt;=500,"Media",IF(I145&lt;=5000,"Alta","Muy Alta")))))</f>
        <v>Alta</v>
      </c>
      <c r="K145" s="277">
        <f>IF(J145="","",IF(J145="Muy Baja",0.2,IF(J145="Baja",0.4,IF(J145="Media",0.6,IF(J145="Alta",0.8,IF(J145="Muy Alta",1,))))))</f>
        <v>0.8</v>
      </c>
      <c r="L145" s="273" t="s">
        <v>145</v>
      </c>
      <c r="M145" s="277" t="str">
        <f>IF(NOT(ISERROR(MATCH(L145,'[5]Tabla Impacto'!$B$221:$B$223,0))),'[5]Tabla Impacto'!$F$223&amp;"Por favor no seleccionar los criterios de impacto(Afectación Económica o presupuestal y Pérdida Reputacional)",L145)</f>
        <v xml:space="preserve">Afectación menor a 10 SMLMV </v>
      </c>
      <c r="N145" s="275" t="str">
        <f>+IF(OR(M145='[5]Tabla Impacto'!$C$11,M145='[5]Tabla Impacto'!$D$11),"Leve",IF(OR(M145='[5]Tabla Impacto'!$C$12,M145='[5]Tabla Impacto'!$D$12),"Menor",IF(OR(M145='[5]Tabla Impacto'!$C$13,M145='[5]Tabla Impacto'!$D$13),"Moderado",IF(OR(M145='[5]Tabla Impacto'!$C$14,M145='[5]Tabla Impacto'!$D$14),"Mayor",IF(OR(M145='[5]Tabla Impacto'!$C$15,M145='[5]Tabla Impacto'!$D$15),"Catastrófico","")))))</f>
        <v>Leve</v>
      </c>
      <c r="O145" s="277">
        <f>IF(N145="","",IF(N145="Leve",0.2,IF(N145="Menor",0.4,IF(N145="Moderado",0.6,IF(N145="Mayor",0.8,IF(N145="Catastrófico",1,))))))</f>
        <v>0.2</v>
      </c>
      <c r="P145" s="279" t="str">
        <f>IF(OR(AND(J145="Muy Baja",N145="Leve"),AND(J145="Muy Baja",N145="Menor"),AND(J145="Baja",N145="Leve")),"Bajo",IF(OR(AND(J145="Muy baja",N145="Moderado"),AND(J145="Baja",N145="Menor"),AND(J145="Baja",N145="Moderado"),AND(J145="Media",N145="Leve"),AND(J145="Media",N145="Menor"),AND(J145="Media",N145="Moderado"),AND(J145="Alta",N145="Leve"),AND(J145="Alta",N145="Menor")),"Moderado",IF(OR(AND(J145="Muy Baja",N145="Mayor"),AND(J145="Baja",N145="Mayor"),AND(J145="Media",N145="Mayor"),AND(J145="Alta",N145="Moderado"),AND(J145="Alta",N145="Mayor"),AND(J145="Muy Alta",N145="Leve"),AND(J145="Muy Alta",N145="Menor"),AND(J145="Muy Alta",N145="Moderado"),AND(J145="Muy Alta",N145="Mayor")),"Alto",IF(OR(AND(J145="Muy Baja",N145="Catastrófico"),AND(J145="Baja",N145="Catastrófico"),AND(J145="Media",N145="Catastrófico"),AND(J145="Alta",N145="Catastrófico"),AND(J145="Muy Alta",N145="Catastrófico")),"Extremo",""))))</f>
        <v>Moderado</v>
      </c>
      <c r="Q145" s="201">
        <v>1</v>
      </c>
      <c r="R145" s="112" t="s">
        <v>596</v>
      </c>
      <c r="S145" s="201" t="str">
        <f t="shared" si="45"/>
        <v>Probabilidad</v>
      </c>
      <c r="T145" s="113" t="s">
        <v>14</v>
      </c>
      <c r="U145" s="113" t="s">
        <v>9</v>
      </c>
      <c r="V145" s="167" t="str">
        <f t="shared" si="50"/>
        <v>40%</v>
      </c>
      <c r="W145" s="113" t="s">
        <v>19</v>
      </c>
      <c r="X145" s="113" t="s">
        <v>22</v>
      </c>
      <c r="Y145" s="113" t="s">
        <v>117</v>
      </c>
      <c r="Z145" s="165">
        <f>IFERROR(IF(S145="Probabilidad",(K145-(+K145*V145)),IF(S145="Impacto",K145,"")),"")</f>
        <v>0.48</v>
      </c>
      <c r="AA145" s="166" t="str">
        <f t="shared" si="53"/>
        <v>Media</v>
      </c>
      <c r="AB145" s="167">
        <f t="shared" si="54"/>
        <v>0.48</v>
      </c>
      <c r="AC145" s="166" t="str">
        <f t="shared" si="55"/>
        <v>Leve</v>
      </c>
      <c r="AD145" s="167">
        <f t="shared" si="56"/>
        <v>0.2</v>
      </c>
      <c r="AE145" s="168" t="str">
        <f t="shared" si="41"/>
        <v>Moderado</v>
      </c>
      <c r="AF145" s="113" t="s">
        <v>31</v>
      </c>
      <c r="AG145" s="191"/>
      <c r="AH145" s="192"/>
      <c r="AI145" s="114"/>
      <c r="AJ145" s="114"/>
      <c r="AK145" s="191"/>
      <c r="AL145" s="192"/>
      <c r="AM145" s="155"/>
      <c r="AN145" s="155"/>
      <c r="AO145" s="155"/>
      <c r="AP145" s="155"/>
      <c r="AQ145" s="155"/>
      <c r="AR145" s="155"/>
      <c r="AS145" s="155"/>
      <c r="AT145" s="155"/>
      <c r="AU145" s="155"/>
      <c r="AV145" s="155"/>
      <c r="AW145" s="155"/>
      <c r="AX145" s="155"/>
      <c r="AY145" s="155"/>
      <c r="AZ145" s="155"/>
      <c r="BA145" s="155"/>
      <c r="BB145" s="155"/>
      <c r="BC145" s="155"/>
      <c r="BD145" s="155"/>
      <c r="BE145" s="155"/>
      <c r="BF145" s="155"/>
      <c r="BG145" s="155"/>
      <c r="BH145" s="155"/>
      <c r="BI145" s="155"/>
      <c r="BJ145" s="155"/>
      <c r="BK145" s="155"/>
      <c r="BL145" s="155"/>
      <c r="BM145" s="155"/>
      <c r="BN145" s="155"/>
      <c r="BO145" s="155"/>
      <c r="BP145" s="155"/>
      <c r="BQ145" s="155"/>
      <c r="BR145" s="155"/>
    </row>
    <row r="146" spans="1:70" s="156" customFormat="1" ht="64.5" x14ac:dyDescent="0.25">
      <c r="A146" s="266"/>
      <c r="B146" s="294"/>
      <c r="C146" s="294"/>
      <c r="D146" s="270"/>
      <c r="E146" s="270"/>
      <c r="F146" s="270"/>
      <c r="G146" s="362"/>
      <c r="H146" s="270"/>
      <c r="I146" s="281"/>
      <c r="J146" s="275"/>
      <c r="K146" s="277"/>
      <c r="L146" s="273"/>
      <c r="M146" s="277">
        <f ca="1">IF(NOT(ISERROR(MATCH(L146,_xlfn.ANCHORARRAY(G169),0))),#REF!&amp;"Por favor no seleccionar los criterios de impacto",L146)</f>
        <v>0</v>
      </c>
      <c r="N146" s="275"/>
      <c r="O146" s="277"/>
      <c r="P146" s="279"/>
      <c r="Q146" s="201">
        <v>2</v>
      </c>
      <c r="R146" s="112" t="s">
        <v>591</v>
      </c>
      <c r="S146" s="201" t="str">
        <f t="shared" si="45"/>
        <v>Probabilidad</v>
      </c>
      <c r="T146" s="113" t="s">
        <v>14</v>
      </c>
      <c r="U146" s="113" t="s">
        <v>9</v>
      </c>
      <c r="V146" s="167" t="str">
        <f t="shared" si="50"/>
        <v>40%</v>
      </c>
      <c r="W146" s="113" t="s">
        <v>19</v>
      </c>
      <c r="X146" s="113" t="s">
        <v>22</v>
      </c>
      <c r="Y146" s="113" t="s">
        <v>117</v>
      </c>
      <c r="Z146" s="165">
        <f>IFERROR(IF(S146="Probabilidad",(K145-(+K145*V146)),IF(S146="Impacto",K145,"")),"")</f>
        <v>0.48</v>
      </c>
      <c r="AA146" s="166" t="str">
        <f t="shared" si="53"/>
        <v>Media</v>
      </c>
      <c r="AB146" s="167">
        <f t="shared" si="54"/>
        <v>0.48</v>
      </c>
      <c r="AC146" s="166" t="str">
        <f t="shared" si="55"/>
        <v>Leve</v>
      </c>
      <c r="AD146" s="167">
        <f>IFERROR(IF(S146="Impacto",(O145-(+O145*V146)),IF(S146="Probabilidad",O145,"")),"")</f>
        <v>0.2</v>
      </c>
      <c r="AE146" s="168" t="str">
        <f t="shared" si="41"/>
        <v>Moderado</v>
      </c>
      <c r="AF146" s="113" t="s">
        <v>31</v>
      </c>
      <c r="AG146" s="191"/>
      <c r="AH146" s="192"/>
      <c r="AI146" s="114"/>
      <c r="AJ146" s="114"/>
      <c r="AK146" s="191"/>
      <c r="AL146" s="192"/>
      <c r="AM146" s="155"/>
      <c r="AN146" s="155"/>
      <c r="AO146" s="155"/>
      <c r="AP146" s="155"/>
      <c r="AQ146" s="155"/>
      <c r="AR146" s="155"/>
      <c r="AS146" s="155"/>
      <c r="AT146" s="155"/>
      <c r="AU146" s="155"/>
      <c r="AV146" s="155"/>
      <c r="AW146" s="155"/>
      <c r="AX146" s="155"/>
      <c r="AY146" s="155"/>
      <c r="AZ146" s="155"/>
      <c r="BA146" s="155"/>
      <c r="BB146" s="155"/>
      <c r="BC146" s="155"/>
      <c r="BD146" s="155"/>
      <c r="BE146" s="155"/>
      <c r="BF146" s="155"/>
      <c r="BG146" s="155"/>
      <c r="BH146" s="155"/>
      <c r="BI146" s="155"/>
      <c r="BJ146" s="155"/>
      <c r="BK146" s="155"/>
      <c r="BL146" s="155"/>
      <c r="BM146" s="155"/>
      <c r="BN146" s="155"/>
      <c r="BO146" s="155"/>
      <c r="BP146" s="155"/>
      <c r="BQ146" s="155"/>
      <c r="BR146" s="155"/>
    </row>
    <row r="147" spans="1:70" s="156" customFormat="1" ht="16.5" hidden="1" customHeight="1" x14ac:dyDescent="0.25">
      <c r="A147" s="266"/>
      <c r="B147" s="268"/>
      <c r="C147" s="268"/>
      <c r="D147" s="271"/>
      <c r="E147" s="271"/>
      <c r="F147" s="271"/>
      <c r="G147" s="363"/>
      <c r="H147" s="271"/>
      <c r="I147" s="266"/>
      <c r="J147" s="276"/>
      <c r="K147" s="278"/>
      <c r="L147" s="274"/>
      <c r="M147" s="278">
        <f ca="1">IF(NOT(ISERROR(MATCH(L147,_xlfn.ANCHORARRAY(G170),0))),#REF!&amp;"Por favor no seleccionar los criterios de impacto",L147)</f>
        <v>0</v>
      </c>
      <c r="N147" s="276"/>
      <c r="O147" s="278"/>
      <c r="P147" s="280"/>
      <c r="Q147" s="201">
        <v>3</v>
      </c>
      <c r="R147" s="112"/>
      <c r="S147" s="201" t="str">
        <f t="shared" si="45"/>
        <v/>
      </c>
      <c r="T147" s="113"/>
      <c r="U147" s="113"/>
      <c r="V147" s="167" t="str">
        <f t="shared" si="50"/>
        <v/>
      </c>
      <c r="W147" s="113"/>
      <c r="X147" s="113"/>
      <c r="Y147" s="113"/>
      <c r="Z147" s="165" t="str">
        <f t="shared" ref="Z147:Z150" si="61">IFERROR(IF(S147="Probabilidad",(K146-(+K146*V147)),IF(S147="Impacto",K146,"")),"")</f>
        <v/>
      </c>
      <c r="AA147" s="166" t="str">
        <f t="shared" si="53"/>
        <v/>
      </c>
      <c r="AB147" s="167" t="str">
        <f t="shared" si="54"/>
        <v/>
      </c>
      <c r="AC147" s="166" t="str">
        <f t="shared" si="55"/>
        <v/>
      </c>
      <c r="AD147" s="167" t="str">
        <f t="shared" ref="AD147:AD151" si="62">IFERROR(IF(S147="Impacto",(O146-(+O147*V147)),IF(S147="Probabilidad",O147,"")),"")</f>
        <v/>
      </c>
      <c r="AE147" s="168" t="str">
        <f t="shared" si="41"/>
        <v/>
      </c>
      <c r="AF147" s="113"/>
      <c r="AG147" s="191"/>
      <c r="AH147" s="192"/>
      <c r="AI147" s="114"/>
      <c r="AJ147" s="114"/>
      <c r="AK147" s="191"/>
      <c r="AL147" s="192"/>
      <c r="AM147" s="155"/>
      <c r="AN147" s="155"/>
      <c r="AO147" s="155"/>
      <c r="AP147" s="155"/>
      <c r="AQ147" s="155"/>
      <c r="AR147" s="155"/>
      <c r="AS147" s="155"/>
      <c r="AT147" s="155"/>
      <c r="AU147" s="155"/>
      <c r="AV147" s="155"/>
      <c r="AW147" s="155"/>
      <c r="AX147" s="155"/>
      <c r="AY147" s="155"/>
      <c r="AZ147" s="155"/>
      <c r="BA147" s="155"/>
      <c r="BB147" s="155"/>
      <c r="BC147" s="155"/>
      <c r="BD147" s="155"/>
      <c r="BE147" s="155"/>
      <c r="BF147" s="155"/>
      <c r="BG147" s="155"/>
      <c r="BH147" s="155"/>
      <c r="BI147" s="155"/>
      <c r="BJ147" s="155"/>
      <c r="BK147" s="155"/>
      <c r="BL147" s="155"/>
      <c r="BM147" s="155"/>
      <c r="BN147" s="155"/>
      <c r="BO147" s="155"/>
      <c r="BP147" s="155"/>
      <c r="BQ147" s="155"/>
      <c r="BR147" s="155"/>
    </row>
    <row r="148" spans="1:70" s="156" customFormat="1" ht="16.5" hidden="1" customHeight="1" x14ac:dyDescent="0.25">
      <c r="A148" s="266"/>
      <c r="B148" s="268"/>
      <c r="C148" s="268"/>
      <c r="D148" s="271"/>
      <c r="E148" s="271"/>
      <c r="F148" s="271"/>
      <c r="G148" s="363"/>
      <c r="H148" s="271"/>
      <c r="I148" s="266"/>
      <c r="J148" s="276"/>
      <c r="K148" s="278"/>
      <c r="L148" s="274"/>
      <c r="M148" s="278">
        <f ca="1">IF(NOT(ISERROR(MATCH(L148,_xlfn.ANCHORARRAY(#REF!),0))),#REF!&amp;"Por favor no seleccionar los criterios de impacto",L148)</f>
        <v>0</v>
      </c>
      <c r="N148" s="276"/>
      <c r="O148" s="278"/>
      <c r="P148" s="280"/>
      <c r="Q148" s="201">
        <v>4</v>
      </c>
      <c r="R148" s="112"/>
      <c r="S148" s="201" t="str">
        <f t="shared" si="45"/>
        <v/>
      </c>
      <c r="T148" s="113"/>
      <c r="U148" s="113"/>
      <c r="V148" s="167" t="str">
        <f t="shared" si="50"/>
        <v/>
      </c>
      <c r="W148" s="113"/>
      <c r="X148" s="113"/>
      <c r="Y148" s="113"/>
      <c r="Z148" s="165" t="str">
        <f t="shared" si="61"/>
        <v/>
      </c>
      <c r="AA148" s="166" t="str">
        <f t="shared" si="53"/>
        <v/>
      </c>
      <c r="AB148" s="167" t="str">
        <f t="shared" si="54"/>
        <v/>
      </c>
      <c r="AC148" s="166" t="str">
        <f t="shared" si="55"/>
        <v/>
      </c>
      <c r="AD148" s="167" t="str">
        <f t="shared" si="62"/>
        <v/>
      </c>
      <c r="AE148" s="168" t="str">
        <f t="shared" si="41"/>
        <v/>
      </c>
      <c r="AF148" s="113"/>
      <c r="AG148" s="191"/>
      <c r="AH148" s="192"/>
      <c r="AI148" s="114"/>
      <c r="AJ148" s="114"/>
      <c r="AK148" s="191"/>
      <c r="AL148" s="192"/>
      <c r="AM148" s="155"/>
      <c r="AN148" s="155"/>
      <c r="AO148" s="155"/>
      <c r="AP148" s="155"/>
      <c r="AQ148" s="155"/>
      <c r="AR148" s="155"/>
      <c r="AS148" s="155"/>
      <c r="AT148" s="155"/>
      <c r="AU148" s="155"/>
      <c r="AV148" s="155"/>
      <c r="AW148" s="155"/>
      <c r="AX148" s="155"/>
      <c r="AY148" s="155"/>
      <c r="AZ148" s="155"/>
      <c r="BA148" s="155"/>
      <c r="BB148" s="155"/>
      <c r="BC148" s="155"/>
      <c r="BD148" s="155"/>
      <c r="BE148" s="155"/>
      <c r="BF148" s="155"/>
      <c r="BG148" s="155"/>
      <c r="BH148" s="155"/>
      <c r="BI148" s="155"/>
      <c r="BJ148" s="155"/>
      <c r="BK148" s="155"/>
      <c r="BL148" s="155"/>
      <c r="BM148" s="155"/>
      <c r="BN148" s="155"/>
      <c r="BO148" s="155"/>
      <c r="BP148" s="155"/>
      <c r="BQ148" s="155"/>
      <c r="BR148" s="155"/>
    </row>
    <row r="149" spans="1:70" s="156" customFormat="1" ht="16.5" hidden="1" customHeight="1" x14ac:dyDescent="0.25">
      <c r="A149" s="266"/>
      <c r="B149" s="268"/>
      <c r="C149" s="268"/>
      <c r="D149" s="271"/>
      <c r="E149" s="271"/>
      <c r="F149" s="271"/>
      <c r="G149" s="363"/>
      <c r="H149" s="271"/>
      <c r="I149" s="266"/>
      <c r="J149" s="276"/>
      <c r="K149" s="278"/>
      <c r="L149" s="274"/>
      <c r="M149" s="278">
        <f ca="1">IF(NOT(ISERROR(MATCH(L149,_xlfn.ANCHORARRAY(#REF!),0))),#REF!&amp;"Por favor no seleccionar los criterios de impacto",L149)</f>
        <v>0</v>
      </c>
      <c r="N149" s="276"/>
      <c r="O149" s="278"/>
      <c r="P149" s="280"/>
      <c r="Q149" s="201">
        <v>5</v>
      </c>
      <c r="R149" s="112"/>
      <c r="S149" s="201" t="str">
        <f t="shared" si="45"/>
        <v/>
      </c>
      <c r="T149" s="113"/>
      <c r="U149" s="113"/>
      <c r="V149" s="167" t="str">
        <f t="shared" si="50"/>
        <v/>
      </c>
      <c r="W149" s="113"/>
      <c r="X149" s="113"/>
      <c r="Y149" s="113"/>
      <c r="Z149" s="165" t="str">
        <f t="shared" si="61"/>
        <v/>
      </c>
      <c r="AA149" s="166" t="str">
        <f t="shared" si="53"/>
        <v/>
      </c>
      <c r="AB149" s="167" t="str">
        <f t="shared" si="54"/>
        <v/>
      </c>
      <c r="AC149" s="166" t="str">
        <f t="shared" si="55"/>
        <v/>
      </c>
      <c r="AD149" s="167" t="str">
        <f t="shared" si="62"/>
        <v/>
      </c>
      <c r="AE149" s="168" t="str">
        <f t="shared" si="41"/>
        <v/>
      </c>
      <c r="AF149" s="113"/>
      <c r="AG149" s="191"/>
      <c r="AH149" s="192"/>
      <c r="AI149" s="114"/>
      <c r="AJ149" s="114"/>
      <c r="AK149" s="191"/>
      <c r="AL149" s="192"/>
      <c r="AM149" s="155"/>
      <c r="AN149" s="155"/>
      <c r="AO149" s="155"/>
      <c r="AP149" s="155"/>
      <c r="AQ149" s="155"/>
      <c r="AR149" s="155"/>
      <c r="AS149" s="155"/>
      <c r="AT149" s="155"/>
      <c r="AU149" s="155"/>
      <c r="AV149" s="155"/>
      <c r="AW149" s="155"/>
      <c r="AX149" s="155"/>
      <c r="AY149" s="155"/>
      <c r="AZ149" s="155"/>
      <c r="BA149" s="155"/>
      <c r="BB149" s="155"/>
      <c r="BC149" s="155"/>
      <c r="BD149" s="155"/>
      <c r="BE149" s="155"/>
      <c r="BF149" s="155"/>
      <c r="BG149" s="155"/>
      <c r="BH149" s="155"/>
      <c r="BI149" s="155"/>
      <c r="BJ149" s="155"/>
      <c r="BK149" s="155"/>
      <c r="BL149" s="155"/>
      <c r="BM149" s="155"/>
      <c r="BN149" s="155"/>
      <c r="BO149" s="155"/>
      <c r="BP149" s="155"/>
      <c r="BQ149" s="155"/>
      <c r="BR149" s="155"/>
    </row>
    <row r="150" spans="1:70" s="156" customFormat="1" ht="16.5" hidden="1" customHeight="1" x14ac:dyDescent="0.25">
      <c r="A150" s="266"/>
      <c r="B150" s="269"/>
      <c r="C150" s="269"/>
      <c r="D150" s="271"/>
      <c r="E150" s="271"/>
      <c r="F150" s="271"/>
      <c r="G150" s="363"/>
      <c r="H150" s="271"/>
      <c r="I150" s="266"/>
      <c r="J150" s="276"/>
      <c r="K150" s="278"/>
      <c r="L150" s="274"/>
      <c r="M150" s="278">
        <f ca="1">IF(NOT(ISERROR(MATCH(L150,_xlfn.ANCHORARRAY(#REF!),0))),K171&amp;"Por favor no seleccionar los criterios de impacto",L150)</f>
        <v>0</v>
      </c>
      <c r="N150" s="276"/>
      <c r="O150" s="278"/>
      <c r="P150" s="280"/>
      <c r="Q150" s="201">
        <v>6</v>
      </c>
      <c r="R150" s="112"/>
      <c r="S150" s="201" t="str">
        <f t="shared" si="45"/>
        <v/>
      </c>
      <c r="T150" s="113"/>
      <c r="U150" s="113"/>
      <c r="V150" s="167" t="str">
        <f t="shared" si="50"/>
        <v/>
      </c>
      <c r="W150" s="113"/>
      <c r="X150" s="113"/>
      <c r="Y150" s="113"/>
      <c r="Z150" s="165" t="str">
        <f t="shared" si="61"/>
        <v/>
      </c>
      <c r="AA150" s="166" t="str">
        <f t="shared" si="53"/>
        <v/>
      </c>
      <c r="AB150" s="167" t="str">
        <f t="shared" si="54"/>
        <v/>
      </c>
      <c r="AC150" s="166" t="str">
        <f t="shared" si="55"/>
        <v/>
      </c>
      <c r="AD150" s="167" t="str">
        <f t="shared" si="62"/>
        <v/>
      </c>
      <c r="AE150" s="168" t="str">
        <f t="shared" ref="AE150:AE152" si="63">IFERROR(IF(OR(AND(AA150="Muy Baja",AC150="Leve"),AND(AA150="Muy Baja",AC150="Menor"),AND(AA150="Baja",AC150="Leve")),"Bajo",IF(OR(AND(AA150="Muy baja",AC150="Moderado"),AND(AA150="Baja",AC150="Menor"),AND(AA150="Baja",AC150="Moderado"),AND(AA150="Media",AC150="Leve"),AND(AA150="Media",AC150="Menor"),AND(AA150="Media",AC150="Moderado"),AND(AA150="Alta",AC150="Leve"),AND(AA150="Alta",AC150="Menor")),"Moderado",IF(OR(AND(AA150="Muy Baja",AC150="Mayor"),AND(AA150="Baja",AC150="Mayor"),AND(AA150="Media",AC150="Mayor"),AND(AA150="Alta",AC150="Moderado"),AND(AA150="Alta",AC150="Mayor"),AND(AA150="Muy Alta",AC150="Leve"),AND(AA150="Muy Alta",AC150="Menor"),AND(AA150="Muy Alta",AC150="Moderado"),AND(AA150="Muy Alta",AC150="Mayor")),"Alto",IF(OR(AND(AA150="Muy Baja",AC150="Catastrófico"),AND(AA150="Baja",AC150="Catastrófico"),AND(AA150="Media",AC150="Catastrófico"),AND(AA150="Alta",AC150="Catastrófico"),AND(AA150="Muy Alta",AC150="Catastrófico")),"Extremo","")))),"")</f>
        <v/>
      </c>
      <c r="AF150" s="113"/>
      <c r="AG150" s="191"/>
      <c r="AH150" s="192"/>
      <c r="AI150" s="114"/>
      <c r="AJ150" s="114"/>
      <c r="AK150" s="191"/>
      <c r="AL150" s="192"/>
      <c r="AM150" s="155"/>
      <c r="AN150" s="155"/>
      <c r="AO150" s="155"/>
      <c r="AP150" s="155"/>
      <c r="AQ150" s="155"/>
      <c r="AR150" s="155"/>
      <c r="AS150" s="155"/>
      <c r="AT150" s="155"/>
      <c r="AU150" s="155"/>
      <c r="AV150" s="155"/>
      <c r="AW150" s="155"/>
      <c r="AX150" s="155"/>
      <c r="AY150" s="155"/>
      <c r="AZ150" s="155"/>
      <c r="BA150" s="155"/>
      <c r="BB150" s="155"/>
      <c r="BC150" s="155"/>
      <c r="BD150" s="155"/>
      <c r="BE150" s="155"/>
      <c r="BF150" s="155"/>
      <c r="BG150" s="155"/>
      <c r="BH150" s="155"/>
      <c r="BI150" s="155"/>
      <c r="BJ150" s="155"/>
      <c r="BK150" s="155"/>
      <c r="BL150" s="155"/>
      <c r="BM150" s="155"/>
      <c r="BN150" s="155"/>
      <c r="BO150" s="155"/>
      <c r="BP150" s="155"/>
      <c r="BQ150" s="155"/>
      <c r="BR150" s="155"/>
    </row>
    <row r="151" spans="1:70" s="156" customFormat="1" ht="64.5" x14ac:dyDescent="0.25">
      <c r="A151" s="266">
        <v>24</v>
      </c>
      <c r="B151" s="267" t="s">
        <v>212</v>
      </c>
      <c r="C151" s="267" t="s">
        <v>578</v>
      </c>
      <c r="D151" s="270" t="s">
        <v>130</v>
      </c>
      <c r="E151" s="270" t="s">
        <v>582</v>
      </c>
      <c r="F151" s="270" t="s">
        <v>583</v>
      </c>
      <c r="G151" s="362" t="s">
        <v>584</v>
      </c>
      <c r="H151" s="270" t="s">
        <v>437</v>
      </c>
      <c r="I151" s="281">
        <v>5000</v>
      </c>
      <c r="J151" s="275" t="str">
        <f>IF(I151&lt;=0,"",IF(I151&lt;=2,"Muy Baja",IF(I151&lt;=24,"Baja",IF(I151&lt;=500,"Media",IF(I151&lt;=5000,"Alta","Muy Alta")))))</f>
        <v>Alta</v>
      </c>
      <c r="K151" s="277">
        <f>IF(J151="","",IF(J151="Muy Baja",0.2,IF(J151="Baja",0.4,IF(J151="Media",0.6,IF(J151="Alta",0.8,IF(J151="Muy Alta",1,))))))</f>
        <v>0.8</v>
      </c>
      <c r="L151" s="273" t="s">
        <v>98</v>
      </c>
      <c r="M151" s="277" t="str">
        <f>IF(NOT(ISERROR(MATCH(L151,'[5]Tabla Impacto'!$B$221:$B$223,0))),'[5]Tabla Impacto'!$F$223&amp;"Por favor no seleccionar los criterios de impacto(Afectación Económica o presupuestal y Pérdida Reputacional)",L151)</f>
        <v>El riesgo afecta la imagen de la entidad con algunos usuarios de relevancia frente al logro de los objetivos</v>
      </c>
      <c r="N151" s="275" t="str">
        <f>+IF(OR(M151='[5]Tabla Impacto'!$C$11,M151='[5]Tabla Impacto'!$D$11),"Leve",IF(OR(M151='[5]Tabla Impacto'!$C$12,M151='[5]Tabla Impacto'!$D$12),"Menor",IF(OR(M151='[5]Tabla Impacto'!$C$13,M151='[5]Tabla Impacto'!$D$13),"Moderado",IF(OR(M151='[5]Tabla Impacto'!$C$14,M151='[5]Tabla Impacto'!$D$14),"Mayor",IF(OR(M151='[5]Tabla Impacto'!$C$15,M151='[5]Tabla Impacto'!$D$15),"Catastrófico","")))))</f>
        <v>Moderado</v>
      </c>
      <c r="O151" s="277">
        <f>IF(N151="","",IF(N151="Leve",0.2,IF(N151="Menor",0.4,IF(N151="Moderado",0.6,IF(N151="Mayor",0.8,IF(N151="Catastrófico",1,))))))</f>
        <v>0.6</v>
      </c>
      <c r="P151" s="279" t="str">
        <f>IF(OR(AND(J151="Muy Baja",N151="Leve"),AND(J151="Muy Baja",N151="Menor"),AND(J151="Baja",N151="Leve")),"Bajo",IF(OR(AND(J151="Muy baja",N151="Moderado"),AND(J151="Baja",N151="Menor"),AND(J151="Baja",N151="Moderado"),AND(J151="Media",N151="Leve"),AND(J151="Media",N151="Menor"),AND(J151="Media",N151="Moderado"),AND(J151="Alta",N151="Leve"),AND(J151="Alta",N151="Menor")),"Moderado",IF(OR(AND(J151="Muy Baja",N151="Mayor"),AND(J151="Baja",N151="Mayor"),AND(J151="Media",N151="Mayor"),AND(J151="Alta",N151="Moderado"),AND(J151="Alta",N151="Mayor"),AND(J151="Muy Alta",N151="Leve"),AND(J151="Muy Alta",N151="Menor"),AND(J151="Muy Alta",N151="Moderado"),AND(J151="Muy Alta",N151="Mayor")),"Alto",IF(OR(AND(J151="Muy Baja",N151="Catastrófico"),AND(J151="Baja",N151="Catastrófico"),AND(J151="Media",N151="Catastrófico"),AND(J151="Alta",N151="Catastrófico"),AND(J151="Muy Alta",N151="Catastrófico")),"Extremo",""))))</f>
        <v>Alto</v>
      </c>
      <c r="Q151" s="201">
        <v>1</v>
      </c>
      <c r="R151" s="112" t="s">
        <v>592</v>
      </c>
      <c r="S151" s="201" t="str">
        <f t="shared" si="45"/>
        <v>Probabilidad</v>
      </c>
      <c r="T151" s="113" t="s">
        <v>14</v>
      </c>
      <c r="U151" s="113" t="s">
        <v>9</v>
      </c>
      <c r="V151" s="167" t="str">
        <f t="shared" si="50"/>
        <v>40%</v>
      </c>
      <c r="W151" s="113" t="s">
        <v>19</v>
      </c>
      <c r="X151" s="113" t="s">
        <v>22</v>
      </c>
      <c r="Y151" s="113" t="s">
        <v>117</v>
      </c>
      <c r="Z151" s="165">
        <f>IFERROR(IF(S151="Probabilidad",(K151-(+K151*V151)),IF(S151="Impacto",K151,"")),"")</f>
        <v>0.48</v>
      </c>
      <c r="AA151" s="166" t="str">
        <f t="shared" si="53"/>
        <v>Media</v>
      </c>
      <c r="AB151" s="167">
        <f t="shared" si="54"/>
        <v>0.48</v>
      </c>
      <c r="AC151" s="166" t="str">
        <f t="shared" si="55"/>
        <v>Moderado</v>
      </c>
      <c r="AD151" s="167">
        <f t="shared" si="62"/>
        <v>0.6</v>
      </c>
      <c r="AE151" s="168" t="str">
        <f t="shared" si="63"/>
        <v>Moderado</v>
      </c>
      <c r="AF151" s="113" t="s">
        <v>31</v>
      </c>
      <c r="AG151" s="191"/>
      <c r="AH151" s="192"/>
      <c r="AI151" s="114"/>
      <c r="AJ151" s="114"/>
      <c r="AK151" s="191"/>
      <c r="AL151" s="192"/>
      <c r="AM151" s="155"/>
      <c r="AN151" s="155"/>
      <c r="AO151" s="155"/>
      <c r="AP151" s="155"/>
      <c r="AQ151" s="155"/>
      <c r="AR151" s="155"/>
      <c r="AS151" s="155"/>
      <c r="AT151" s="155"/>
      <c r="AU151" s="155"/>
      <c r="AV151" s="155"/>
      <c r="AW151" s="155"/>
      <c r="AX151" s="155"/>
      <c r="AY151" s="155"/>
      <c r="AZ151" s="155"/>
      <c r="BA151" s="155"/>
      <c r="BB151" s="155"/>
      <c r="BC151" s="155"/>
      <c r="BD151" s="155"/>
      <c r="BE151" s="155"/>
      <c r="BF151" s="155"/>
      <c r="BG151" s="155"/>
      <c r="BH151" s="155"/>
      <c r="BI151" s="155"/>
      <c r="BJ151" s="155"/>
      <c r="BK151" s="155"/>
      <c r="BL151" s="155"/>
      <c r="BM151" s="155"/>
      <c r="BN151" s="155"/>
      <c r="BO151" s="155"/>
      <c r="BP151" s="155"/>
      <c r="BQ151" s="155"/>
      <c r="BR151" s="155"/>
    </row>
    <row r="152" spans="1:70" s="156" customFormat="1" ht="64.5" x14ac:dyDescent="0.25">
      <c r="A152" s="266"/>
      <c r="B152" s="294"/>
      <c r="C152" s="294"/>
      <c r="D152" s="270"/>
      <c r="E152" s="270"/>
      <c r="F152" s="270"/>
      <c r="G152" s="362"/>
      <c r="H152" s="270"/>
      <c r="I152" s="281"/>
      <c r="J152" s="275"/>
      <c r="K152" s="277"/>
      <c r="L152" s="273"/>
      <c r="M152" s="277">
        <f ca="1">IF(NOT(ISERROR(MATCH(L152,_xlfn.ANCHORARRAY(G171),0))),K173&amp;"Por favor no seleccionar los criterios de impacto",L152)</f>
        <v>0</v>
      </c>
      <c r="N152" s="275"/>
      <c r="O152" s="277"/>
      <c r="P152" s="279"/>
      <c r="Q152" s="201">
        <v>2</v>
      </c>
      <c r="R152" s="112" t="s">
        <v>593</v>
      </c>
      <c r="S152" s="201" t="str">
        <f t="shared" si="45"/>
        <v>Probabilidad</v>
      </c>
      <c r="T152" s="113" t="s">
        <v>14</v>
      </c>
      <c r="U152" s="113" t="s">
        <v>9</v>
      </c>
      <c r="V152" s="167" t="str">
        <f t="shared" si="50"/>
        <v>40%</v>
      </c>
      <c r="W152" s="113" t="s">
        <v>19</v>
      </c>
      <c r="X152" s="113" t="s">
        <v>22</v>
      </c>
      <c r="Y152" s="113" t="s">
        <v>117</v>
      </c>
      <c r="Z152" s="165">
        <f>IFERROR(IF(S152="Probabilidad",(K151-(+K151*V152)),IF(S152="Impacto",K151,"")),"")</f>
        <v>0.48</v>
      </c>
      <c r="AA152" s="166" t="str">
        <f t="shared" si="53"/>
        <v>Media</v>
      </c>
      <c r="AB152" s="167">
        <f t="shared" si="54"/>
        <v>0.48</v>
      </c>
      <c r="AC152" s="166" t="str">
        <f t="shared" si="55"/>
        <v>Moderado</v>
      </c>
      <c r="AD152" s="167">
        <f>IFERROR(IF(S152="Impacto",(O151-(+O151*V152)),IF(S152="Probabilidad",O151,"")),"")</f>
        <v>0.6</v>
      </c>
      <c r="AE152" s="168" t="str">
        <f t="shared" si="63"/>
        <v>Moderado</v>
      </c>
      <c r="AF152" s="113" t="s">
        <v>31</v>
      </c>
      <c r="AG152" s="191"/>
      <c r="AH152" s="192"/>
      <c r="AI152" s="114"/>
      <c r="AJ152" s="114"/>
      <c r="AK152" s="191"/>
      <c r="AL152" s="192"/>
      <c r="AM152" s="155"/>
      <c r="AN152" s="155"/>
      <c r="AO152" s="155"/>
      <c r="AP152" s="155"/>
      <c r="AQ152" s="155"/>
      <c r="AR152" s="155"/>
      <c r="AS152" s="155"/>
      <c r="AT152" s="155"/>
      <c r="AU152" s="155"/>
      <c r="AV152" s="155"/>
      <c r="AW152" s="155"/>
      <c r="AX152" s="155"/>
      <c r="AY152" s="155"/>
      <c r="AZ152" s="155"/>
      <c r="BA152" s="155"/>
      <c r="BB152" s="155"/>
      <c r="BC152" s="155"/>
      <c r="BD152" s="155"/>
      <c r="BE152" s="155"/>
      <c r="BF152" s="155"/>
      <c r="BG152" s="155"/>
      <c r="BH152" s="155"/>
      <c r="BI152" s="155"/>
      <c r="BJ152" s="155"/>
      <c r="BK152" s="155"/>
      <c r="BL152" s="155"/>
      <c r="BM152" s="155"/>
      <c r="BN152" s="155"/>
      <c r="BO152" s="155"/>
      <c r="BP152" s="155"/>
      <c r="BQ152" s="155"/>
      <c r="BR152" s="155"/>
    </row>
    <row r="153" spans="1:70" s="156" customFormat="1" ht="16.5" hidden="1" customHeight="1" x14ac:dyDescent="0.25">
      <c r="A153" s="266"/>
      <c r="B153" s="268"/>
      <c r="C153" s="268"/>
      <c r="D153" s="271"/>
      <c r="E153" s="271"/>
      <c r="F153" s="271"/>
      <c r="G153" s="363"/>
      <c r="H153" s="271"/>
      <c r="I153" s="266"/>
      <c r="J153" s="276"/>
      <c r="K153" s="278"/>
      <c r="L153" s="274"/>
      <c r="M153" s="278">
        <f ca="1">IF(NOT(ISERROR(MATCH(L153,_xlfn.ANCHORARRAY(G172),0))),K174&amp;"Por favor no seleccionar los criterios de impacto",L153)</f>
        <v>0</v>
      </c>
      <c r="N153" s="276"/>
      <c r="O153" s="278"/>
      <c r="P153" s="280"/>
      <c r="Q153" s="201">
        <v>3</v>
      </c>
      <c r="R153" s="112"/>
      <c r="S153" s="201"/>
      <c r="T153" s="113"/>
      <c r="U153" s="113"/>
      <c r="V153" s="167" t="str">
        <f t="shared" si="50"/>
        <v/>
      </c>
      <c r="W153" s="113"/>
      <c r="X153" s="113"/>
      <c r="Y153" s="113"/>
      <c r="Z153" s="165" t="str">
        <f t="shared" ref="Z153:Z157" si="64">IFERROR(IF(S153="Probabilidad",(K153-(+K153*V153)),IF(S153="Impacto",K153,"")),"")</f>
        <v/>
      </c>
      <c r="AA153" s="166"/>
      <c r="AB153" s="167"/>
      <c r="AC153" s="166"/>
      <c r="AD153" s="167"/>
      <c r="AE153" s="168"/>
      <c r="AF153" s="113"/>
      <c r="AG153" s="191"/>
      <c r="AH153" s="192"/>
      <c r="AI153" s="114"/>
      <c r="AJ153" s="114"/>
      <c r="AK153" s="191"/>
      <c r="AL153" s="192"/>
      <c r="AM153" s="155"/>
      <c r="AN153" s="155"/>
      <c r="AO153" s="155"/>
      <c r="AP153" s="155"/>
      <c r="AQ153" s="155"/>
      <c r="AR153" s="155"/>
      <c r="AS153" s="155"/>
      <c r="AT153" s="155"/>
      <c r="AU153" s="155"/>
      <c r="AV153" s="155"/>
      <c r="AW153" s="155"/>
      <c r="AX153" s="155"/>
      <c r="AY153" s="155"/>
      <c r="AZ153" s="155"/>
      <c r="BA153" s="155"/>
      <c r="BB153" s="155"/>
      <c r="BC153" s="155"/>
      <c r="BD153" s="155"/>
      <c r="BE153" s="155"/>
      <c r="BF153" s="155"/>
      <c r="BG153" s="155"/>
      <c r="BH153" s="155"/>
      <c r="BI153" s="155"/>
      <c r="BJ153" s="155"/>
      <c r="BK153" s="155"/>
      <c r="BL153" s="155"/>
      <c r="BM153" s="155"/>
      <c r="BN153" s="155"/>
      <c r="BO153" s="155"/>
      <c r="BP153" s="155"/>
      <c r="BQ153" s="155"/>
      <c r="BR153" s="155"/>
    </row>
    <row r="154" spans="1:70" s="156" customFormat="1" ht="16.5" hidden="1" customHeight="1" x14ac:dyDescent="0.25">
      <c r="A154" s="266"/>
      <c r="B154" s="268"/>
      <c r="C154" s="268"/>
      <c r="D154" s="271"/>
      <c r="E154" s="271"/>
      <c r="F154" s="271"/>
      <c r="G154" s="363"/>
      <c r="H154" s="271"/>
      <c r="I154" s="266"/>
      <c r="J154" s="276"/>
      <c r="K154" s="278"/>
      <c r="L154" s="274"/>
      <c r="M154" s="278">
        <f ca="1">IF(NOT(ISERROR(MATCH(L154,_xlfn.ANCHORARRAY(G173),0))),K175&amp;"Por favor no seleccionar los criterios de impacto",L154)</f>
        <v>0</v>
      </c>
      <c r="N154" s="276"/>
      <c r="O154" s="278"/>
      <c r="P154" s="280"/>
      <c r="Q154" s="201">
        <v>4</v>
      </c>
      <c r="R154" s="112"/>
      <c r="S154" s="201"/>
      <c r="T154" s="113"/>
      <c r="U154" s="113"/>
      <c r="V154" s="167" t="str">
        <f t="shared" si="50"/>
        <v/>
      </c>
      <c r="W154" s="113"/>
      <c r="X154" s="113"/>
      <c r="Y154" s="113"/>
      <c r="Z154" s="165" t="str">
        <f t="shared" si="64"/>
        <v/>
      </c>
      <c r="AA154" s="166"/>
      <c r="AB154" s="167"/>
      <c r="AC154" s="166"/>
      <c r="AD154" s="167"/>
      <c r="AE154" s="168"/>
      <c r="AF154" s="113"/>
      <c r="AG154" s="191"/>
      <c r="AH154" s="192"/>
      <c r="AI154" s="114"/>
      <c r="AJ154" s="114"/>
      <c r="AK154" s="191"/>
      <c r="AL154" s="192"/>
      <c r="AM154" s="155"/>
      <c r="AN154" s="155"/>
      <c r="AO154" s="155"/>
      <c r="AP154" s="155"/>
      <c r="AQ154" s="155"/>
      <c r="AR154" s="155"/>
      <c r="AS154" s="155"/>
      <c r="AT154" s="155"/>
      <c r="AU154" s="155"/>
      <c r="AV154" s="155"/>
      <c r="AW154" s="155"/>
      <c r="AX154" s="155"/>
      <c r="AY154" s="155"/>
      <c r="AZ154" s="155"/>
      <c r="BA154" s="155"/>
      <c r="BB154" s="155"/>
      <c r="BC154" s="155"/>
      <c r="BD154" s="155"/>
      <c r="BE154" s="155"/>
      <c r="BF154" s="155"/>
      <c r="BG154" s="155"/>
      <c r="BH154" s="155"/>
      <c r="BI154" s="155"/>
      <c r="BJ154" s="155"/>
      <c r="BK154" s="155"/>
      <c r="BL154" s="155"/>
      <c r="BM154" s="155"/>
      <c r="BN154" s="155"/>
      <c r="BO154" s="155"/>
      <c r="BP154" s="155"/>
      <c r="BQ154" s="155"/>
      <c r="BR154" s="155"/>
    </row>
    <row r="155" spans="1:70" s="156" customFormat="1" ht="16.5" hidden="1" customHeight="1" x14ac:dyDescent="0.25">
      <c r="A155" s="266"/>
      <c r="B155" s="268"/>
      <c r="C155" s="268"/>
      <c r="D155" s="271"/>
      <c r="E155" s="271"/>
      <c r="F155" s="271"/>
      <c r="G155" s="363"/>
      <c r="H155" s="271"/>
      <c r="I155" s="266"/>
      <c r="J155" s="276"/>
      <c r="K155" s="278"/>
      <c r="L155" s="274"/>
      <c r="M155" s="278">
        <f ca="1">IF(NOT(ISERROR(MATCH(L155,_xlfn.ANCHORARRAY(G174),0))),K176&amp;"Por favor no seleccionar los criterios de impacto",L155)</f>
        <v>0</v>
      </c>
      <c r="N155" s="276"/>
      <c r="O155" s="278"/>
      <c r="P155" s="280"/>
      <c r="Q155" s="201">
        <v>5</v>
      </c>
      <c r="R155" s="112"/>
      <c r="S155" s="201"/>
      <c r="T155" s="113"/>
      <c r="U155" s="113"/>
      <c r="V155" s="167" t="str">
        <f t="shared" si="50"/>
        <v/>
      </c>
      <c r="W155" s="113"/>
      <c r="X155" s="113"/>
      <c r="Y155" s="113"/>
      <c r="Z155" s="165" t="str">
        <f t="shared" si="64"/>
        <v/>
      </c>
      <c r="AA155" s="166"/>
      <c r="AB155" s="167"/>
      <c r="AC155" s="166"/>
      <c r="AD155" s="167"/>
      <c r="AE155" s="168"/>
      <c r="AF155" s="113"/>
      <c r="AG155" s="191"/>
      <c r="AH155" s="192"/>
      <c r="AI155" s="114"/>
      <c r="AJ155" s="114"/>
      <c r="AK155" s="191"/>
      <c r="AL155" s="192"/>
      <c r="AM155" s="155"/>
      <c r="AN155" s="155"/>
      <c r="AO155" s="155"/>
      <c r="AP155" s="155"/>
      <c r="AQ155" s="155"/>
      <c r="AR155" s="155"/>
      <c r="AS155" s="155"/>
      <c r="AT155" s="155"/>
      <c r="AU155" s="155"/>
      <c r="AV155" s="155"/>
      <c r="AW155" s="155"/>
      <c r="AX155" s="155"/>
      <c r="AY155" s="155"/>
      <c r="AZ155" s="155"/>
      <c r="BA155" s="155"/>
      <c r="BB155" s="155"/>
      <c r="BC155" s="155"/>
      <c r="BD155" s="155"/>
      <c r="BE155" s="155"/>
      <c r="BF155" s="155"/>
      <c r="BG155" s="155"/>
      <c r="BH155" s="155"/>
      <c r="BI155" s="155"/>
      <c r="BJ155" s="155"/>
      <c r="BK155" s="155"/>
      <c r="BL155" s="155"/>
      <c r="BM155" s="155"/>
      <c r="BN155" s="155"/>
      <c r="BO155" s="155"/>
      <c r="BP155" s="155"/>
      <c r="BQ155" s="155"/>
      <c r="BR155" s="155"/>
    </row>
    <row r="156" spans="1:70" s="156" customFormat="1" ht="16.5" hidden="1" customHeight="1" x14ac:dyDescent="0.25">
      <c r="A156" s="266"/>
      <c r="B156" s="269"/>
      <c r="C156" s="269"/>
      <c r="D156" s="271"/>
      <c r="E156" s="271"/>
      <c r="F156" s="271"/>
      <c r="G156" s="363"/>
      <c r="H156" s="271"/>
      <c r="I156" s="266"/>
      <c r="J156" s="276"/>
      <c r="K156" s="278"/>
      <c r="L156" s="274"/>
      <c r="M156" s="278">
        <f ca="1">IF(NOT(ISERROR(MATCH(L156,_xlfn.ANCHORARRAY(G175),0))),K177&amp;"Por favor no seleccionar los criterios de impacto",L156)</f>
        <v>0</v>
      </c>
      <c r="N156" s="276"/>
      <c r="O156" s="278"/>
      <c r="P156" s="280"/>
      <c r="Q156" s="201">
        <v>6</v>
      </c>
      <c r="R156" s="112"/>
      <c r="S156" s="201"/>
      <c r="T156" s="113"/>
      <c r="U156" s="113"/>
      <c r="V156" s="167" t="str">
        <f t="shared" si="50"/>
        <v/>
      </c>
      <c r="W156" s="113"/>
      <c r="X156" s="113"/>
      <c r="Y156" s="113"/>
      <c r="Z156" s="165" t="str">
        <f t="shared" si="64"/>
        <v/>
      </c>
      <c r="AA156" s="166"/>
      <c r="AB156" s="167"/>
      <c r="AC156" s="166"/>
      <c r="AD156" s="167"/>
      <c r="AE156" s="168"/>
      <c r="AF156" s="113"/>
      <c r="AG156" s="191"/>
      <c r="AH156" s="192"/>
      <c r="AI156" s="114"/>
      <c r="AJ156" s="114"/>
      <c r="AK156" s="191"/>
      <c r="AL156" s="192"/>
      <c r="AM156" s="155"/>
      <c r="AN156" s="155"/>
      <c r="AO156" s="155"/>
      <c r="AP156" s="155"/>
      <c r="AQ156" s="155"/>
      <c r="AR156" s="155"/>
      <c r="AS156" s="155"/>
      <c r="AT156" s="155"/>
      <c r="AU156" s="155"/>
      <c r="AV156" s="155"/>
      <c r="AW156" s="155"/>
      <c r="AX156" s="155"/>
      <c r="AY156" s="155"/>
      <c r="AZ156" s="155"/>
      <c r="BA156" s="155"/>
      <c r="BB156" s="155"/>
      <c r="BC156" s="155"/>
      <c r="BD156" s="155"/>
      <c r="BE156" s="155"/>
      <c r="BF156" s="155"/>
      <c r="BG156" s="155"/>
      <c r="BH156" s="155"/>
      <c r="BI156" s="155"/>
      <c r="BJ156" s="155"/>
      <c r="BK156" s="155"/>
      <c r="BL156" s="155"/>
      <c r="BM156" s="155"/>
      <c r="BN156" s="155"/>
      <c r="BO156" s="155"/>
      <c r="BP156" s="155"/>
      <c r="BQ156" s="155"/>
      <c r="BR156" s="155"/>
    </row>
    <row r="157" spans="1:70" s="156" customFormat="1" ht="64.5" x14ac:dyDescent="0.25">
      <c r="A157" s="266">
        <v>25</v>
      </c>
      <c r="B157" s="267" t="s">
        <v>212</v>
      </c>
      <c r="C157" s="267" t="s">
        <v>585</v>
      </c>
      <c r="D157" s="270" t="s">
        <v>132</v>
      </c>
      <c r="E157" s="270" t="s">
        <v>586</v>
      </c>
      <c r="F157" s="270" t="s">
        <v>587</v>
      </c>
      <c r="G157" s="362" t="s">
        <v>588</v>
      </c>
      <c r="H157" s="270" t="s">
        <v>437</v>
      </c>
      <c r="I157" s="281">
        <v>365</v>
      </c>
      <c r="J157" s="275" t="str">
        <f t="shared" ref="J157" si="65">IF(I157&lt;=0,"",IF(I157&lt;=2,"Muy Baja",IF(I157&lt;=24,"Baja",IF(I157&lt;=500,"Media",IF(I157&lt;=5000,"Alta","Muy Alta")))))</f>
        <v>Media</v>
      </c>
      <c r="K157" s="277">
        <f t="shared" ref="K157" si="66">IF(J157="","",IF(J157="Muy Baja",0.2,IF(J157="Baja",0.4,IF(J157="Media",0.6,IF(J157="Alta",0.8,IF(J157="Muy Alta",1,))))))</f>
        <v>0.6</v>
      </c>
      <c r="L157" s="273" t="s">
        <v>98</v>
      </c>
      <c r="M157" s="277" t="str">
        <f>IF(NOT(ISERROR(MATCH(L157,'[5]Tabla Impacto'!$B$221:$B$223,0))),'[5]Tabla Impacto'!$F$223&amp;"Por favor no seleccionar los criterios de impacto(Afectación Económica o presupuestal y Pérdida Reputacional)",L157)</f>
        <v>El riesgo afecta la imagen de la entidad con algunos usuarios de relevancia frente al logro de los objetivos</v>
      </c>
      <c r="N157" s="275" t="str">
        <f>+IF(OR(M157='[5]Tabla Impacto'!$C$11,M157='[5]Tabla Impacto'!$D$11),"Leve",IF(OR(M157='[5]Tabla Impacto'!$C$12,M157='[5]Tabla Impacto'!$D$12),"Menor",IF(OR(M157='[5]Tabla Impacto'!$C$13,M157='[5]Tabla Impacto'!$D$13),"Moderado",IF(OR(M157='[5]Tabla Impacto'!$C$14,M157='[5]Tabla Impacto'!$D$14),"Mayor",IF(OR(M157='[5]Tabla Impacto'!$C$15,M157='[5]Tabla Impacto'!$D$15),"Catastrófico","")))))</f>
        <v>Moderado</v>
      </c>
      <c r="O157" s="277">
        <f t="shared" ref="O157" si="67">IF(N157="","",IF(N157="Leve",0.2,IF(N157="Menor",0.4,IF(N157="Moderado",0.6,IF(N157="Mayor",0.8,IF(N157="Catastrófico",1,))))))</f>
        <v>0.6</v>
      </c>
      <c r="P157" s="279" t="str">
        <f t="shared" ref="P157" si="68">IF(OR(AND(J157="Muy Baja",N157="Leve"),AND(J157="Muy Baja",N157="Menor"),AND(J157="Baja",N157="Leve")),"Bajo",IF(OR(AND(J157="Muy baja",N157="Moderado"),AND(J157="Baja",N157="Menor"),AND(J157="Baja",N157="Moderado"),AND(J157="Media",N157="Leve"),AND(J157="Media",N157="Menor"),AND(J157="Media",N157="Moderado"),AND(J157="Alta",N157="Leve"),AND(J157="Alta",N157="Menor")),"Moderado",IF(OR(AND(J157="Muy Baja",N157="Mayor"),AND(J157="Baja",N157="Mayor"),AND(J157="Media",N157="Mayor"),AND(J157="Alta",N157="Moderado"),AND(J157="Alta",N157="Mayor"),AND(J157="Muy Alta",N157="Leve"),AND(J157="Muy Alta",N157="Menor"),AND(J157="Muy Alta",N157="Moderado"),AND(J157="Muy Alta",N157="Mayor")),"Alto",IF(OR(AND(J157="Muy Baja",N157="Catastrófico"),AND(J157="Baja",N157="Catastrófico"),AND(J157="Media",N157="Catastrófico"),AND(J157="Alta",N157="Catastrófico"),AND(J157="Muy Alta",N157="Catastrófico")),"Extremo",""))))</f>
        <v>Moderado</v>
      </c>
      <c r="Q157" s="201">
        <v>1</v>
      </c>
      <c r="R157" s="112" t="s">
        <v>594</v>
      </c>
      <c r="S157" s="201" t="str">
        <f t="shared" ref="S157:S170" si="69">IF(OR(T157="Preventivo",T157="Detectivo"),"Probabilidad",IF(T157="Correctivo","Impacto",""))</f>
        <v>Probabilidad</v>
      </c>
      <c r="T157" s="113" t="s">
        <v>15</v>
      </c>
      <c r="U157" s="113" t="s">
        <v>9</v>
      </c>
      <c r="V157" s="167" t="str">
        <f t="shared" si="50"/>
        <v>30%</v>
      </c>
      <c r="W157" s="113" t="s">
        <v>19</v>
      </c>
      <c r="X157" s="113" t="s">
        <v>22</v>
      </c>
      <c r="Y157" s="113" t="s">
        <v>117</v>
      </c>
      <c r="Z157" s="165">
        <f t="shared" si="64"/>
        <v>0.42</v>
      </c>
      <c r="AA157" s="166" t="str">
        <f t="shared" ref="AA157:AA170" si="70">IFERROR(IF(Z157="","",IF(Z157&lt;=0.2,"Muy Baja",IF(Z157&lt;=0.4,"Baja",IF(Z157&lt;=0.6,"Media",IF(Z157&lt;=0.8,"Alta","Muy Alta"))))),"")</f>
        <v>Media</v>
      </c>
      <c r="AB157" s="167">
        <f t="shared" ref="AB157:AB170" si="71">+Z157</f>
        <v>0.42</v>
      </c>
      <c r="AC157" s="166" t="str">
        <f t="shared" ref="AC157:AC170" si="72">IFERROR(IF(AD157="","",IF(AD157&lt;=0.2,"Leve",IF(AD157&lt;=0.4,"Menor",IF(AD157&lt;=0.6,"Moderado",IF(AD157&lt;=0.8,"Mayor","Catastrófico"))))),"")</f>
        <v>Moderado</v>
      </c>
      <c r="AD157" s="167">
        <f t="shared" ref="AD157:AD162" si="73">IFERROR(IF(S157="Impacto",(O156-(+O157*V157)),IF(S157="Probabilidad",O157,"")),"")</f>
        <v>0.6</v>
      </c>
      <c r="AE157" s="168" t="str">
        <f t="shared" ref="AE157:AE170" si="74">IFERROR(IF(OR(AND(AA157="Muy Baja",AC157="Leve"),AND(AA157="Muy Baja",AC157="Menor"),AND(AA157="Baja",AC157="Leve")),"Bajo",IF(OR(AND(AA157="Muy baja",AC157="Moderado"),AND(AA157="Baja",AC157="Menor"),AND(AA157="Baja",AC157="Moderado"),AND(AA157="Media",AC157="Leve"),AND(AA157="Media",AC157="Menor"),AND(AA157="Media",AC157="Moderado"),AND(AA157="Alta",AC157="Leve"),AND(AA157="Alta",AC157="Menor")),"Moderado",IF(OR(AND(AA157="Muy Baja",AC157="Mayor"),AND(AA157="Baja",AC157="Mayor"),AND(AA157="Media",AC157="Mayor"),AND(AA157="Alta",AC157="Moderado"),AND(AA157="Alta",AC157="Mayor"),AND(AA157="Muy Alta",AC157="Leve"),AND(AA157="Muy Alta",AC157="Menor"),AND(AA157="Muy Alta",AC157="Moderado"),AND(AA157="Muy Alta",AC157="Mayor")),"Alto",IF(OR(AND(AA157="Muy Baja",AC157="Catastrófico"),AND(AA157="Baja",AC157="Catastrófico"),AND(AA157="Media",AC157="Catastrófico"),AND(AA157="Alta",AC157="Catastrófico"),AND(AA157="Muy Alta",AC157="Catastrófico")),"Extremo","")))),"")</f>
        <v>Moderado</v>
      </c>
      <c r="AF157" s="113" t="s">
        <v>31</v>
      </c>
      <c r="AG157" s="191"/>
      <c r="AH157" s="192"/>
      <c r="AI157" s="114"/>
      <c r="AJ157" s="114"/>
      <c r="AK157" s="191"/>
      <c r="AL157" s="192"/>
      <c r="AM157" s="155"/>
      <c r="AN157" s="155"/>
      <c r="AO157" s="155"/>
      <c r="AP157" s="155"/>
      <c r="AQ157" s="155"/>
      <c r="AR157" s="155"/>
      <c r="AS157" s="155"/>
      <c r="AT157" s="155"/>
      <c r="AU157" s="155"/>
      <c r="AV157" s="155"/>
      <c r="AW157" s="155"/>
      <c r="AX157" s="155"/>
      <c r="AY157" s="155"/>
      <c r="AZ157" s="155"/>
      <c r="BA157" s="155"/>
      <c r="BB157" s="155"/>
      <c r="BC157" s="155"/>
      <c r="BD157" s="155"/>
      <c r="BE157" s="155"/>
      <c r="BF157" s="155"/>
      <c r="BG157" s="155"/>
      <c r="BH157" s="155"/>
      <c r="BI157" s="155"/>
      <c r="BJ157" s="155"/>
      <c r="BK157" s="155"/>
      <c r="BL157" s="155"/>
      <c r="BM157" s="155"/>
      <c r="BN157" s="155"/>
      <c r="BO157" s="155"/>
      <c r="BP157" s="155"/>
      <c r="BQ157" s="155"/>
      <c r="BR157" s="155"/>
    </row>
    <row r="158" spans="1:70" s="156" customFormat="1" ht="111.75" customHeight="1" x14ac:dyDescent="0.25">
      <c r="A158" s="266"/>
      <c r="B158" s="294"/>
      <c r="C158" s="294"/>
      <c r="D158" s="270"/>
      <c r="E158" s="270"/>
      <c r="F158" s="270"/>
      <c r="G158" s="362"/>
      <c r="H158" s="270"/>
      <c r="I158" s="281"/>
      <c r="J158" s="275"/>
      <c r="K158" s="277"/>
      <c r="L158" s="273"/>
      <c r="M158" s="277">
        <f ca="1">IF(NOT(ISERROR(MATCH(L158,_xlfn.ANCHORARRAY(G177),0))),K179&amp;"Por favor no seleccionar los criterios de impacto",L158)</f>
        <v>0</v>
      </c>
      <c r="N158" s="275"/>
      <c r="O158" s="277"/>
      <c r="P158" s="279"/>
      <c r="Q158" s="201">
        <v>2</v>
      </c>
      <c r="R158" s="112" t="s">
        <v>597</v>
      </c>
      <c r="S158" s="201" t="str">
        <f t="shared" si="69"/>
        <v>Probabilidad</v>
      </c>
      <c r="T158" s="113" t="s">
        <v>14</v>
      </c>
      <c r="U158" s="113" t="s">
        <v>9</v>
      </c>
      <c r="V158" s="167" t="str">
        <f t="shared" si="50"/>
        <v>40%</v>
      </c>
      <c r="W158" s="113" t="s">
        <v>19</v>
      </c>
      <c r="X158" s="113" t="s">
        <v>22</v>
      </c>
      <c r="Y158" s="113" t="s">
        <v>117</v>
      </c>
      <c r="Z158" s="165">
        <f t="shared" ref="Z158:Z162" si="75">IFERROR(IF(S158="Probabilidad",(K157-(+K157*V158)),IF(S158="Impacto",K157,"")),"")</f>
        <v>0.36</v>
      </c>
      <c r="AA158" s="166" t="str">
        <f t="shared" si="70"/>
        <v>Baja</v>
      </c>
      <c r="AB158" s="167">
        <f t="shared" si="71"/>
        <v>0.36</v>
      </c>
      <c r="AC158" s="166" t="str">
        <f t="shared" si="72"/>
        <v>Moderado</v>
      </c>
      <c r="AD158" s="167">
        <f>IFERROR(IF(S158="Impacto",(O157-(+O157*V158)),IF(S158="Probabilidad",O157,"")),"")</f>
        <v>0.6</v>
      </c>
      <c r="AE158" s="168" t="str">
        <f t="shared" si="74"/>
        <v>Moderado</v>
      </c>
      <c r="AF158" s="113" t="s">
        <v>31</v>
      </c>
      <c r="AG158" s="191"/>
      <c r="AH158" s="192"/>
      <c r="AI158" s="114"/>
      <c r="AJ158" s="114"/>
      <c r="AK158" s="191"/>
      <c r="AL158" s="192"/>
      <c r="AM158" s="155"/>
      <c r="AN158" s="155"/>
      <c r="AO158" s="155"/>
      <c r="AP158" s="155"/>
      <c r="AQ158" s="155"/>
      <c r="AR158" s="155"/>
      <c r="AS158" s="155"/>
      <c r="AT158" s="155"/>
      <c r="AU158" s="155"/>
      <c r="AV158" s="155"/>
      <c r="AW158" s="155"/>
      <c r="AX158" s="155"/>
      <c r="AY158" s="155"/>
      <c r="AZ158" s="155"/>
      <c r="BA158" s="155"/>
      <c r="BB158" s="155"/>
      <c r="BC158" s="155"/>
      <c r="BD158" s="155"/>
      <c r="BE158" s="155"/>
      <c r="BF158" s="155"/>
      <c r="BG158" s="155"/>
      <c r="BH158" s="155"/>
      <c r="BI158" s="155"/>
      <c r="BJ158" s="155"/>
      <c r="BK158" s="155"/>
      <c r="BL158" s="155"/>
      <c r="BM158" s="155"/>
      <c r="BN158" s="155"/>
      <c r="BO158" s="155"/>
      <c r="BP158" s="155"/>
      <c r="BQ158" s="155"/>
      <c r="BR158" s="155"/>
    </row>
    <row r="159" spans="1:70" s="156" customFormat="1" ht="64.5" x14ac:dyDescent="0.25">
      <c r="A159" s="266"/>
      <c r="B159" s="294"/>
      <c r="C159" s="294"/>
      <c r="D159" s="270"/>
      <c r="E159" s="270"/>
      <c r="F159" s="270"/>
      <c r="G159" s="362"/>
      <c r="H159" s="270"/>
      <c r="I159" s="281"/>
      <c r="J159" s="275"/>
      <c r="K159" s="277"/>
      <c r="L159" s="273"/>
      <c r="M159" s="277">
        <f ca="1">IF(NOT(ISERROR(MATCH(L159,_xlfn.ANCHORARRAY(G178),0))),K180&amp;"Por favor no seleccionar los criterios de impacto",L159)</f>
        <v>0</v>
      </c>
      <c r="N159" s="275"/>
      <c r="O159" s="277"/>
      <c r="P159" s="279"/>
      <c r="Q159" s="201">
        <v>3</v>
      </c>
      <c r="R159" s="112" t="s">
        <v>598</v>
      </c>
      <c r="S159" s="201" t="str">
        <f t="shared" si="69"/>
        <v>Probabilidad</v>
      </c>
      <c r="T159" s="113" t="s">
        <v>14</v>
      </c>
      <c r="U159" s="113" t="s">
        <v>9</v>
      </c>
      <c r="V159" s="167" t="str">
        <f t="shared" si="50"/>
        <v>40%</v>
      </c>
      <c r="W159" s="113" t="s">
        <v>19</v>
      </c>
      <c r="X159" s="113" t="s">
        <v>22</v>
      </c>
      <c r="Y159" s="113" t="s">
        <v>117</v>
      </c>
      <c r="Z159" s="165">
        <f>IFERROR(IF(S159="Probabilidad",(K157-(+K157*V159)),IF(S159="Impacto",K157,"")),"")</f>
        <v>0.36</v>
      </c>
      <c r="AA159" s="166" t="str">
        <f t="shared" si="70"/>
        <v>Baja</v>
      </c>
      <c r="AB159" s="167">
        <f t="shared" si="71"/>
        <v>0.36</v>
      </c>
      <c r="AC159" s="166" t="str">
        <f t="shared" si="72"/>
        <v>Moderado</v>
      </c>
      <c r="AD159" s="167">
        <f>IFERROR(IF(S159="Impacto",(O157-(+O157*V159)),IF(S159="Probabilidad",O157,"")),"")</f>
        <v>0.6</v>
      </c>
      <c r="AE159" s="168" t="str">
        <f t="shared" si="74"/>
        <v>Moderado</v>
      </c>
      <c r="AF159" s="113" t="s">
        <v>31</v>
      </c>
      <c r="AG159" s="191"/>
      <c r="AH159" s="192"/>
      <c r="AI159" s="114"/>
      <c r="AJ159" s="114"/>
      <c r="AK159" s="191"/>
      <c r="AL159" s="192"/>
      <c r="AM159" s="155"/>
      <c r="AN159" s="155"/>
      <c r="AO159" s="155"/>
      <c r="AP159" s="155"/>
      <c r="AQ159" s="155"/>
      <c r="AR159" s="155"/>
      <c r="AS159" s="155"/>
      <c r="AT159" s="155"/>
      <c r="AU159" s="155"/>
      <c r="AV159" s="155"/>
      <c r="AW159" s="155"/>
      <c r="AX159" s="155"/>
      <c r="AY159" s="155"/>
      <c r="AZ159" s="155"/>
      <c r="BA159" s="155"/>
      <c r="BB159" s="155"/>
      <c r="BC159" s="155"/>
      <c r="BD159" s="155"/>
      <c r="BE159" s="155"/>
      <c r="BF159" s="155"/>
      <c r="BG159" s="155"/>
      <c r="BH159" s="155"/>
      <c r="BI159" s="155"/>
      <c r="BJ159" s="155"/>
      <c r="BK159" s="155"/>
      <c r="BL159" s="155"/>
      <c r="BM159" s="155"/>
      <c r="BN159" s="155"/>
      <c r="BO159" s="155"/>
      <c r="BP159" s="155"/>
      <c r="BQ159" s="155"/>
      <c r="BR159" s="155"/>
    </row>
    <row r="160" spans="1:70" s="156" customFormat="1" ht="16.5" hidden="1" customHeight="1" x14ac:dyDescent="0.25">
      <c r="A160" s="266"/>
      <c r="B160" s="268"/>
      <c r="C160" s="268"/>
      <c r="D160" s="271"/>
      <c r="E160" s="271"/>
      <c r="F160" s="271"/>
      <c r="G160" s="363"/>
      <c r="H160" s="271"/>
      <c r="I160" s="266"/>
      <c r="J160" s="276"/>
      <c r="K160" s="278"/>
      <c r="L160" s="274"/>
      <c r="M160" s="278">
        <f ca="1">IF(NOT(ISERROR(MATCH(L160,_xlfn.ANCHORARRAY(G179),0))),K181&amp;"Por favor no seleccionar los criterios de impacto",L160)</f>
        <v>0</v>
      </c>
      <c r="N160" s="276"/>
      <c r="O160" s="278"/>
      <c r="P160" s="280"/>
      <c r="Q160" s="201">
        <v>4</v>
      </c>
      <c r="R160" s="112"/>
      <c r="S160" s="201" t="str">
        <f t="shared" si="69"/>
        <v/>
      </c>
      <c r="T160" s="113"/>
      <c r="U160" s="113"/>
      <c r="V160" s="167"/>
      <c r="W160" s="113"/>
      <c r="X160" s="113"/>
      <c r="Y160" s="113"/>
      <c r="Z160" s="165" t="str">
        <f t="shared" si="75"/>
        <v/>
      </c>
      <c r="AA160" s="166" t="str">
        <f t="shared" si="70"/>
        <v/>
      </c>
      <c r="AB160" s="167" t="str">
        <f t="shared" si="71"/>
        <v/>
      </c>
      <c r="AC160" s="166" t="str">
        <f t="shared" si="72"/>
        <v/>
      </c>
      <c r="AD160" s="167" t="str">
        <f t="shared" si="73"/>
        <v/>
      </c>
      <c r="AE160" s="168" t="str">
        <f t="shared" si="74"/>
        <v/>
      </c>
      <c r="AF160" s="113"/>
      <c r="AG160" s="191"/>
      <c r="AH160" s="192"/>
      <c r="AI160" s="114"/>
      <c r="AJ160" s="114"/>
      <c r="AK160" s="191"/>
      <c r="AL160" s="192"/>
      <c r="AM160" s="155"/>
      <c r="AN160" s="155"/>
      <c r="AO160" s="155"/>
      <c r="AP160" s="155"/>
      <c r="AQ160" s="155"/>
      <c r="AR160" s="155"/>
      <c r="AS160" s="155"/>
      <c r="AT160" s="155"/>
      <c r="AU160" s="155"/>
      <c r="AV160" s="155"/>
      <c r="AW160" s="155"/>
      <c r="AX160" s="155"/>
      <c r="AY160" s="155"/>
      <c r="AZ160" s="155"/>
      <c r="BA160" s="155"/>
      <c r="BB160" s="155"/>
      <c r="BC160" s="155"/>
      <c r="BD160" s="155"/>
      <c r="BE160" s="155"/>
      <c r="BF160" s="155"/>
      <c r="BG160" s="155"/>
      <c r="BH160" s="155"/>
      <c r="BI160" s="155"/>
      <c r="BJ160" s="155"/>
      <c r="BK160" s="155"/>
      <c r="BL160" s="155"/>
      <c r="BM160" s="155"/>
      <c r="BN160" s="155"/>
      <c r="BO160" s="155"/>
      <c r="BP160" s="155"/>
      <c r="BQ160" s="155"/>
      <c r="BR160" s="155"/>
    </row>
    <row r="161" spans="1:70" s="156" customFormat="1" ht="16.5" hidden="1" customHeight="1" x14ac:dyDescent="0.25">
      <c r="A161" s="266"/>
      <c r="B161" s="268"/>
      <c r="C161" s="268"/>
      <c r="D161" s="271"/>
      <c r="E161" s="271"/>
      <c r="F161" s="271"/>
      <c r="G161" s="363"/>
      <c r="H161" s="271"/>
      <c r="I161" s="266"/>
      <c r="J161" s="276"/>
      <c r="K161" s="278"/>
      <c r="L161" s="274"/>
      <c r="M161" s="278">
        <f ca="1">IF(NOT(ISERROR(MATCH(L161,_xlfn.ANCHORARRAY(G180),0))),K182&amp;"Por favor no seleccionar los criterios de impacto",L161)</f>
        <v>0</v>
      </c>
      <c r="N161" s="276"/>
      <c r="O161" s="278"/>
      <c r="P161" s="280"/>
      <c r="Q161" s="201">
        <v>5</v>
      </c>
      <c r="R161" s="112"/>
      <c r="S161" s="201" t="str">
        <f t="shared" si="69"/>
        <v/>
      </c>
      <c r="T161" s="113"/>
      <c r="U161" s="113"/>
      <c r="V161" s="167"/>
      <c r="W161" s="113"/>
      <c r="X161" s="113"/>
      <c r="Y161" s="113"/>
      <c r="Z161" s="165" t="str">
        <f t="shared" si="75"/>
        <v/>
      </c>
      <c r="AA161" s="166" t="str">
        <f t="shared" si="70"/>
        <v/>
      </c>
      <c r="AB161" s="167" t="str">
        <f t="shared" si="71"/>
        <v/>
      </c>
      <c r="AC161" s="166" t="str">
        <f t="shared" si="72"/>
        <v/>
      </c>
      <c r="AD161" s="167" t="str">
        <f t="shared" si="73"/>
        <v/>
      </c>
      <c r="AE161" s="168" t="str">
        <f t="shared" si="74"/>
        <v/>
      </c>
      <c r="AF161" s="113"/>
      <c r="AG161" s="191"/>
      <c r="AH161" s="192"/>
      <c r="AI161" s="114"/>
      <c r="AJ161" s="114"/>
      <c r="AK161" s="191"/>
      <c r="AL161" s="192"/>
      <c r="AM161" s="155"/>
      <c r="AN161" s="155"/>
      <c r="AO161" s="155"/>
      <c r="AP161" s="155"/>
      <c r="AQ161" s="155"/>
      <c r="AR161" s="155"/>
      <c r="AS161" s="155"/>
      <c r="AT161" s="155"/>
      <c r="AU161" s="155"/>
      <c r="AV161" s="155"/>
      <c r="AW161" s="155"/>
      <c r="AX161" s="155"/>
      <c r="AY161" s="155"/>
      <c r="AZ161" s="155"/>
      <c r="BA161" s="155"/>
      <c r="BB161" s="155"/>
      <c r="BC161" s="155"/>
      <c r="BD161" s="155"/>
      <c r="BE161" s="155"/>
      <c r="BF161" s="155"/>
      <c r="BG161" s="155"/>
      <c r="BH161" s="155"/>
      <c r="BI161" s="155"/>
      <c r="BJ161" s="155"/>
      <c r="BK161" s="155"/>
      <c r="BL161" s="155"/>
      <c r="BM161" s="155"/>
      <c r="BN161" s="155"/>
      <c r="BO161" s="155"/>
      <c r="BP161" s="155"/>
      <c r="BQ161" s="155"/>
      <c r="BR161" s="155"/>
    </row>
    <row r="162" spans="1:70" s="156" customFormat="1" ht="16.5" hidden="1" customHeight="1" x14ac:dyDescent="0.25">
      <c r="A162" s="266"/>
      <c r="B162" s="269"/>
      <c r="C162" s="269"/>
      <c r="D162" s="271"/>
      <c r="E162" s="271"/>
      <c r="F162" s="271"/>
      <c r="G162" s="363"/>
      <c r="H162" s="271"/>
      <c r="I162" s="266"/>
      <c r="J162" s="276"/>
      <c r="K162" s="278"/>
      <c r="L162" s="274"/>
      <c r="M162" s="278">
        <f ca="1">IF(NOT(ISERROR(MATCH(L162,_xlfn.ANCHORARRAY(G181),0))),K183&amp;"Por favor no seleccionar los criterios de impacto",L162)</f>
        <v>0</v>
      </c>
      <c r="N162" s="276"/>
      <c r="O162" s="278"/>
      <c r="P162" s="280"/>
      <c r="Q162" s="201">
        <v>6</v>
      </c>
      <c r="R162" s="112"/>
      <c r="S162" s="201" t="str">
        <f t="shared" si="69"/>
        <v/>
      </c>
      <c r="T162" s="113"/>
      <c r="U162" s="113"/>
      <c r="V162" s="167"/>
      <c r="W162" s="113"/>
      <c r="X162" s="113"/>
      <c r="Y162" s="113"/>
      <c r="Z162" s="165" t="str">
        <f t="shared" si="75"/>
        <v/>
      </c>
      <c r="AA162" s="166" t="str">
        <f t="shared" si="70"/>
        <v/>
      </c>
      <c r="AB162" s="167" t="str">
        <f t="shared" si="71"/>
        <v/>
      </c>
      <c r="AC162" s="166" t="str">
        <f t="shared" si="72"/>
        <v/>
      </c>
      <c r="AD162" s="167" t="str">
        <f t="shared" si="73"/>
        <v/>
      </c>
      <c r="AE162" s="168" t="str">
        <f t="shared" si="74"/>
        <v/>
      </c>
      <c r="AF162" s="113"/>
      <c r="AG162" s="191"/>
      <c r="AH162" s="192"/>
      <c r="AI162" s="114"/>
      <c r="AJ162" s="114"/>
      <c r="AK162" s="191"/>
      <c r="AL162" s="192"/>
      <c r="AM162" s="155"/>
      <c r="AN162" s="155"/>
      <c r="AO162" s="155"/>
      <c r="AP162" s="155"/>
      <c r="AQ162" s="155"/>
      <c r="AR162" s="155"/>
      <c r="AS162" s="155"/>
      <c r="AT162" s="155"/>
      <c r="AU162" s="155"/>
      <c r="AV162" s="155"/>
      <c r="AW162" s="155"/>
      <c r="AX162" s="155"/>
      <c r="AY162" s="155"/>
      <c r="AZ162" s="155"/>
      <c r="BA162" s="155"/>
      <c r="BB162" s="155"/>
      <c r="BC162" s="155"/>
      <c r="BD162" s="155"/>
      <c r="BE162" s="155"/>
      <c r="BF162" s="155"/>
      <c r="BG162" s="155"/>
      <c r="BH162" s="155"/>
      <c r="BI162" s="155"/>
      <c r="BJ162" s="155"/>
      <c r="BK162" s="155"/>
      <c r="BL162" s="155"/>
      <c r="BM162" s="155"/>
      <c r="BN162" s="155"/>
      <c r="BO162" s="155"/>
      <c r="BP162" s="155"/>
      <c r="BQ162" s="155"/>
      <c r="BR162" s="155"/>
    </row>
    <row r="163" spans="1:70" s="156" customFormat="1" ht="64.5" x14ac:dyDescent="0.25">
      <c r="A163" s="266">
        <v>26</v>
      </c>
      <c r="B163" s="267" t="s">
        <v>212</v>
      </c>
      <c r="C163" s="267" t="s">
        <v>599</v>
      </c>
      <c r="D163" s="270" t="s">
        <v>130</v>
      </c>
      <c r="E163" s="270" t="s">
        <v>600</v>
      </c>
      <c r="F163" s="270" t="s">
        <v>601</v>
      </c>
      <c r="G163" s="362" t="s">
        <v>602</v>
      </c>
      <c r="H163" s="270" t="s">
        <v>437</v>
      </c>
      <c r="I163" s="281">
        <v>5001</v>
      </c>
      <c r="J163" s="275" t="str">
        <f>IF(I163&lt;=0,"",IF(I163&lt;=2,"Muy Baja",IF(I163&lt;=24,"Baja",IF(I163&lt;=500,"Media",IF(I163&lt;=5000,"Alta","Muy Alta")))))</f>
        <v>Muy Alta</v>
      </c>
      <c r="K163" s="277">
        <f>IF(J163="","",IF(J163="Muy Baja",0.2,IF(J163="Baja",0.4,IF(J163="Media",0.6,IF(J163="Alta",0.8,IF(J163="Muy Alta",1,))))))</f>
        <v>1</v>
      </c>
      <c r="L163" s="273" t="s">
        <v>98</v>
      </c>
      <c r="M163" s="277" t="str">
        <f>IF(NOT(ISERROR(MATCH(L163,'[5]Tabla Impacto'!$B$221:$B$223,0))),'[5]Tabla Impacto'!$F$223&amp;"Por favor no seleccionar los criterios de impacto(Afectación Económica o presupuestal y Pérdida Reputacional)",L163)</f>
        <v>El riesgo afecta la imagen de la entidad con algunos usuarios de relevancia frente al logro de los objetivos</v>
      </c>
      <c r="N163" s="275" t="str">
        <f>+IF(OR(M163='[5]Tabla Impacto'!$C$11,M163='[5]Tabla Impacto'!$D$11),"Leve",IF(OR(M163='[5]Tabla Impacto'!$C$12,M163='[5]Tabla Impacto'!$D$12),"Menor",IF(OR(M163='[5]Tabla Impacto'!$C$13,M163='[5]Tabla Impacto'!$D$13),"Moderado",IF(OR(M163='[5]Tabla Impacto'!$C$14,M163='[5]Tabla Impacto'!$D$14),"Mayor",IF(OR(M163='[5]Tabla Impacto'!$C$15,M163='[5]Tabla Impacto'!$D$15),"Catastrófico","")))))</f>
        <v>Moderado</v>
      </c>
      <c r="O163" s="277">
        <f>IF(N163="","",IF(N163="Leve",0.2,IF(N163="Menor",0.4,IF(N163="Moderado",0.6,IF(N163="Mayor",0.8,IF(N163="Catastrófico",1,))))))</f>
        <v>0.6</v>
      </c>
      <c r="P163" s="279" t="str">
        <f>IF(OR(AND(J163="Muy Baja",N163="Leve"),AND(J163="Muy Baja",N163="Menor"),AND(J163="Baja",N163="Leve")),"Bajo",IF(OR(AND(J163="Muy baja",N163="Moderado"),AND(J163="Baja",N163="Menor"),AND(J163="Baja",N163="Moderado"),AND(J163="Media",N163="Leve"),AND(J163="Media",N163="Menor"),AND(J163="Media",N163="Moderado"),AND(J163="Alta",N163="Leve"),AND(J163="Alta",N163="Menor")),"Moderado",IF(OR(AND(J163="Muy Baja",N163="Mayor"),AND(J163="Baja",N163="Mayor"),AND(J163="Media",N163="Mayor"),AND(J163="Alta",N163="Moderado"),AND(J163="Alta",N163="Mayor"),AND(J163="Muy Alta",N163="Leve"),AND(J163="Muy Alta",N163="Menor"),AND(J163="Muy Alta",N163="Moderado"),AND(J163="Muy Alta",N163="Mayor")),"Alto",IF(OR(AND(J163="Muy Baja",N163="Catastrófico"),AND(J163="Baja",N163="Catastrófico"),AND(J163="Media",N163="Catastrófico"),AND(J163="Alta",N163="Catastrófico"),AND(J163="Muy Alta",N163="Catastrófico")),"Extremo",""))))</f>
        <v>Alto</v>
      </c>
      <c r="Q163" s="201">
        <v>1</v>
      </c>
      <c r="R163" s="112" t="s">
        <v>603</v>
      </c>
      <c r="S163" s="201" t="str">
        <f t="shared" si="69"/>
        <v>Probabilidad</v>
      </c>
      <c r="T163" s="113" t="s">
        <v>14</v>
      </c>
      <c r="U163" s="113" t="s">
        <v>9</v>
      </c>
      <c r="V163" s="167" t="str">
        <f>IF(AND(T163="Preventivo",U163="Automático"),"50%",IF(AND(T163="Preventivo",U163="Manual"),"40%",IF(AND(T163="Detectivo",U163="Automático"),"40%",IF(AND(T163="Detectivo",U163="Manual"),"30%",IF(AND(T163="Correctivo",U163="Automático"),"35%",IF(AND(T163="Correctivo",U163="Manual"),"25%",""))))))</f>
        <v>40%</v>
      </c>
      <c r="W163" s="113" t="s">
        <v>19</v>
      </c>
      <c r="X163" s="113" t="s">
        <v>22</v>
      </c>
      <c r="Y163" s="113" t="s">
        <v>117</v>
      </c>
      <c r="Z163" s="165">
        <f>IFERROR(IF(S163="Probabilidad",(K163-(+K163*V163)),IF(S163="Impacto",K163,"")),"")</f>
        <v>0.6</v>
      </c>
      <c r="AA163" s="166" t="str">
        <f t="shared" si="70"/>
        <v>Media</v>
      </c>
      <c r="AB163" s="167">
        <f t="shared" si="71"/>
        <v>0.6</v>
      </c>
      <c r="AC163" s="166" t="str">
        <f t="shared" si="72"/>
        <v>Moderado</v>
      </c>
      <c r="AD163" s="167">
        <f>IFERROR(IF(S163="Impacto",(O163-(+O163*V163)),IF(S163="Probabilidad",O163,"")),"")</f>
        <v>0.6</v>
      </c>
      <c r="AE163" s="168" t="str">
        <f t="shared" si="74"/>
        <v>Moderado</v>
      </c>
      <c r="AF163" s="113" t="s">
        <v>31</v>
      </c>
      <c r="AG163" s="191"/>
      <c r="AH163" s="192"/>
      <c r="AI163" s="114"/>
      <c r="AJ163" s="114"/>
      <c r="AK163" s="191"/>
      <c r="AL163" s="192"/>
      <c r="AM163" s="155"/>
      <c r="AN163" s="155"/>
      <c r="AO163" s="155"/>
      <c r="AP163" s="155"/>
      <c r="AQ163" s="155"/>
      <c r="AR163" s="155"/>
      <c r="AS163" s="155"/>
      <c r="AT163" s="155"/>
      <c r="AU163" s="155"/>
      <c r="AV163" s="155"/>
      <c r="AW163" s="155"/>
      <c r="AX163" s="155"/>
      <c r="AY163" s="155"/>
      <c r="AZ163" s="155"/>
      <c r="BA163" s="155"/>
      <c r="BB163" s="155"/>
      <c r="BC163" s="155"/>
      <c r="BD163" s="155"/>
      <c r="BE163" s="155"/>
      <c r="BF163" s="155"/>
      <c r="BG163" s="155"/>
      <c r="BH163" s="155"/>
      <c r="BI163" s="155"/>
      <c r="BJ163" s="155"/>
      <c r="BK163" s="155"/>
      <c r="BL163" s="155"/>
      <c r="BM163" s="155"/>
      <c r="BN163" s="155"/>
      <c r="BO163" s="155"/>
      <c r="BP163" s="155"/>
      <c r="BQ163" s="155"/>
      <c r="BR163" s="155"/>
    </row>
    <row r="164" spans="1:70" s="156" customFormat="1" ht="64.5" x14ac:dyDescent="0.25">
      <c r="A164" s="266"/>
      <c r="B164" s="294"/>
      <c r="C164" s="294"/>
      <c r="D164" s="270"/>
      <c r="E164" s="270"/>
      <c r="F164" s="270"/>
      <c r="G164" s="362"/>
      <c r="H164" s="270"/>
      <c r="I164" s="281"/>
      <c r="J164" s="275"/>
      <c r="K164" s="277"/>
      <c r="L164" s="273"/>
      <c r="M164" s="277">
        <f ca="1">IF(NOT(ISERROR(MATCH(L164,_xlfn.ANCHORARRAY(G171),0))),K173&amp;"Por favor no seleccionar los criterios de impacto",L164)</f>
        <v>0</v>
      </c>
      <c r="N164" s="275"/>
      <c r="O164" s="277"/>
      <c r="P164" s="279"/>
      <c r="Q164" s="201">
        <v>2</v>
      </c>
      <c r="R164" s="112" t="s">
        <v>604</v>
      </c>
      <c r="S164" s="201" t="str">
        <f t="shared" si="69"/>
        <v>Probabilidad</v>
      </c>
      <c r="T164" s="113" t="s">
        <v>14</v>
      </c>
      <c r="U164" s="113" t="s">
        <v>9</v>
      </c>
      <c r="V164" s="167" t="str">
        <f t="shared" ref="V164:V170" si="76">IF(AND(T164="Preventivo",U164="Automático"),"50%",IF(AND(T164="Preventivo",U164="Manual"),"40%",IF(AND(T164="Detectivo",U164="Automático"),"40%",IF(AND(T164="Detectivo",U164="Manual"),"30%",IF(AND(T164="Correctivo",U164="Automático"),"35%",IF(AND(T164="Correctivo",U164="Manual"),"25%",""))))))</f>
        <v>40%</v>
      </c>
      <c r="W164" s="113" t="s">
        <v>19</v>
      </c>
      <c r="X164" s="113" t="s">
        <v>22</v>
      </c>
      <c r="Y164" s="113" t="s">
        <v>118</v>
      </c>
      <c r="Z164" s="165">
        <f>IFERROR(IF(S164="Probabilidad",(K163-(+K163*V164)),IF(S164="Impacto",K163,"")),"")</f>
        <v>0.6</v>
      </c>
      <c r="AA164" s="166" t="str">
        <f t="shared" si="70"/>
        <v>Media</v>
      </c>
      <c r="AB164" s="167">
        <f t="shared" si="71"/>
        <v>0.6</v>
      </c>
      <c r="AC164" s="166" t="str">
        <f t="shared" si="72"/>
        <v>Moderado</v>
      </c>
      <c r="AD164" s="167">
        <f>IFERROR(IF(S164="Impacto",(O163-(+O163*V164)),IF(S164="Probabilidad",O163,"")),"")</f>
        <v>0.6</v>
      </c>
      <c r="AE164" s="168" t="str">
        <f t="shared" si="74"/>
        <v>Moderado</v>
      </c>
      <c r="AF164" s="113" t="s">
        <v>31</v>
      </c>
      <c r="AG164" s="191"/>
      <c r="AH164" s="192"/>
      <c r="AI164" s="114"/>
      <c r="AJ164" s="114"/>
      <c r="AK164" s="191"/>
      <c r="AL164" s="192"/>
      <c r="AM164" s="155"/>
      <c r="AN164" s="155"/>
      <c r="AO164" s="155"/>
      <c r="AP164" s="155"/>
      <c r="AQ164" s="155"/>
      <c r="AR164" s="155"/>
      <c r="AS164" s="155"/>
      <c r="AT164" s="155"/>
      <c r="AU164" s="155"/>
      <c r="AV164" s="155"/>
      <c r="AW164" s="155"/>
      <c r="AX164" s="155"/>
      <c r="AY164" s="155"/>
      <c r="AZ164" s="155"/>
      <c r="BA164" s="155"/>
      <c r="BB164" s="155"/>
      <c r="BC164" s="155"/>
      <c r="BD164" s="155"/>
      <c r="BE164" s="155"/>
      <c r="BF164" s="155"/>
      <c r="BG164" s="155"/>
      <c r="BH164" s="155"/>
      <c r="BI164" s="155"/>
      <c r="BJ164" s="155"/>
      <c r="BK164" s="155"/>
      <c r="BL164" s="155"/>
      <c r="BM164" s="155"/>
      <c r="BN164" s="155"/>
      <c r="BO164" s="155"/>
      <c r="BP164" s="155"/>
      <c r="BQ164" s="155"/>
      <c r="BR164" s="155"/>
    </row>
    <row r="165" spans="1:70" s="156" customFormat="1" ht="16.5" hidden="1" customHeight="1" x14ac:dyDescent="0.25">
      <c r="A165" s="266"/>
      <c r="B165" s="268"/>
      <c r="C165" s="268"/>
      <c r="D165" s="271"/>
      <c r="E165" s="271"/>
      <c r="F165" s="271"/>
      <c r="G165" s="363"/>
      <c r="H165" s="271"/>
      <c r="I165" s="266"/>
      <c r="J165" s="276"/>
      <c r="K165" s="278"/>
      <c r="L165" s="274"/>
      <c r="M165" s="278">
        <f ca="1">IF(NOT(ISERROR(MATCH(L165,_xlfn.ANCHORARRAY(G172),0))),K174&amp;"Por favor no seleccionar los criterios de impacto",L165)</f>
        <v>0</v>
      </c>
      <c r="N165" s="276"/>
      <c r="O165" s="278"/>
      <c r="P165" s="280"/>
      <c r="Q165" s="201">
        <v>3</v>
      </c>
      <c r="R165" s="112"/>
      <c r="S165" s="201" t="str">
        <f t="shared" si="69"/>
        <v/>
      </c>
      <c r="T165" s="113"/>
      <c r="U165" s="113"/>
      <c r="V165" s="167" t="str">
        <f t="shared" si="76"/>
        <v/>
      </c>
      <c r="W165" s="113"/>
      <c r="X165" s="113"/>
      <c r="Y165" s="113"/>
      <c r="Z165" s="165" t="str">
        <f>IFERROR(IF(S165="Probabilidad",(K163-(+K163*V165)),IF(S165="Impacto",K163,"")),"")</f>
        <v/>
      </c>
      <c r="AA165" s="166" t="str">
        <f t="shared" si="70"/>
        <v/>
      </c>
      <c r="AB165" s="167" t="str">
        <f t="shared" si="71"/>
        <v/>
      </c>
      <c r="AC165" s="166" t="str">
        <f t="shared" si="72"/>
        <v/>
      </c>
      <c r="AD165" s="167" t="str">
        <f>IFERROR(IF(S165="Impacto",(O165-(+O165*V165)),IF(S165="Probabilidad",O165,"")),"")</f>
        <v/>
      </c>
      <c r="AE165" s="168" t="str">
        <f t="shared" si="74"/>
        <v/>
      </c>
      <c r="AF165" s="113"/>
      <c r="AG165" s="191"/>
      <c r="AH165" s="192"/>
      <c r="AI165" s="114"/>
      <c r="AJ165" s="114"/>
      <c r="AK165" s="191"/>
      <c r="AL165" s="192"/>
      <c r="AM165" s="155"/>
      <c r="AN165" s="155"/>
      <c r="AO165" s="155"/>
      <c r="AP165" s="155"/>
      <c r="AQ165" s="155"/>
      <c r="AR165" s="155"/>
      <c r="AS165" s="155"/>
      <c r="AT165" s="155"/>
      <c r="AU165" s="155"/>
      <c r="AV165" s="155"/>
      <c r="AW165" s="155"/>
      <c r="AX165" s="155"/>
      <c r="AY165" s="155"/>
      <c r="AZ165" s="155"/>
      <c r="BA165" s="155"/>
      <c r="BB165" s="155"/>
      <c r="BC165" s="155"/>
      <c r="BD165" s="155"/>
      <c r="BE165" s="155"/>
      <c r="BF165" s="155"/>
      <c r="BG165" s="155"/>
      <c r="BH165" s="155"/>
      <c r="BI165" s="155"/>
      <c r="BJ165" s="155"/>
      <c r="BK165" s="155"/>
      <c r="BL165" s="155"/>
      <c r="BM165" s="155"/>
      <c r="BN165" s="155"/>
      <c r="BO165" s="155"/>
      <c r="BP165" s="155"/>
      <c r="BQ165" s="155"/>
      <c r="BR165" s="155"/>
    </row>
    <row r="166" spans="1:70" s="156" customFormat="1" ht="16.5" hidden="1" customHeight="1" x14ac:dyDescent="0.25">
      <c r="A166" s="266"/>
      <c r="B166" s="268"/>
      <c r="C166" s="268"/>
      <c r="D166" s="271"/>
      <c r="E166" s="271"/>
      <c r="F166" s="271"/>
      <c r="G166" s="363"/>
      <c r="H166" s="271"/>
      <c r="I166" s="266"/>
      <c r="J166" s="276"/>
      <c r="K166" s="278"/>
      <c r="L166" s="274"/>
      <c r="M166" s="278">
        <f ca="1">IF(NOT(ISERROR(MATCH(L166,_xlfn.ANCHORARRAY(G173),0))),K175&amp;"Por favor no seleccionar los criterios de impacto",L166)</f>
        <v>0</v>
      </c>
      <c r="N166" s="276"/>
      <c r="O166" s="278"/>
      <c r="P166" s="280"/>
      <c r="Q166" s="201">
        <v>4</v>
      </c>
      <c r="R166" s="112"/>
      <c r="S166" s="201" t="str">
        <f t="shared" si="69"/>
        <v/>
      </c>
      <c r="T166" s="113"/>
      <c r="U166" s="113"/>
      <c r="V166" s="167" t="str">
        <f t="shared" si="76"/>
        <v/>
      </c>
      <c r="W166" s="113"/>
      <c r="X166" s="113"/>
      <c r="Y166" s="113"/>
      <c r="Z166" s="165" t="str">
        <f>IFERROR(IF(S166="Probabilidad",(K163-(+K163*V166)),IF(S166="Impacto",K163,"")),"")</f>
        <v/>
      </c>
      <c r="AA166" s="166" t="str">
        <f t="shared" si="70"/>
        <v/>
      </c>
      <c r="AB166" s="167" t="str">
        <f t="shared" si="71"/>
        <v/>
      </c>
      <c r="AC166" s="166" t="str">
        <f t="shared" si="72"/>
        <v/>
      </c>
      <c r="AD166" s="167" t="str">
        <f>IFERROR(IF(S166="Impacto",(O166-(+O166*V166)),IF(S166="Probabilidad",O166,"")),"")</f>
        <v/>
      </c>
      <c r="AE166" s="168" t="str">
        <f t="shared" si="74"/>
        <v/>
      </c>
      <c r="AF166" s="113"/>
      <c r="AG166" s="191"/>
      <c r="AH166" s="192"/>
      <c r="AI166" s="114"/>
      <c r="AJ166" s="114"/>
      <c r="AK166" s="191"/>
      <c r="AL166" s="192"/>
      <c r="AM166" s="155"/>
      <c r="AN166" s="155"/>
      <c r="AO166" s="155"/>
      <c r="AP166" s="155"/>
      <c r="AQ166" s="155"/>
      <c r="AR166" s="155"/>
      <c r="AS166" s="155"/>
      <c r="AT166" s="155"/>
      <c r="AU166" s="155"/>
      <c r="AV166" s="155"/>
      <c r="AW166" s="155"/>
      <c r="AX166" s="155"/>
      <c r="AY166" s="155"/>
      <c r="AZ166" s="155"/>
      <c r="BA166" s="155"/>
      <c r="BB166" s="155"/>
      <c r="BC166" s="155"/>
      <c r="BD166" s="155"/>
      <c r="BE166" s="155"/>
      <c r="BF166" s="155"/>
      <c r="BG166" s="155"/>
      <c r="BH166" s="155"/>
      <c r="BI166" s="155"/>
      <c r="BJ166" s="155"/>
      <c r="BK166" s="155"/>
      <c r="BL166" s="155"/>
      <c r="BM166" s="155"/>
      <c r="BN166" s="155"/>
      <c r="BO166" s="155"/>
      <c r="BP166" s="155"/>
      <c r="BQ166" s="155"/>
      <c r="BR166" s="155"/>
    </row>
    <row r="167" spans="1:70" s="156" customFormat="1" ht="16.5" hidden="1" customHeight="1" x14ac:dyDescent="0.25">
      <c r="A167" s="266"/>
      <c r="B167" s="268"/>
      <c r="C167" s="268"/>
      <c r="D167" s="271"/>
      <c r="E167" s="271"/>
      <c r="F167" s="271"/>
      <c r="G167" s="363"/>
      <c r="H167" s="271"/>
      <c r="I167" s="266"/>
      <c r="J167" s="276"/>
      <c r="K167" s="278"/>
      <c r="L167" s="274"/>
      <c r="M167" s="278">
        <f ca="1">IF(NOT(ISERROR(MATCH(L167,_xlfn.ANCHORARRAY(G174),0))),K176&amp;"Por favor no seleccionar los criterios de impacto",L167)</f>
        <v>0</v>
      </c>
      <c r="N167" s="276"/>
      <c r="O167" s="278"/>
      <c r="P167" s="280"/>
      <c r="Q167" s="201">
        <v>5</v>
      </c>
      <c r="R167" s="112"/>
      <c r="S167" s="201" t="str">
        <f t="shared" si="69"/>
        <v/>
      </c>
      <c r="T167" s="113"/>
      <c r="U167" s="113"/>
      <c r="V167" s="167" t="str">
        <f t="shared" si="76"/>
        <v/>
      </c>
      <c r="W167" s="113"/>
      <c r="X167" s="113"/>
      <c r="Y167" s="113"/>
      <c r="Z167" s="165" t="str">
        <f>IFERROR(IF(S167="Probabilidad",(K163-(+K163*V167)),IF(S167="Impacto",K163,"")),"")</f>
        <v/>
      </c>
      <c r="AA167" s="166" t="str">
        <f t="shared" si="70"/>
        <v/>
      </c>
      <c r="AB167" s="167" t="str">
        <f t="shared" si="71"/>
        <v/>
      </c>
      <c r="AC167" s="166" t="str">
        <f t="shared" si="72"/>
        <v/>
      </c>
      <c r="AD167" s="167" t="str">
        <f>IFERROR(IF(S167="Impacto",(O167-(+O167*V167)),IF(S167="Probabilidad",O167,"")),"")</f>
        <v/>
      </c>
      <c r="AE167" s="168" t="str">
        <f t="shared" si="74"/>
        <v/>
      </c>
      <c r="AF167" s="113"/>
      <c r="AG167" s="191"/>
      <c r="AH167" s="192"/>
      <c r="AI167" s="114"/>
      <c r="AJ167" s="114"/>
      <c r="AK167" s="191"/>
      <c r="AL167" s="192"/>
      <c r="AM167" s="155"/>
      <c r="AN167" s="155"/>
      <c r="AO167" s="155"/>
      <c r="AP167" s="155"/>
      <c r="AQ167" s="155"/>
      <c r="AR167" s="155"/>
      <c r="AS167" s="155"/>
      <c r="AT167" s="155"/>
      <c r="AU167" s="155"/>
      <c r="AV167" s="155"/>
      <c r="AW167" s="155"/>
      <c r="AX167" s="155"/>
      <c r="AY167" s="155"/>
      <c r="AZ167" s="155"/>
      <c r="BA167" s="155"/>
      <c r="BB167" s="155"/>
      <c r="BC167" s="155"/>
      <c r="BD167" s="155"/>
      <c r="BE167" s="155"/>
      <c r="BF167" s="155"/>
      <c r="BG167" s="155"/>
      <c r="BH167" s="155"/>
      <c r="BI167" s="155"/>
      <c r="BJ167" s="155"/>
      <c r="BK167" s="155"/>
      <c r="BL167" s="155"/>
      <c r="BM167" s="155"/>
      <c r="BN167" s="155"/>
      <c r="BO167" s="155"/>
      <c r="BP167" s="155"/>
      <c r="BQ167" s="155"/>
      <c r="BR167" s="155"/>
    </row>
    <row r="168" spans="1:70" s="156" customFormat="1" ht="16.5" hidden="1" customHeight="1" x14ac:dyDescent="0.25">
      <c r="A168" s="266"/>
      <c r="B168" s="269"/>
      <c r="C168" s="269"/>
      <c r="D168" s="271"/>
      <c r="E168" s="271"/>
      <c r="F168" s="271"/>
      <c r="G168" s="363"/>
      <c r="H168" s="271"/>
      <c r="I168" s="266"/>
      <c r="J168" s="276"/>
      <c r="K168" s="278"/>
      <c r="L168" s="274"/>
      <c r="M168" s="278">
        <f ca="1">IF(NOT(ISERROR(MATCH(L168,_xlfn.ANCHORARRAY(G175),0))),K177&amp;"Por favor no seleccionar los criterios de impacto",L168)</f>
        <v>0</v>
      </c>
      <c r="N168" s="276"/>
      <c r="O168" s="278"/>
      <c r="P168" s="280"/>
      <c r="Q168" s="201">
        <v>6</v>
      </c>
      <c r="R168" s="112"/>
      <c r="S168" s="201" t="str">
        <f t="shared" si="69"/>
        <v/>
      </c>
      <c r="T168" s="113"/>
      <c r="U168" s="113"/>
      <c r="V168" s="167" t="str">
        <f t="shared" si="76"/>
        <v/>
      </c>
      <c r="W168" s="113"/>
      <c r="X168" s="113"/>
      <c r="Y168" s="113"/>
      <c r="Z168" s="165" t="str">
        <f>IFERROR(IF(S168="Probabilidad",(K163-(+K163*V168)),IF(S168="Impacto",K163,"")),"")</f>
        <v/>
      </c>
      <c r="AA168" s="166" t="str">
        <f t="shared" si="70"/>
        <v/>
      </c>
      <c r="AB168" s="167" t="str">
        <f t="shared" si="71"/>
        <v/>
      </c>
      <c r="AC168" s="166" t="str">
        <f t="shared" si="72"/>
        <v/>
      </c>
      <c r="AD168" s="167" t="str">
        <f>IFERROR(IF(S168="Impacto",(O168-(+O168*V168)),IF(S168="Probabilidad",O168,"")),"")</f>
        <v/>
      </c>
      <c r="AE168" s="168" t="str">
        <f t="shared" si="74"/>
        <v/>
      </c>
      <c r="AF168" s="113"/>
      <c r="AG168" s="191"/>
      <c r="AH168" s="192"/>
      <c r="AI168" s="114"/>
      <c r="AJ168" s="114"/>
      <c r="AK168" s="191"/>
      <c r="AL168" s="192"/>
      <c r="AM168" s="155"/>
      <c r="AN168" s="155"/>
      <c r="AO168" s="155"/>
      <c r="AP168" s="155"/>
      <c r="AQ168" s="155"/>
      <c r="AR168" s="155"/>
      <c r="AS168" s="155"/>
      <c r="AT168" s="155"/>
      <c r="AU168" s="155"/>
      <c r="AV168" s="155"/>
      <c r="AW168" s="155"/>
      <c r="AX168" s="155"/>
      <c r="AY168" s="155"/>
      <c r="AZ168" s="155"/>
      <c r="BA168" s="155"/>
      <c r="BB168" s="155"/>
      <c r="BC168" s="155"/>
      <c r="BD168" s="155"/>
      <c r="BE168" s="155"/>
      <c r="BF168" s="155"/>
      <c r="BG168" s="155"/>
      <c r="BH168" s="155"/>
      <c r="BI168" s="155"/>
      <c r="BJ168" s="155"/>
      <c r="BK168" s="155"/>
      <c r="BL168" s="155"/>
      <c r="BM168" s="155"/>
      <c r="BN168" s="155"/>
      <c r="BO168" s="155"/>
      <c r="BP168" s="155"/>
      <c r="BQ168" s="155"/>
      <c r="BR168" s="155"/>
    </row>
    <row r="169" spans="1:70" s="156" customFormat="1" ht="64.5" x14ac:dyDescent="0.25">
      <c r="A169" s="266">
        <v>27</v>
      </c>
      <c r="B169" s="267" t="s">
        <v>212</v>
      </c>
      <c r="C169" s="267" t="s">
        <v>599</v>
      </c>
      <c r="D169" s="267" t="s">
        <v>130</v>
      </c>
      <c r="E169" s="267" t="s">
        <v>605</v>
      </c>
      <c r="F169" s="267" t="s">
        <v>606</v>
      </c>
      <c r="G169" s="295" t="s">
        <v>607</v>
      </c>
      <c r="H169" s="267" t="s">
        <v>437</v>
      </c>
      <c r="I169" s="299">
        <v>5001</v>
      </c>
      <c r="J169" s="254" t="str">
        <f>IF(I169&lt;=0,"",IF(I169&lt;=2,"Muy Baja",IF(I169&lt;=24,"Baja",IF(I169&lt;=500,"Media",IF(I169&lt;=5000,"Alta","Muy Alta")))))</f>
        <v>Muy Alta</v>
      </c>
      <c r="K169" s="258">
        <f>IF(J169="","",IF(J169="Muy Baja",0.2,IF(J169="Baja",0.4,IF(J169="Media",0.6,IF(J169="Alta",0.8,IF(J169="Muy Alta",1,))))))</f>
        <v>1</v>
      </c>
      <c r="L169" s="262" t="s">
        <v>98</v>
      </c>
      <c r="M169" s="277" t="str">
        <f>IF(NOT(ISERROR(MATCH(L169,'[5]Tabla Impacto'!$B$221:$B$223,0))),'[5]Tabla Impacto'!$F$223&amp;"Por favor no seleccionar los criterios de impacto(Afectación Económica o presupuestal y Pérdida Reputacional)",L169)</f>
        <v>El riesgo afecta la imagen de la entidad con algunos usuarios de relevancia frente al logro de los objetivos</v>
      </c>
      <c r="N169" s="254" t="str">
        <f>+IF(OR(M169='[5]Tabla Impacto'!$C$11,M169='[5]Tabla Impacto'!$D$11),"Leve",IF(OR(M169='[5]Tabla Impacto'!$C$12,M169='[5]Tabla Impacto'!$D$12),"Menor",IF(OR(M169='[5]Tabla Impacto'!$C$13,M169='[5]Tabla Impacto'!$D$13),"Moderado",IF(OR(M169='[5]Tabla Impacto'!$C$14,M169='[5]Tabla Impacto'!$D$14),"Mayor",IF(OR(M169='[5]Tabla Impacto'!$C$15,M169='[5]Tabla Impacto'!$D$15),"Catastrófico","")))))</f>
        <v>Moderado</v>
      </c>
      <c r="O169" s="258">
        <f>IF(N169="","",IF(N169="Leve",0.2,IF(N169="Menor",0.4,IF(N169="Moderado",0.6,IF(N169="Mayor",0.8,IF(N169="Catastrófico",1,))))))</f>
        <v>0.6</v>
      </c>
      <c r="P169" s="356" t="str">
        <f>IF(OR(AND(J169="Muy Baja",N169="Leve"),AND(J169="Muy Baja",N169="Menor"),AND(J169="Baja",N169="Leve")),"Bajo",IF(OR(AND(J169="Muy baja",N169="Moderado"),AND(J169="Baja",N169="Menor"),AND(J169="Baja",N169="Moderado"),AND(J169="Media",N169="Leve"),AND(J169="Media",N169="Menor"),AND(J169="Media",N169="Moderado"),AND(J169="Alta",N169="Leve"),AND(J169="Alta",N169="Menor")),"Moderado",IF(OR(AND(J169="Muy Baja",N169="Mayor"),AND(J169="Baja",N169="Mayor"),AND(J169="Media",N169="Mayor"),AND(J169="Alta",N169="Moderado"),AND(J169="Alta",N169="Mayor"),AND(J169="Muy Alta",N169="Leve"),AND(J169="Muy Alta",N169="Menor"),AND(J169="Muy Alta",N169="Moderado"),AND(J169="Muy Alta",N169="Mayor")),"Alto",IF(OR(AND(J169="Muy Baja",N169="Catastrófico"),AND(J169="Baja",N169="Catastrófico"),AND(J169="Media",N169="Catastrófico"),AND(J169="Alta",N169="Catastrófico"),AND(J169="Muy Alta",N169="Catastrófico")),"Extremo",""))))</f>
        <v>Alto</v>
      </c>
      <c r="Q169" s="201">
        <v>1</v>
      </c>
      <c r="R169" s="112" t="s">
        <v>608</v>
      </c>
      <c r="S169" s="201" t="str">
        <f t="shared" si="69"/>
        <v>Probabilidad</v>
      </c>
      <c r="T169" s="113" t="s">
        <v>14</v>
      </c>
      <c r="U169" s="113" t="s">
        <v>9</v>
      </c>
      <c r="V169" s="167" t="str">
        <f t="shared" si="76"/>
        <v>40%</v>
      </c>
      <c r="W169" s="113" t="s">
        <v>19</v>
      </c>
      <c r="X169" s="113" t="s">
        <v>22</v>
      </c>
      <c r="Y169" s="113" t="s">
        <v>117</v>
      </c>
      <c r="Z169" s="165">
        <f>IFERROR(IF(S169="Probabilidad",(K169-(+K169*V169)),IF(S169="Impacto",K169,"")),"")</f>
        <v>0.6</v>
      </c>
      <c r="AA169" s="166" t="str">
        <f t="shared" si="70"/>
        <v>Media</v>
      </c>
      <c r="AB169" s="167">
        <f t="shared" si="71"/>
        <v>0.6</v>
      </c>
      <c r="AC169" s="166" t="str">
        <f t="shared" si="72"/>
        <v>Moderado</v>
      </c>
      <c r="AD169" s="167">
        <f>IFERROR(IF(S169="Impacto",(O169-(+O169*V169)),IF(S169="Probabilidad",O169,"")),"")</f>
        <v>0.6</v>
      </c>
      <c r="AE169" s="168" t="str">
        <f t="shared" si="74"/>
        <v>Moderado</v>
      </c>
      <c r="AF169" s="113" t="s">
        <v>31</v>
      </c>
      <c r="AG169" s="191"/>
      <c r="AH169" s="192"/>
      <c r="AI169" s="114"/>
      <c r="AJ169" s="114"/>
      <c r="AK169" s="191"/>
      <c r="AL169" s="192"/>
      <c r="AM169" s="155"/>
      <c r="AN169" s="155"/>
      <c r="AO169" s="155"/>
      <c r="AP169" s="155"/>
      <c r="AQ169" s="155"/>
      <c r="AR169" s="155"/>
      <c r="AS169" s="155"/>
      <c r="AT169" s="155"/>
      <c r="AU169" s="155"/>
      <c r="AV169" s="155"/>
      <c r="AW169" s="155"/>
      <c r="AX169" s="155"/>
      <c r="AY169" s="155"/>
      <c r="AZ169" s="155"/>
      <c r="BA169" s="155"/>
      <c r="BB169" s="155"/>
      <c r="BC169" s="155"/>
      <c r="BD169" s="155"/>
      <c r="BE169" s="155"/>
      <c r="BF169" s="155"/>
      <c r="BG169" s="155"/>
      <c r="BH169" s="155"/>
      <c r="BI169" s="155"/>
      <c r="BJ169" s="155"/>
      <c r="BK169" s="155"/>
      <c r="BL169" s="155"/>
      <c r="BM169" s="155"/>
      <c r="BN169" s="155"/>
      <c r="BO169" s="155"/>
      <c r="BP169" s="155"/>
      <c r="BQ169" s="155"/>
      <c r="BR169" s="155"/>
    </row>
    <row r="170" spans="1:70" s="156" customFormat="1" ht="64.5" x14ac:dyDescent="0.25">
      <c r="A170" s="266"/>
      <c r="B170" s="294"/>
      <c r="C170" s="294"/>
      <c r="D170" s="294"/>
      <c r="E170" s="294"/>
      <c r="F170" s="294"/>
      <c r="G170" s="296"/>
      <c r="H170" s="294"/>
      <c r="I170" s="300"/>
      <c r="J170" s="255"/>
      <c r="K170" s="259"/>
      <c r="L170" s="263"/>
      <c r="M170" s="277">
        <f ca="1">IF(NOT(ISERROR(MATCH(L170,_xlfn.ANCHORARRAY(G181),0))),K183&amp;"Por favor no seleccionar los criterios de impacto",L170)</f>
        <v>0</v>
      </c>
      <c r="N170" s="255"/>
      <c r="O170" s="259"/>
      <c r="P170" s="357"/>
      <c r="Q170" s="201">
        <v>2</v>
      </c>
      <c r="R170" s="112" t="s">
        <v>609</v>
      </c>
      <c r="S170" s="201" t="str">
        <f t="shared" si="69"/>
        <v>Probabilidad</v>
      </c>
      <c r="T170" s="113" t="s">
        <v>14</v>
      </c>
      <c r="U170" s="113" t="s">
        <v>9</v>
      </c>
      <c r="V170" s="167" t="str">
        <f t="shared" si="76"/>
        <v>40%</v>
      </c>
      <c r="W170" s="113" t="s">
        <v>19</v>
      </c>
      <c r="X170" s="113" t="s">
        <v>22</v>
      </c>
      <c r="Y170" s="113" t="s">
        <v>117</v>
      </c>
      <c r="Z170" s="165">
        <f>IFERROR(IF(S170="Probabilidad",(K169-(+K169*V170)),IF(S170="Impacto",K169,"")),"")</f>
        <v>0.6</v>
      </c>
      <c r="AA170" s="166" t="str">
        <f t="shared" si="70"/>
        <v>Media</v>
      </c>
      <c r="AB170" s="167">
        <f t="shared" si="71"/>
        <v>0.6</v>
      </c>
      <c r="AC170" s="166" t="str">
        <f t="shared" si="72"/>
        <v>Moderado</v>
      </c>
      <c r="AD170" s="167">
        <f>IFERROR(IF(S170="Impacto",(O169-(+O169*V170)),IF(S170="Probabilidad",O169,"")),"")</f>
        <v>0.6</v>
      </c>
      <c r="AE170" s="168" t="str">
        <f t="shared" si="74"/>
        <v>Moderado</v>
      </c>
      <c r="AF170" s="113" t="s">
        <v>31</v>
      </c>
      <c r="AG170" s="191"/>
      <c r="AH170" s="192"/>
      <c r="AI170" s="114"/>
      <c r="AJ170" s="114"/>
      <c r="AK170" s="191"/>
      <c r="AL170" s="192"/>
      <c r="AM170" s="155"/>
      <c r="AN170" s="155"/>
      <c r="AO170" s="155"/>
      <c r="AP170" s="155"/>
      <c r="AQ170" s="155"/>
      <c r="AR170" s="155"/>
      <c r="AS170" s="155"/>
      <c r="AT170" s="155"/>
      <c r="AU170" s="155"/>
      <c r="AV170" s="155"/>
      <c r="AW170" s="155"/>
      <c r="AX170" s="155"/>
      <c r="AY170" s="155"/>
      <c r="AZ170" s="155"/>
      <c r="BA170" s="155"/>
      <c r="BB170" s="155"/>
      <c r="BC170" s="155"/>
      <c r="BD170" s="155"/>
      <c r="BE170" s="155"/>
      <c r="BF170" s="155"/>
      <c r="BG170" s="155"/>
      <c r="BH170" s="155"/>
      <c r="BI170" s="155"/>
      <c r="BJ170" s="155"/>
      <c r="BK170" s="155"/>
      <c r="BL170" s="155"/>
      <c r="BM170" s="155"/>
      <c r="BN170" s="155"/>
      <c r="BO170" s="155"/>
      <c r="BP170" s="155"/>
      <c r="BQ170" s="155"/>
      <c r="BR170" s="155"/>
    </row>
    <row r="171" spans="1:70" s="156" customFormat="1" ht="16.5" hidden="1" customHeight="1" x14ac:dyDescent="0.25">
      <c r="A171" s="266"/>
      <c r="B171" s="268"/>
      <c r="C171" s="268"/>
      <c r="D171" s="268"/>
      <c r="E171" s="268"/>
      <c r="F171" s="268"/>
      <c r="G171" s="297"/>
      <c r="H171" s="268"/>
      <c r="I171" s="301"/>
      <c r="J171" s="256"/>
      <c r="K171" s="260"/>
      <c r="L171" s="264"/>
      <c r="M171" s="278"/>
      <c r="N171" s="256"/>
      <c r="O171" s="260"/>
      <c r="P171" s="358"/>
      <c r="Q171" s="148">
        <v>3</v>
      </c>
      <c r="R171" s="112"/>
      <c r="S171" s="148"/>
      <c r="T171" s="113"/>
      <c r="U171" s="113"/>
      <c r="V171" s="167"/>
      <c r="W171" s="113"/>
      <c r="X171" s="113"/>
      <c r="Y171" s="113"/>
      <c r="Z171" s="165"/>
      <c r="AA171" s="166"/>
      <c r="AB171" s="167"/>
      <c r="AC171" s="166"/>
      <c r="AD171" s="167"/>
      <c r="AE171" s="168"/>
      <c r="AF171" s="113"/>
      <c r="AG171" s="191"/>
      <c r="AH171" s="192"/>
      <c r="AI171" s="114"/>
      <c r="AJ171" s="114"/>
      <c r="AK171" s="191"/>
      <c r="AL171" s="192"/>
      <c r="AM171" s="155"/>
      <c r="AN171" s="155"/>
      <c r="AO171" s="155"/>
      <c r="AP171" s="155"/>
      <c r="AQ171" s="155"/>
      <c r="AR171" s="155"/>
      <c r="AS171" s="155"/>
      <c r="AT171" s="155"/>
      <c r="AU171" s="155"/>
      <c r="AV171" s="155"/>
      <c r="AW171" s="155"/>
      <c r="AX171" s="155"/>
      <c r="AY171" s="155"/>
      <c r="AZ171" s="155"/>
      <c r="BA171" s="155"/>
      <c r="BB171" s="155"/>
      <c r="BC171" s="155"/>
      <c r="BD171" s="155"/>
      <c r="BE171" s="155"/>
      <c r="BF171" s="155"/>
      <c r="BG171" s="155"/>
      <c r="BH171" s="155"/>
      <c r="BI171" s="155"/>
      <c r="BJ171" s="155"/>
      <c r="BK171" s="155"/>
      <c r="BL171" s="155"/>
      <c r="BM171" s="155"/>
      <c r="BN171" s="155"/>
      <c r="BO171" s="155"/>
      <c r="BP171" s="155"/>
      <c r="BQ171" s="155"/>
      <c r="BR171" s="155"/>
    </row>
    <row r="172" spans="1:70" s="156" customFormat="1" ht="16.5" hidden="1" customHeight="1" x14ac:dyDescent="0.25">
      <c r="A172" s="266"/>
      <c r="B172" s="268"/>
      <c r="C172" s="268"/>
      <c r="D172" s="268"/>
      <c r="E172" s="268"/>
      <c r="F172" s="268"/>
      <c r="G172" s="297"/>
      <c r="H172" s="268"/>
      <c r="I172" s="301"/>
      <c r="J172" s="256"/>
      <c r="K172" s="260"/>
      <c r="L172" s="264"/>
      <c r="M172" s="278"/>
      <c r="N172" s="256"/>
      <c r="O172" s="260"/>
      <c r="P172" s="358"/>
      <c r="Q172" s="148">
        <v>4</v>
      </c>
      <c r="R172" s="112"/>
      <c r="S172" s="148"/>
      <c r="T172" s="113"/>
      <c r="U172" s="113"/>
      <c r="V172" s="167"/>
      <c r="W172" s="113"/>
      <c r="X172" s="113"/>
      <c r="Y172" s="113"/>
      <c r="Z172" s="165"/>
      <c r="AA172" s="166"/>
      <c r="AB172" s="167"/>
      <c r="AC172" s="166"/>
      <c r="AD172" s="167"/>
      <c r="AE172" s="168"/>
      <c r="AF172" s="113"/>
      <c r="AG172" s="191"/>
      <c r="AH172" s="192"/>
      <c r="AI172" s="114"/>
      <c r="AJ172" s="114"/>
      <c r="AK172" s="191"/>
      <c r="AL172" s="192"/>
      <c r="AM172" s="155"/>
      <c r="AN172" s="155"/>
      <c r="AO172" s="155"/>
      <c r="AP172" s="155"/>
      <c r="AQ172" s="155"/>
      <c r="AR172" s="155"/>
      <c r="AS172" s="155"/>
      <c r="AT172" s="155"/>
      <c r="AU172" s="155"/>
      <c r="AV172" s="155"/>
      <c r="AW172" s="155"/>
      <c r="AX172" s="155"/>
      <c r="AY172" s="155"/>
      <c r="AZ172" s="155"/>
      <c r="BA172" s="155"/>
      <c r="BB172" s="155"/>
      <c r="BC172" s="155"/>
      <c r="BD172" s="155"/>
      <c r="BE172" s="155"/>
      <c r="BF172" s="155"/>
      <c r="BG172" s="155"/>
      <c r="BH172" s="155"/>
      <c r="BI172" s="155"/>
      <c r="BJ172" s="155"/>
      <c r="BK172" s="155"/>
      <c r="BL172" s="155"/>
      <c r="BM172" s="155"/>
      <c r="BN172" s="155"/>
      <c r="BO172" s="155"/>
      <c r="BP172" s="155"/>
      <c r="BQ172" s="155"/>
      <c r="BR172" s="155"/>
    </row>
    <row r="173" spans="1:70" s="156" customFormat="1" ht="16.5" hidden="1" customHeight="1" x14ac:dyDescent="0.25">
      <c r="A173" s="266"/>
      <c r="B173" s="268"/>
      <c r="C173" s="268"/>
      <c r="D173" s="268"/>
      <c r="E173" s="268"/>
      <c r="F173" s="268"/>
      <c r="G173" s="297"/>
      <c r="H173" s="268"/>
      <c r="I173" s="301"/>
      <c r="J173" s="256"/>
      <c r="K173" s="260"/>
      <c r="L173" s="264"/>
      <c r="M173" s="278"/>
      <c r="N173" s="256"/>
      <c r="O173" s="260"/>
      <c r="P173" s="358"/>
      <c r="Q173" s="148">
        <v>5</v>
      </c>
      <c r="R173" s="112"/>
      <c r="S173" s="148"/>
      <c r="T173" s="113"/>
      <c r="U173" s="113"/>
      <c r="V173" s="167"/>
      <c r="W173" s="113"/>
      <c r="X173" s="113"/>
      <c r="Y173" s="113"/>
      <c r="Z173" s="165"/>
      <c r="AA173" s="166"/>
      <c r="AB173" s="167"/>
      <c r="AC173" s="166"/>
      <c r="AD173" s="167"/>
      <c r="AE173" s="168"/>
      <c r="AF173" s="113"/>
      <c r="AG173" s="191"/>
      <c r="AH173" s="192"/>
      <c r="AI173" s="114"/>
      <c r="AJ173" s="114"/>
      <c r="AK173" s="191"/>
      <c r="AL173" s="192"/>
      <c r="AM173" s="155"/>
      <c r="AN173" s="155"/>
      <c r="AO173" s="155"/>
      <c r="AP173" s="155"/>
      <c r="AQ173" s="155"/>
      <c r="AR173" s="155"/>
      <c r="AS173" s="155"/>
      <c r="AT173" s="155"/>
      <c r="AU173" s="155"/>
      <c r="AV173" s="155"/>
      <c r="AW173" s="155"/>
      <c r="AX173" s="155"/>
      <c r="AY173" s="155"/>
      <c r="AZ173" s="155"/>
      <c r="BA173" s="155"/>
      <c r="BB173" s="155"/>
      <c r="BC173" s="155"/>
      <c r="BD173" s="155"/>
      <c r="BE173" s="155"/>
      <c r="BF173" s="155"/>
      <c r="BG173" s="155"/>
      <c r="BH173" s="155"/>
      <c r="BI173" s="155"/>
      <c r="BJ173" s="155"/>
      <c r="BK173" s="155"/>
      <c r="BL173" s="155"/>
      <c r="BM173" s="155"/>
      <c r="BN173" s="155"/>
      <c r="BO173" s="155"/>
      <c r="BP173" s="155"/>
      <c r="BQ173" s="155"/>
      <c r="BR173" s="155"/>
    </row>
    <row r="174" spans="1:70" s="156" customFormat="1" ht="16.5" hidden="1" customHeight="1" x14ac:dyDescent="0.25">
      <c r="A174" s="266"/>
      <c r="B174" s="269"/>
      <c r="C174" s="269"/>
      <c r="D174" s="269"/>
      <c r="E174" s="269"/>
      <c r="F174" s="269"/>
      <c r="G174" s="298"/>
      <c r="H174" s="269"/>
      <c r="I174" s="302"/>
      <c r="J174" s="257"/>
      <c r="K174" s="261"/>
      <c r="L174" s="265"/>
      <c r="M174" s="278"/>
      <c r="N174" s="257"/>
      <c r="O174" s="261"/>
      <c r="P174" s="359"/>
      <c r="Q174" s="148">
        <v>6</v>
      </c>
      <c r="R174" s="112"/>
      <c r="S174" s="148"/>
      <c r="T174" s="113"/>
      <c r="U174" s="113"/>
      <c r="V174" s="167"/>
      <c r="W174" s="113"/>
      <c r="X174" s="113"/>
      <c r="Y174" s="113"/>
      <c r="Z174" s="165"/>
      <c r="AA174" s="166"/>
      <c r="AB174" s="167"/>
      <c r="AC174" s="166"/>
      <c r="AD174" s="167"/>
      <c r="AE174" s="168"/>
      <c r="AF174" s="113"/>
      <c r="AG174" s="191"/>
      <c r="AH174" s="192"/>
      <c r="AI174" s="114"/>
      <c r="AJ174" s="114"/>
      <c r="AK174" s="191"/>
      <c r="AL174" s="192"/>
      <c r="AM174" s="155"/>
      <c r="AN174" s="155"/>
      <c r="AO174" s="155"/>
      <c r="AP174" s="155"/>
      <c r="AQ174" s="155"/>
      <c r="AR174" s="155"/>
      <c r="AS174" s="155"/>
      <c r="AT174" s="155"/>
      <c r="AU174" s="155"/>
      <c r="AV174" s="155"/>
      <c r="AW174" s="155"/>
      <c r="AX174" s="155"/>
      <c r="AY174" s="155"/>
      <c r="AZ174" s="155"/>
      <c r="BA174" s="155"/>
      <c r="BB174" s="155"/>
      <c r="BC174" s="155"/>
      <c r="BD174" s="155"/>
      <c r="BE174" s="155"/>
      <c r="BF174" s="155"/>
      <c r="BG174" s="155"/>
      <c r="BH174" s="155"/>
      <c r="BI174" s="155"/>
      <c r="BJ174" s="155"/>
      <c r="BK174" s="155"/>
      <c r="BL174" s="155"/>
      <c r="BM174" s="155"/>
      <c r="BN174" s="155"/>
      <c r="BO174" s="155"/>
      <c r="BP174" s="155"/>
      <c r="BQ174" s="155"/>
      <c r="BR174" s="155"/>
    </row>
    <row r="175" spans="1:70" s="156" customFormat="1" ht="64.5" x14ac:dyDescent="0.25">
      <c r="A175" s="266">
        <v>28</v>
      </c>
      <c r="B175" s="267" t="s">
        <v>212</v>
      </c>
      <c r="C175" s="267" t="s">
        <v>599</v>
      </c>
      <c r="D175" s="270" t="s">
        <v>130</v>
      </c>
      <c r="E175" s="270" t="s">
        <v>610</v>
      </c>
      <c r="F175" s="270" t="s">
        <v>611</v>
      </c>
      <c r="G175" s="362" t="s">
        <v>612</v>
      </c>
      <c r="H175" s="270" t="s">
        <v>437</v>
      </c>
      <c r="I175" s="281">
        <v>24</v>
      </c>
      <c r="J175" s="275" t="str">
        <f>IF(I175&lt;=0,"",IF(I175&lt;=2,"Muy Baja",IF(I175&lt;=24,"Baja",IF(I175&lt;=500,"Media",IF(I175&lt;=5000,"Alta","Muy Alta")))))</f>
        <v>Baja</v>
      </c>
      <c r="K175" s="277">
        <f>IF(J175="","",IF(J175="Muy Baja",0.2,IF(J175="Baja",0.4,IF(J175="Media",0.6,IF(J175="Alta",0.8,IF(J175="Muy Alta",1,))))))</f>
        <v>0.4</v>
      </c>
      <c r="L175" s="273" t="s">
        <v>98</v>
      </c>
      <c r="M175" s="277" t="str">
        <f>IF(NOT(ISERROR(MATCH(L175,'[5]Tabla Impacto'!$B$221:$B$223,0))),'[5]Tabla Impacto'!$F$223&amp;"Por favor no seleccionar los criterios de impacto(Afectación Económica o presupuestal y Pérdida Reputacional)",L175)</f>
        <v>El riesgo afecta la imagen de la entidad con algunos usuarios de relevancia frente al logro de los objetivos</v>
      </c>
      <c r="N175" s="275" t="str">
        <f>+IF(OR(M175='[5]Tabla Impacto'!$C$11,M175='[5]Tabla Impacto'!$D$11),"Leve",IF(OR(M175='[5]Tabla Impacto'!$C$12,M175='[5]Tabla Impacto'!$D$12),"Menor",IF(OR(M175='[5]Tabla Impacto'!$C$13,M175='[5]Tabla Impacto'!$D$13),"Moderado",IF(OR(M175='[5]Tabla Impacto'!$C$14,M175='[5]Tabla Impacto'!$D$14),"Mayor",IF(OR(M175='[5]Tabla Impacto'!$C$15,M175='[5]Tabla Impacto'!$D$15),"Catastrófico","")))))</f>
        <v>Moderado</v>
      </c>
      <c r="O175" s="277">
        <f>IF(N175="","",IF(N175="Leve",0.2,IF(N175="Menor",0.4,IF(N175="Moderado",0.6,IF(N175="Mayor",0.8,IF(N175="Catastrófico",1,))))))</f>
        <v>0.6</v>
      </c>
      <c r="P175" s="279" t="str">
        <f>IF(OR(AND(J175="Muy Baja",N175="Leve"),AND(J175="Muy Baja",N175="Menor"),AND(J175="Baja",N175="Leve")),"Bajo",IF(OR(AND(J175="Muy baja",N175="Moderado"),AND(J175="Baja",N175="Menor"),AND(J175="Baja",N175="Moderado"),AND(J175="Media",N175="Leve"),AND(J175="Media",N175="Menor"),AND(J175="Media",N175="Moderado"),AND(J175="Alta",N175="Leve"),AND(J175="Alta",N175="Menor")),"Moderado",IF(OR(AND(J175="Muy Baja",N175="Mayor"),AND(J175="Baja",N175="Mayor"),AND(J175="Media",N175="Mayor"),AND(J175="Alta",N175="Moderado"),AND(J175="Alta",N175="Mayor"),AND(J175="Muy Alta",N175="Leve"),AND(J175="Muy Alta",N175="Menor"),AND(J175="Muy Alta",N175="Moderado"),AND(J175="Muy Alta",N175="Mayor")),"Alto",IF(OR(AND(J175="Muy Baja",N175="Catastrófico"),AND(J175="Baja",N175="Catastrófico"),AND(J175="Media",N175="Catastrófico"),AND(J175="Alta",N175="Catastrófico"),AND(J175="Muy Alta",N175="Catastrófico")),"Extremo",""))))</f>
        <v>Moderado</v>
      </c>
      <c r="Q175" s="201">
        <v>1</v>
      </c>
      <c r="R175" s="112" t="s">
        <v>621</v>
      </c>
      <c r="S175" s="201" t="str">
        <f t="shared" ref="S175:S182" si="77">IF(OR(T175="Preventivo",T175="Detectivo"),"Probabilidad",IF(T175="Correctivo","Impacto",""))</f>
        <v>Probabilidad</v>
      </c>
      <c r="T175" s="113" t="s">
        <v>14</v>
      </c>
      <c r="U175" s="113" t="s">
        <v>9</v>
      </c>
      <c r="V175" s="167" t="str">
        <f t="shared" ref="V175:V177" si="78">IF(AND(T175="Preventivo",U175="Automático"),"50%",IF(AND(T175="Preventivo",U175="Manual"),"40%",IF(AND(T175="Detectivo",U175="Automático"),"40%",IF(AND(T175="Detectivo",U175="Manual"),"30%",IF(AND(T175="Correctivo",U175="Automático"),"35%",IF(AND(T175="Correctivo",U175="Manual"),"25%",""))))))</f>
        <v>40%</v>
      </c>
      <c r="W175" s="113" t="s">
        <v>19</v>
      </c>
      <c r="X175" s="113" t="s">
        <v>22</v>
      </c>
      <c r="Y175" s="113" t="s">
        <v>117</v>
      </c>
      <c r="Z175" s="165">
        <f>IFERROR(IF(S175="Probabilidad",(K175-(+K175*V175)),IF(S175="Impacto",K175,"")),"")</f>
        <v>0.24</v>
      </c>
      <c r="AA175" s="166" t="str">
        <f t="shared" ref="AA175:AA182" si="79">IFERROR(IF(Z175="","",IF(Z175&lt;=0.2,"Muy Baja",IF(Z175&lt;=0.4,"Baja",IF(Z175&lt;=0.6,"Media",IF(Z175&lt;=0.8,"Alta","Muy Alta"))))),"")</f>
        <v>Baja</v>
      </c>
      <c r="AB175" s="167">
        <f t="shared" ref="AB175:AB182" si="80">+Z175</f>
        <v>0.24</v>
      </c>
      <c r="AC175" s="166" t="str">
        <f t="shared" ref="AC175:AC182" si="81">IFERROR(IF(AD175="","",IF(AD175&lt;=0.2,"Leve",IF(AD175&lt;=0.4,"Menor",IF(AD175&lt;=0.6,"Moderado",IF(AD175&lt;=0.8,"Mayor","Catastrófico"))))),"")</f>
        <v>Moderado</v>
      </c>
      <c r="AD175" s="167">
        <f>IFERROR(IF(S175="Impacto",(O175-(+O175*V175)),IF(S175="Probabilidad",O175,"")),"")</f>
        <v>0.6</v>
      </c>
      <c r="AE175" s="168" t="str">
        <f t="shared" ref="AE175:AE182" si="82">IFERROR(IF(OR(AND(AA175="Muy Baja",AC175="Leve"),AND(AA175="Muy Baja",AC175="Menor"),AND(AA175="Baja",AC175="Leve")),"Bajo",IF(OR(AND(AA175="Muy baja",AC175="Moderado"),AND(AA175="Baja",AC175="Menor"),AND(AA175="Baja",AC175="Moderado"),AND(AA175="Media",AC175="Leve"),AND(AA175="Media",AC175="Menor"),AND(AA175="Media",AC175="Moderado"),AND(AA175="Alta",AC175="Leve"),AND(AA175="Alta",AC175="Menor")),"Moderado",IF(OR(AND(AA175="Muy Baja",AC175="Mayor"),AND(AA175="Baja",AC175="Mayor"),AND(AA175="Media",AC175="Mayor"),AND(AA175="Alta",AC175="Moderado"),AND(AA175="Alta",AC175="Mayor"),AND(AA175="Muy Alta",AC175="Leve"),AND(AA175="Muy Alta",AC175="Menor"),AND(AA175="Muy Alta",AC175="Moderado"),AND(AA175="Muy Alta",AC175="Mayor")),"Alto",IF(OR(AND(AA175="Muy Baja",AC175="Catastrófico"),AND(AA175="Baja",AC175="Catastrófico"),AND(AA175="Media",AC175="Catastrófico"),AND(AA175="Alta",AC175="Catastrófico"),AND(AA175="Muy Alta",AC175="Catastrófico")),"Extremo","")))),"")</f>
        <v>Moderado</v>
      </c>
      <c r="AF175" s="113" t="s">
        <v>31</v>
      </c>
      <c r="AG175" s="191"/>
      <c r="AH175" s="192"/>
      <c r="AI175" s="114"/>
      <c r="AJ175" s="114"/>
      <c r="AK175" s="191"/>
      <c r="AL175" s="192"/>
      <c r="AM175" s="155"/>
      <c r="AN175" s="155"/>
      <c r="AO175" s="155"/>
      <c r="AP175" s="155"/>
      <c r="AQ175" s="155"/>
      <c r="AR175" s="155"/>
      <c r="AS175" s="155"/>
      <c r="AT175" s="155"/>
      <c r="AU175" s="155"/>
      <c r="AV175" s="155"/>
      <c r="AW175" s="155"/>
      <c r="AX175" s="155"/>
      <c r="AY175" s="155"/>
      <c r="AZ175" s="155"/>
      <c r="BA175" s="155"/>
      <c r="BB175" s="155"/>
      <c r="BC175" s="155"/>
      <c r="BD175" s="155"/>
      <c r="BE175" s="155"/>
      <c r="BF175" s="155"/>
      <c r="BG175" s="155"/>
      <c r="BH175" s="155"/>
      <c r="BI175" s="155"/>
      <c r="BJ175" s="155"/>
      <c r="BK175" s="155"/>
      <c r="BL175" s="155"/>
      <c r="BM175" s="155"/>
      <c r="BN175" s="155"/>
      <c r="BO175" s="155"/>
      <c r="BP175" s="155"/>
      <c r="BQ175" s="155"/>
      <c r="BR175" s="155"/>
    </row>
    <row r="176" spans="1:70" s="156" customFormat="1" ht="64.5" x14ac:dyDescent="0.25">
      <c r="A176" s="266"/>
      <c r="B176" s="294"/>
      <c r="C176" s="294"/>
      <c r="D176" s="270"/>
      <c r="E176" s="270"/>
      <c r="F176" s="270"/>
      <c r="G176" s="362"/>
      <c r="H176" s="270"/>
      <c r="I176" s="281"/>
      <c r="J176" s="275"/>
      <c r="K176" s="277"/>
      <c r="L176" s="273"/>
      <c r="M176" s="277"/>
      <c r="N176" s="275"/>
      <c r="O176" s="277"/>
      <c r="P176" s="279"/>
      <c r="Q176" s="201">
        <v>2</v>
      </c>
      <c r="R176" s="112" t="s">
        <v>622</v>
      </c>
      <c r="S176" s="201" t="str">
        <f t="shared" si="77"/>
        <v>Probabilidad</v>
      </c>
      <c r="T176" s="113" t="s">
        <v>14</v>
      </c>
      <c r="U176" s="113" t="s">
        <v>9</v>
      </c>
      <c r="V176" s="167" t="str">
        <f t="shared" si="78"/>
        <v>40%</v>
      </c>
      <c r="W176" s="113" t="s">
        <v>19</v>
      </c>
      <c r="X176" s="113" t="s">
        <v>22</v>
      </c>
      <c r="Y176" s="113" t="s">
        <v>117</v>
      </c>
      <c r="Z176" s="165">
        <f>IFERROR(IF(S176="Probabilidad",(K175-(+K175*V176)),IF(S176="Impacto",K175,"")),"")</f>
        <v>0.24</v>
      </c>
      <c r="AA176" s="166" t="str">
        <f t="shared" si="79"/>
        <v>Baja</v>
      </c>
      <c r="AB176" s="167">
        <f t="shared" si="80"/>
        <v>0.24</v>
      </c>
      <c r="AC176" s="166" t="str">
        <f t="shared" si="81"/>
        <v>Moderado</v>
      </c>
      <c r="AD176" s="167">
        <f>IFERROR(IF(S176="Impacto",(O175-(+O175*V176)),IF(S176="Probabilidad",O175,"")),"")</f>
        <v>0.6</v>
      </c>
      <c r="AE176" s="168" t="str">
        <f t="shared" si="82"/>
        <v>Moderado</v>
      </c>
      <c r="AF176" s="113" t="s">
        <v>31</v>
      </c>
      <c r="AG176" s="191"/>
      <c r="AH176" s="192"/>
      <c r="AI176" s="114"/>
      <c r="AJ176" s="114"/>
      <c r="AK176" s="191"/>
      <c r="AL176" s="192"/>
      <c r="AM176" s="155"/>
      <c r="AN176" s="155"/>
      <c r="AO176" s="155"/>
      <c r="AP176" s="155"/>
      <c r="AQ176" s="155"/>
      <c r="AR176" s="155"/>
      <c r="AS176" s="155"/>
      <c r="AT176" s="155"/>
      <c r="AU176" s="155"/>
      <c r="AV176" s="155"/>
      <c r="AW176" s="155"/>
      <c r="AX176" s="155"/>
      <c r="AY176" s="155"/>
      <c r="AZ176" s="155"/>
      <c r="BA176" s="155"/>
      <c r="BB176" s="155"/>
      <c r="BC176" s="155"/>
      <c r="BD176" s="155"/>
      <c r="BE176" s="155"/>
      <c r="BF176" s="155"/>
      <c r="BG176" s="155"/>
      <c r="BH176" s="155"/>
      <c r="BI176" s="155"/>
      <c r="BJ176" s="155"/>
      <c r="BK176" s="155"/>
      <c r="BL176" s="155"/>
      <c r="BM176" s="155"/>
      <c r="BN176" s="155"/>
      <c r="BO176" s="155"/>
      <c r="BP176" s="155"/>
      <c r="BQ176" s="155"/>
      <c r="BR176" s="155"/>
    </row>
    <row r="177" spans="1:70" s="156" customFormat="1" ht="64.5" x14ac:dyDescent="0.25">
      <c r="A177" s="266"/>
      <c r="B177" s="294"/>
      <c r="C177" s="294"/>
      <c r="D177" s="270"/>
      <c r="E177" s="270"/>
      <c r="F177" s="270"/>
      <c r="G177" s="362"/>
      <c r="H177" s="270"/>
      <c r="I177" s="281"/>
      <c r="J177" s="275"/>
      <c r="K177" s="277"/>
      <c r="L177" s="273"/>
      <c r="M177" s="277"/>
      <c r="N177" s="275"/>
      <c r="O177" s="277"/>
      <c r="P177" s="279"/>
      <c r="Q177" s="201">
        <v>3</v>
      </c>
      <c r="R177" s="112" t="s">
        <v>623</v>
      </c>
      <c r="S177" s="201" t="str">
        <f t="shared" si="77"/>
        <v>Probabilidad</v>
      </c>
      <c r="T177" s="113" t="s">
        <v>14</v>
      </c>
      <c r="U177" s="113" t="s">
        <v>9</v>
      </c>
      <c r="V177" s="167" t="str">
        <f t="shared" si="78"/>
        <v>40%</v>
      </c>
      <c r="W177" s="113" t="s">
        <v>19</v>
      </c>
      <c r="X177" s="113" t="s">
        <v>22</v>
      </c>
      <c r="Y177" s="113" t="s">
        <v>117</v>
      </c>
      <c r="Z177" s="165">
        <f>IFERROR(IF(S177="Probabilidad",(K175-(+K175*V177)),IF(S177="Impacto",K175,"")),"")</f>
        <v>0.24</v>
      </c>
      <c r="AA177" s="166" t="str">
        <f t="shared" si="79"/>
        <v>Baja</v>
      </c>
      <c r="AB177" s="167">
        <f t="shared" si="80"/>
        <v>0.24</v>
      </c>
      <c r="AC177" s="166" t="str">
        <f t="shared" si="81"/>
        <v>Moderado</v>
      </c>
      <c r="AD177" s="167">
        <f>IFERROR(IF(S177="Impacto",(O175-(+O175*V177)),IF(S177="Probabilidad",O175,"")),"")</f>
        <v>0.6</v>
      </c>
      <c r="AE177" s="168" t="str">
        <f t="shared" si="82"/>
        <v>Moderado</v>
      </c>
      <c r="AF177" s="113" t="s">
        <v>31</v>
      </c>
      <c r="AG177" s="191"/>
      <c r="AH177" s="192"/>
      <c r="AI177" s="114"/>
      <c r="AJ177" s="114"/>
      <c r="AK177" s="191"/>
      <c r="AL177" s="192"/>
      <c r="AM177" s="155"/>
      <c r="AN177" s="155"/>
      <c r="AO177" s="155"/>
      <c r="AP177" s="155"/>
      <c r="AQ177" s="155"/>
      <c r="AR177" s="155"/>
      <c r="AS177" s="155"/>
      <c r="AT177" s="155"/>
      <c r="AU177" s="155"/>
      <c r="AV177" s="155"/>
      <c r="AW177" s="155"/>
      <c r="AX177" s="155"/>
      <c r="AY177" s="155"/>
      <c r="AZ177" s="155"/>
      <c r="BA177" s="155"/>
      <c r="BB177" s="155"/>
      <c r="BC177" s="155"/>
      <c r="BD177" s="155"/>
      <c r="BE177" s="155"/>
      <c r="BF177" s="155"/>
      <c r="BG177" s="155"/>
      <c r="BH177" s="155"/>
      <c r="BI177" s="155"/>
      <c r="BJ177" s="155"/>
      <c r="BK177" s="155"/>
      <c r="BL177" s="155"/>
      <c r="BM177" s="155"/>
      <c r="BN177" s="155"/>
      <c r="BO177" s="155"/>
      <c r="BP177" s="155"/>
      <c r="BQ177" s="155"/>
      <c r="BR177" s="155"/>
    </row>
    <row r="178" spans="1:70" s="156" customFormat="1" ht="16.5" hidden="1" customHeight="1" x14ac:dyDescent="0.25">
      <c r="A178" s="266"/>
      <c r="B178" s="268"/>
      <c r="C178" s="268"/>
      <c r="D178" s="271"/>
      <c r="E178" s="271"/>
      <c r="F178" s="271"/>
      <c r="G178" s="363"/>
      <c r="H178" s="271"/>
      <c r="I178" s="266"/>
      <c r="J178" s="276"/>
      <c r="K178" s="278"/>
      <c r="L178" s="274"/>
      <c r="M178" s="278"/>
      <c r="N178" s="276"/>
      <c r="O178" s="278"/>
      <c r="P178" s="280"/>
      <c r="Q178" s="201">
        <v>4</v>
      </c>
      <c r="R178" s="112"/>
      <c r="S178" s="201"/>
      <c r="T178" s="113"/>
      <c r="U178" s="113"/>
      <c r="V178" s="167"/>
      <c r="W178" s="113"/>
      <c r="X178" s="113"/>
      <c r="Y178" s="113"/>
      <c r="Z178" s="165"/>
      <c r="AA178" s="166"/>
      <c r="AB178" s="167"/>
      <c r="AC178" s="166"/>
      <c r="AD178" s="167"/>
      <c r="AE178" s="168"/>
      <c r="AF178" s="113"/>
      <c r="AG178" s="191"/>
      <c r="AH178" s="192"/>
      <c r="AI178" s="114"/>
      <c r="AJ178" s="114"/>
      <c r="AK178" s="191"/>
      <c r="AL178" s="192"/>
      <c r="AM178" s="155"/>
      <c r="AN178" s="155"/>
      <c r="AO178" s="155"/>
      <c r="AP178" s="155"/>
      <c r="AQ178" s="155"/>
      <c r="AR178" s="155"/>
      <c r="AS178" s="155"/>
      <c r="AT178" s="155"/>
      <c r="AU178" s="155"/>
      <c r="AV178" s="155"/>
      <c r="AW178" s="155"/>
      <c r="AX178" s="155"/>
      <c r="AY178" s="155"/>
      <c r="AZ178" s="155"/>
      <c r="BA178" s="155"/>
      <c r="BB178" s="155"/>
      <c r="BC178" s="155"/>
      <c r="BD178" s="155"/>
      <c r="BE178" s="155"/>
      <c r="BF178" s="155"/>
      <c r="BG178" s="155"/>
      <c r="BH178" s="155"/>
      <c r="BI178" s="155"/>
      <c r="BJ178" s="155"/>
      <c r="BK178" s="155"/>
      <c r="BL178" s="155"/>
      <c r="BM178" s="155"/>
      <c r="BN178" s="155"/>
      <c r="BO178" s="155"/>
      <c r="BP178" s="155"/>
      <c r="BQ178" s="155"/>
      <c r="BR178" s="155"/>
    </row>
    <row r="179" spans="1:70" s="156" customFormat="1" ht="16.5" hidden="1" customHeight="1" x14ac:dyDescent="0.25">
      <c r="A179" s="266"/>
      <c r="B179" s="268"/>
      <c r="C179" s="268"/>
      <c r="D179" s="271"/>
      <c r="E179" s="271"/>
      <c r="F179" s="271"/>
      <c r="G179" s="363"/>
      <c r="H179" s="271"/>
      <c r="I179" s="266"/>
      <c r="J179" s="276"/>
      <c r="K179" s="278"/>
      <c r="L179" s="274"/>
      <c r="M179" s="278"/>
      <c r="N179" s="276"/>
      <c r="O179" s="278"/>
      <c r="P179" s="280"/>
      <c r="Q179" s="201">
        <v>5</v>
      </c>
      <c r="R179" s="112"/>
      <c r="S179" s="201"/>
      <c r="T179" s="113"/>
      <c r="U179" s="113"/>
      <c r="V179" s="167"/>
      <c r="W179" s="113"/>
      <c r="X179" s="113"/>
      <c r="Y179" s="113"/>
      <c r="Z179" s="165"/>
      <c r="AA179" s="166"/>
      <c r="AB179" s="167"/>
      <c r="AC179" s="166"/>
      <c r="AD179" s="167"/>
      <c r="AE179" s="168"/>
      <c r="AF179" s="113"/>
      <c r="AG179" s="191"/>
      <c r="AH179" s="192"/>
      <c r="AI179" s="114"/>
      <c r="AJ179" s="114"/>
      <c r="AK179" s="191"/>
      <c r="AL179" s="192"/>
      <c r="AM179" s="155"/>
      <c r="AN179" s="155"/>
      <c r="AO179" s="155"/>
      <c r="AP179" s="155"/>
      <c r="AQ179" s="155"/>
      <c r="AR179" s="155"/>
      <c r="AS179" s="155"/>
      <c r="AT179" s="155"/>
      <c r="AU179" s="155"/>
      <c r="AV179" s="155"/>
      <c r="AW179" s="155"/>
      <c r="AX179" s="155"/>
      <c r="AY179" s="155"/>
      <c r="AZ179" s="155"/>
      <c r="BA179" s="155"/>
      <c r="BB179" s="155"/>
      <c r="BC179" s="155"/>
      <c r="BD179" s="155"/>
      <c r="BE179" s="155"/>
      <c r="BF179" s="155"/>
      <c r="BG179" s="155"/>
      <c r="BH179" s="155"/>
      <c r="BI179" s="155"/>
      <c r="BJ179" s="155"/>
      <c r="BK179" s="155"/>
      <c r="BL179" s="155"/>
      <c r="BM179" s="155"/>
      <c r="BN179" s="155"/>
      <c r="BO179" s="155"/>
      <c r="BP179" s="155"/>
      <c r="BQ179" s="155"/>
      <c r="BR179" s="155"/>
    </row>
    <row r="180" spans="1:70" s="156" customFormat="1" ht="16.5" hidden="1" customHeight="1" x14ac:dyDescent="0.25">
      <c r="A180" s="266"/>
      <c r="B180" s="269"/>
      <c r="C180" s="269"/>
      <c r="D180" s="271"/>
      <c r="E180" s="271"/>
      <c r="F180" s="271"/>
      <c r="G180" s="363"/>
      <c r="H180" s="271"/>
      <c r="I180" s="266"/>
      <c r="J180" s="276"/>
      <c r="K180" s="278"/>
      <c r="L180" s="274"/>
      <c r="M180" s="278"/>
      <c r="N180" s="276"/>
      <c r="O180" s="278"/>
      <c r="P180" s="280"/>
      <c r="Q180" s="201">
        <v>6</v>
      </c>
      <c r="R180" s="112"/>
      <c r="S180" s="201"/>
      <c r="T180" s="113"/>
      <c r="U180" s="113"/>
      <c r="V180" s="167"/>
      <c r="W180" s="113"/>
      <c r="X180" s="113"/>
      <c r="Y180" s="113"/>
      <c r="Z180" s="165"/>
      <c r="AA180" s="166"/>
      <c r="AB180" s="167"/>
      <c r="AC180" s="166"/>
      <c r="AD180" s="167"/>
      <c r="AE180" s="168"/>
      <c r="AF180" s="113"/>
      <c r="AG180" s="191"/>
      <c r="AH180" s="192"/>
      <c r="AI180" s="114"/>
      <c r="AJ180" s="114"/>
      <c r="AK180" s="191"/>
      <c r="AL180" s="192"/>
      <c r="AM180" s="155"/>
      <c r="AN180" s="155"/>
      <c r="AO180" s="155"/>
      <c r="AP180" s="155"/>
      <c r="AQ180" s="155"/>
      <c r="AR180" s="155"/>
      <c r="AS180" s="155"/>
      <c r="AT180" s="155"/>
      <c r="AU180" s="155"/>
      <c r="AV180" s="155"/>
      <c r="AW180" s="155"/>
      <c r="AX180" s="155"/>
      <c r="AY180" s="155"/>
      <c r="AZ180" s="155"/>
      <c r="BA180" s="155"/>
      <c r="BB180" s="155"/>
      <c r="BC180" s="155"/>
      <c r="BD180" s="155"/>
      <c r="BE180" s="155"/>
      <c r="BF180" s="155"/>
      <c r="BG180" s="155"/>
      <c r="BH180" s="155"/>
      <c r="BI180" s="155"/>
      <c r="BJ180" s="155"/>
      <c r="BK180" s="155"/>
      <c r="BL180" s="155"/>
      <c r="BM180" s="155"/>
      <c r="BN180" s="155"/>
      <c r="BO180" s="155"/>
      <c r="BP180" s="155"/>
      <c r="BQ180" s="155"/>
      <c r="BR180" s="155"/>
    </row>
    <row r="181" spans="1:70" s="156" customFormat="1" ht="64.5" x14ac:dyDescent="0.25">
      <c r="A181" s="266">
        <v>29</v>
      </c>
      <c r="B181" s="267" t="s">
        <v>212</v>
      </c>
      <c r="C181" s="267" t="s">
        <v>613</v>
      </c>
      <c r="D181" s="270" t="s">
        <v>130</v>
      </c>
      <c r="E181" s="270" t="s">
        <v>614</v>
      </c>
      <c r="F181" s="270" t="s">
        <v>615</v>
      </c>
      <c r="G181" s="362" t="s">
        <v>616</v>
      </c>
      <c r="H181" s="270" t="s">
        <v>437</v>
      </c>
      <c r="I181" s="281">
        <v>365</v>
      </c>
      <c r="J181" s="275" t="str">
        <f>IF(I181&lt;=0,"",IF(I181&lt;=2,"Muy Baja",IF(I181&lt;=24,"Baja",IF(I181&lt;=500,"Media",IF(I181&lt;=5000,"Alta","Muy Alta")))))</f>
        <v>Media</v>
      </c>
      <c r="K181" s="277">
        <f>IF(J181="","",IF(J181="Muy Baja",0.2,IF(J181="Baja",0.4,IF(J181="Media",0.6,IF(J181="Alta",0.8,IF(J181="Muy Alta",1,))))))</f>
        <v>0.6</v>
      </c>
      <c r="L181" s="273" t="s">
        <v>98</v>
      </c>
      <c r="M181" s="277" t="str">
        <f>IF(NOT(ISERROR(MATCH(L181,'[5]Tabla Impacto'!$B$221:$B$223,0))),'[5]Tabla Impacto'!$F$223&amp;"Por favor no seleccionar los criterios de impacto(Afectación Económica o presupuestal y Pérdida Reputacional)",L181)</f>
        <v>El riesgo afecta la imagen de la entidad con algunos usuarios de relevancia frente al logro de los objetivos</v>
      </c>
      <c r="N181" s="275" t="str">
        <f>+IF(OR(M181='[5]Tabla Impacto'!$C$11,M181='[5]Tabla Impacto'!$D$11),"Leve",IF(OR(M181='[5]Tabla Impacto'!$C$12,M181='[5]Tabla Impacto'!$D$12),"Menor",IF(OR(M181='[5]Tabla Impacto'!$C$13,M181='[5]Tabla Impacto'!$D$13),"Moderado",IF(OR(M181='[5]Tabla Impacto'!$C$14,M181='[5]Tabla Impacto'!$D$14),"Mayor",IF(OR(M181='[5]Tabla Impacto'!$C$15,M181='[5]Tabla Impacto'!$D$15),"Catastrófico","")))))</f>
        <v>Moderado</v>
      </c>
      <c r="O181" s="277">
        <f>IF(N181="","",IF(N181="Leve",0.2,IF(N181="Menor",0.4,IF(N181="Moderado",0.6,IF(N181="Mayor",0.8,IF(N181="Catastrófico",1,))))))</f>
        <v>0.6</v>
      </c>
      <c r="P181" s="279" t="str">
        <f>IF(OR(AND(J181="Muy Baja",N181="Leve"),AND(J181="Muy Baja",N181="Menor"),AND(J181="Baja",N181="Leve")),"Bajo",IF(OR(AND(J181="Muy baja",N181="Moderado"),AND(J181="Baja",N181="Menor"),AND(J181="Baja",N181="Moderado"),AND(J181="Media",N181="Leve"),AND(J181="Media",N181="Menor"),AND(J181="Media",N181="Moderado"),AND(J181="Alta",N181="Leve"),AND(J181="Alta",N181="Menor")),"Moderado",IF(OR(AND(J181="Muy Baja",N181="Mayor"),AND(J181="Baja",N181="Mayor"),AND(J181="Media",N181="Mayor"),AND(J181="Alta",N181="Moderado"),AND(J181="Alta",N181="Mayor"),AND(J181="Muy Alta",N181="Leve"),AND(J181="Muy Alta",N181="Menor"),AND(J181="Muy Alta",N181="Moderado"),AND(J181="Muy Alta",N181="Mayor")),"Alto",IF(OR(AND(J181="Muy Baja",N181="Catastrófico"),AND(J181="Baja",N181="Catastrófico"),AND(J181="Media",N181="Catastrófico"),AND(J181="Alta",N181="Catastrófico"),AND(J181="Muy Alta",N181="Catastrófico")),"Extremo",""))))</f>
        <v>Moderado</v>
      </c>
      <c r="Q181" s="201">
        <v>1</v>
      </c>
      <c r="R181" s="112" t="s">
        <v>624</v>
      </c>
      <c r="S181" s="201" t="str">
        <f t="shared" si="77"/>
        <v>Probabilidad</v>
      </c>
      <c r="T181" s="113" t="s">
        <v>14</v>
      </c>
      <c r="U181" s="113" t="s">
        <v>9</v>
      </c>
      <c r="V181" s="167" t="str">
        <f t="shared" ref="V181:V182" si="83">IF(AND(T181="Preventivo",U181="Automático"),"50%",IF(AND(T181="Preventivo",U181="Manual"),"40%",IF(AND(T181="Detectivo",U181="Automático"),"40%",IF(AND(T181="Detectivo",U181="Manual"),"30%",IF(AND(T181="Correctivo",U181="Automático"),"35%",IF(AND(T181="Correctivo",U181="Manual"),"25%",""))))))</f>
        <v>40%</v>
      </c>
      <c r="W181" s="113" t="s">
        <v>19</v>
      </c>
      <c r="X181" s="113" t="s">
        <v>22</v>
      </c>
      <c r="Y181" s="113" t="s">
        <v>117</v>
      </c>
      <c r="Z181" s="165">
        <f>IFERROR(IF(S181="Probabilidad",(K181-(+K181*V181)),IF(S181="Impacto",K181,"")),"")</f>
        <v>0.36</v>
      </c>
      <c r="AA181" s="166" t="str">
        <f t="shared" si="79"/>
        <v>Baja</v>
      </c>
      <c r="AB181" s="167">
        <f t="shared" si="80"/>
        <v>0.36</v>
      </c>
      <c r="AC181" s="166" t="str">
        <f t="shared" si="81"/>
        <v>Moderado</v>
      </c>
      <c r="AD181" s="167">
        <f t="shared" ref="AD181" si="84">IFERROR(IF(S181="Impacto",(O181-(+O181*V181)),IF(S181="Probabilidad",O181,"")),"")</f>
        <v>0.6</v>
      </c>
      <c r="AE181" s="168" t="str">
        <f t="shared" si="82"/>
        <v>Moderado</v>
      </c>
      <c r="AF181" s="113" t="s">
        <v>31</v>
      </c>
      <c r="AG181" s="191"/>
      <c r="AH181" s="192"/>
      <c r="AI181" s="114"/>
      <c r="AJ181" s="114"/>
      <c r="AK181" s="191"/>
      <c r="AL181" s="192"/>
      <c r="AM181" s="155"/>
      <c r="AN181" s="155"/>
      <c r="AO181" s="155"/>
      <c r="AP181" s="155"/>
      <c r="AQ181" s="155"/>
      <c r="AR181" s="155"/>
      <c r="AS181" s="155"/>
      <c r="AT181" s="155"/>
      <c r="AU181" s="155"/>
      <c r="AV181" s="155"/>
      <c r="AW181" s="155"/>
      <c r="AX181" s="155"/>
      <c r="AY181" s="155"/>
      <c r="AZ181" s="155"/>
      <c r="BA181" s="155"/>
      <c r="BB181" s="155"/>
      <c r="BC181" s="155"/>
      <c r="BD181" s="155"/>
      <c r="BE181" s="155"/>
      <c r="BF181" s="155"/>
      <c r="BG181" s="155"/>
      <c r="BH181" s="155"/>
      <c r="BI181" s="155"/>
      <c r="BJ181" s="155"/>
      <c r="BK181" s="155"/>
      <c r="BL181" s="155"/>
      <c r="BM181" s="155"/>
      <c r="BN181" s="155"/>
      <c r="BO181" s="155"/>
      <c r="BP181" s="155"/>
      <c r="BQ181" s="155"/>
      <c r="BR181" s="155"/>
    </row>
    <row r="182" spans="1:70" s="156" customFormat="1" ht="64.5" x14ac:dyDescent="0.25">
      <c r="A182" s="266"/>
      <c r="B182" s="294"/>
      <c r="C182" s="294"/>
      <c r="D182" s="270"/>
      <c r="E182" s="270"/>
      <c r="F182" s="270"/>
      <c r="G182" s="362"/>
      <c r="H182" s="270"/>
      <c r="I182" s="281"/>
      <c r="J182" s="275"/>
      <c r="K182" s="277"/>
      <c r="L182" s="273"/>
      <c r="M182" s="277">
        <f ca="1">IF(NOT(ISERROR(MATCH(L182,_xlfn.ANCHORARRAY(G193),0))),K195&amp;"Por favor no seleccionar los criterios de impacto",L182)</f>
        <v>0</v>
      </c>
      <c r="N182" s="275"/>
      <c r="O182" s="277"/>
      <c r="P182" s="279"/>
      <c r="Q182" s="201">
        <v>2</v>
      </c>
      <c r="R182" s="112" t="s">
        <v>625</v>
      </c>
      <c r="S182" s="201" t="str">
        <f t="shared" si="77"/>
        <v>Probabilidad</v>
      </c>
      <c r="T182" s="113" t="s">
        <v>14</v>
      </c>
      <c r="U182" s="113" t="s">
        <v>9</v>
      </c>
      <c r="V182" s="167" t="str">
        <f t="shared" si="83"/>
        <v>40%</v>
      </c>
      <c r="W182" s="113" t="s">
        <v>19</v>
      </c>
      <c r="X182" s="113" t="s">
        <v>22</v>
      </c>
      <c r="Y182" s="113" t="s">
        <v>117</v>
      </c>
      <c r="Z182" s="165">
        <f>IFERROR(IF(S182="Probabilidad",(K181-(+K181*V182)),IF(S182="Impacto",K181,"")),"")</f>
        <v>0.36</v>
      </c>
      <c r="AA182" s="166" t="str">
        <f t="shared" si="79"/>
        <v>Baja</v>
      </c>
      <c r="AB182" s="167">
        <f t="shared" si="80"/>
        <v>0.36</v>
      </c>
      <c r="AC182" s="166" t="str">
        <f t="shared" si="81"/>
        <v>Moderado</v>
      </c>
      <c r="AD182" s="167">
        <f>IFERROR(IF(S182="Impacto",(O181-(+O181*V182)),IF(S182="Probabilidad",O181,"")),"")</f>
        <v>0.6</v>
      </c>
      <c r="AE182" s="168" t="str">
        <f t="shared" si="82"/>
        <v>Moderado</v>
      </c>
      <c r="AF182" s="113" t="s">
        <v>31</v>
      </c>
      <c r="AG182" s="191"/>
      <c r="AH182" s="192"/>
      <c r="AI182" s="114"/>
      <c r="AJ182" s="114"/>
      <c r="AK182" s="191"/>
      <c r="AL182" s="192"/>
      <c r="AM182" s="155"/>
      <c r="AN182" s="155"/>
      <c r="AO182" s="155"/>
      <c r="AP182" s="155"/>
      <c r="AQ182" s="155"/>
      <c r="AR182" s="155"/>
      <c r="AS182" s="155"/>
      <c r="AT182" s="155"/>
      <c r="AU182" s="155"/>
      <c r="AV182" s="155"/>
      <c r="AW182" s="155"/>
      <c r="AX182" s="155"/>
      <c r="AY182" s="155"/>
      <c r="AZ182" s="155"/>
      <c r="BA182" s="155"/>
      <c r="BB182" s="155"/>
      <c r="BC182" s="155"/>
      <c r="BD182" s="155"/>
      <c r="BE182" s="155"/>
      <c r="BF182" s="155"/>
      <c r="BG182" s="155"/>
      <c r="BH182" s="155"/>
      <c r="BI182" s="155"/>
      <c r="BJ182" s="155"/>
      <c r="BK182" s="155"/>
      <c r="BL182" s="155"/>
      <c r="BM182" s="155"/>
      <c r="BN182" s="155"/>
      <c r="BO182" s="155"/>
      <c r="BP182" s="155"/>
      <c r="BQ182" s="155"/>
      <c r="BR182" s="155"/>
    </row>
    <row r="183" spans="1:70" s="156" customFormat="1" ht="36.75" hidden="1" customHeight="1" x14ac:dyDescent="0.25">
      <c r="A183" s="266"/>
      <c r="B183" s="268"/>
      <c r="C183" s="268"/>
      <c r="D183" s="271"/>
      <c r="E183" s="271"/>
      <c r="F183" s="271"/>
      <c r="G183" s="363"/>
      <c r="H183" s="271"/>
      <c r="I183" s="266"/>
      <c r="J183" s="276"/>
      <c r="K183" s="278"/>
      <c r="L183" s="274"/>
      <c r="M183" s="278">
        <f ca="1">IF(NOT(ISERROR(MATCH(L183,_xlfn.ANCHORARRAY(G194),0))),K196&amp;"Por favor no seleccionar los criterios de impacto",L183)</f>
        <v>0</v>
      </c>
      <c r="N183" s="276"/>
      <c r="O183" s="278"/>
      <c r="P183" s="280"/>
      <c r="Q183" s="201">
        <v>3</v>
      </c>
      <c r="R183" s="112"/>
      <c r="S183" s="201"/>
      <c r="T183" s="113"/>
      <c r="U183" s="113"/>
      <c r="V183" s="167"/>
      <c r="W183" s="113"/>
      <c r="X183" s="113"/>
      <c r="Y183" s="113"/>
      <c r="Z183" s="165"/>
      <c r="AA183" s="166"/>
      <c r="AB183" s="167"/>
      <c r="AC183" s="166"/>
      <c r="AD183" s="167"/>
      <c r="AE183" s="168"/>
      <c r="AF183" s="113" t="s">
        <v>31</v>
      </c>
      <c r="AG183" s="191"/>
      <c r="AH183" s="192"/>
      <c r="AI183" s="114"/>
      <c r="AJ183" s="114"/>
      <c r="AK183" s="191"/>
      <c r="AL183" s="192"/>
      <c r="AM183" s="155"/>
      <c r="AN183" s="155"/>
      <c r="AO183" s="155"/>
      <c r="AP183" s="155"/>
      <c r="AQ183" s="155"/>
      <c r="AR183" s="155"/>
      <c r="AS183" s="155"/>
      <c r="AT183" s="155"/>
      <c r="AU183" s="155"/>
      <c r="AV183" s="155"/>
      <c r="AW183" s="155"/>
      <c r="AX183" s="155"/>
      <c r="AY183" s="155"/>
      <c r="AZ183" s="155"/>
      <c r="BA183" s="155"/>
      <c r="BB183" s="155"/>
      <c r="BC183" s="155"/>
      <c r="BD183" s="155"/>
      <c r="BE183" s="155"/>
      <c r="BF183" s="155"/>
      <c r="BG183" s="155"/>
      <c r="BH183" s="155"/>
      <c r="BI183" s="155"/>
      <c r="BJ183" s="155"/>
      <c r="BK183" s="155"/>
      <c r="BL183" s="155"/>
      <c r="BM183" s="155"/>
      <c r="BN183" s="155"/>
      <c r="BO183" s="155"/>
      <c r="BP183" s="155"/>
      <c r="BQ183" s="155"/>
      <c r="BR183" s="155"/>
    </row>
    <row r="184" spans="1:70" s="156" customFormat="1" ht="36.75" hidden="1" customHeight="1" x14ac:dyDescent="0.25">
      <c r="A184" s="266"/>
      <c r="B184" s="268"/>
      <c r="C184" s="268"/>
      <c r="D184" s="271"/>
      <c r="E184" s="271"/>
      <c r="F184" s="271"/>
      <c r="G184" s="363"/>
      <c r="H184" s="271"/>
      <c r="I184" s="266"/>
      <c r="J184" s="276"/>
      <c r="K184" s="278"/>
      <c r="L184" s="274"/>
      <c r="M184" s="278">
        <f ca="1">IF(NOT(ISERROR(MATCH(L184,_xlfn.ANCHORARRAY(G195),0))),K197&amp;"Por favor no seleccionar los criterios de impacto",L184)</f>
        <v>0</v>
      </c>
      <c r="N184" s="276"/>
      <c r="O184" s="278"/>
      <c r="P184" s="280"/>
      <c r="Q184" s="201">
        <v>4</v>
      </c>
      <c r="R184" s="112"/>
      <c r="S184" s="201"/>
      <c r="T184" s="113"/>
      <c r="U184" s="113"/>
      <c r="V184" s="167"/>
      <c r="W184" s="113"/>
      <c r="X184" s="113"/>
      <c r="Y184" s="113"/>
      <c r="Z184" s="165"/>
      <c r="AA184" s="166"/>
      <c r="AB184" s="167"/>
      <c r="AC184" s="166"/>
      <c r="AD184" s="167"/>
      <c r="AE184" s="168"/>
      <c r="AF184" s="113" t="s">
        <v>31</v>
      </c>
      <c r="AG184" s="191"/>
      <c r="AH184" s="192"/>
      <c r="AI184" s="114"/>
      <c r="AJ184" s="114"/>
      <c r="AK184" s="191"/>
      <c r="AL184" s="192"/>
      <c r="AM184" s="155"/>
      <c r="AN184" s="155"/>
      <c r="AO184" s="155"/>
      <c r="AP184" s="155"/>
      <c r="AQ184" s="155"/>
      <c r="AR184" s="155"/>
      <c r="AS184" s="155"/>
      <c r="AT184" s="155"/>
      <c r="AU184" s="155"/>
      <c r="AV184" s="155"/>
      <c r="AW184" s="155"/>
      <c r="AX184" s="155"/>
      <c r="AY184" s="155"/>
      <c r="AZ184" s="155"/>
      <c r="BA184" s="155"/>
      <c r="BB184" s="155"/>
      <c r="BC184" s="155"/>
      <c r="BD184" s="155"/>
      <c r="BE184" s="155"/>
      <c r="BF184" s="155"/>
      <c r="BG184" s="155"/>
      <c r="BH184" s="155"/>
      <c r="BI184" s="155"/>
      <c r="BJ184" s="155"/>
      <c r="BK184" s="155"/>
      <c r="BL184" s="155"/>
      <c r="BM184" s="155"/>
      <c r="BN184" s="155"/>
      <c r="BO184" s="155"/>
      <c r="BP184" s="155"/>
      <c r="BQ184" s="155"/>
      <c r="BR184" s="155"/>
    </row>
    <row r="185" spans="1:70" s="156" customFormat="1" ht="36.75" hidden="1" customHeight="1" x14ac:dyDescent="0.25">
      <c r="A185" s="266"/>
      <c r="B185" s="268"/>
      <c r="C185" s="268"/>
      <c r="D185" s="271"/>
      <c r="E185" s="271"/>
      <c r="F185" s="271"/>
      <c r="G185" s="363"/>
      <c r="H185" s="271"/>
      <c r="I185" s="266"/>
      <c r="J185" s="276"/>
      <c r="K185" s="278"/>
      <c r="L185" s="274"/>
      <c r="M185" s="278">
        <f ca="1">IF(NOT(ISERROR(MATCH(L185,_xlfn.ANCHORARRAY(G196),0))),K198&amp;"Por favor no seleccionar los criterios de impacto",L185)</f>
        <v>0</v>
      </c>
      <c r="N185" s="276"/>
      <c r="O185" s="278"/>
      <c r="P185" s="280"/>
      <c r="Q185" s="201">
        <v>5</v>
      </c>
      <c r="R185" s="112"/>
      <c r="S185" s="201"/>
      <c r="T185" s="113"/>
      <c r="U185" s="113"/>
      <c r="V185" s="167"/>
      <c r="W185" s="113"/>
      <c r="X185" s="113"/>
      <c r="Y185" s="113"/>
      <c r="Z185" s="165"/>
      <c r="AA185" s="166"/>
      <c r="AB185" s="167"/>
      <c r="AC185" s="166"/>
      <c r="AD185" s="167"/>
      <c r="AE185" s="168"/>
      <c r="AF185" s="113" t="s">
        <v>31</v>
      </c>
      <c r="AG185" s="191"/>
      <c r="AH185" s="192"/>
      <c r="AI185" s="114"/>
      <c r="AJ185" s="114"/>
      <c r="AK185" s="191"/>
      <c r="AL185" s="192"/>
      <c r="AM185" s="155"/>
      <c r="AN185" s="155"/>
      <c r="AO185" s="155"/>
      <c r="AP185" s="155"/>
      <c r="AQ185" s="155"/>
      <c r="AR185" s="155"/>
      <c r="AS185" s="155"/>
      <c r="AT185" s="155"/>
      <c r="AU185" s="155"/>
      <c r="AV185" s="155"/>
      <c r="AW185" s="155"/>
      <c r="AX185" s="155"/>
      <c r="AY185" s="155"/>
      <c r="AZ185" s="155"/>
      <c r="BA185" s="155"/>
      <c r="BB185" s="155"/>
      <c r="BC185" s="155"/>
      <c r="BD185" s="155"/>
      <c r="BE185" s="155"/>
      <c r="BF185" s="155"/>
      <c r="BG185" s="155"/>
      <c r="BH185" s="155"/>
      <c r="BI185" s="155"/>
      <c r="BJ185" s="155"/>
      <c r="BK185" s="155"/>
      <c r="BL185" s="155"/>
      <c r="BM185" s="155"/>
      <c r="BN185" s="155"/>
      <c r="BO185" s="155"/>
      <c r="BP185" s="155"/>
      <c r="BQ185" s="155"/>
      <c r="BR185" s="155"/>
    </row>
    <row r="186" spans="1:70" s="156" customFormat="1" ht="36.75" hidden="1" customHeight="1" x14ac:dyDescent="0.25">
      <c r="A186" s="266"/>
      <c r="B186" s="269"/>
      <c r="C186" s="269"/>
      <c r="D186" s="271"/>
      <c r="E186" s="271"/>
      <c r="F186" s="271"/>
      <c r="G186" s="363"/>
      <c r="H186" s="271"/>
      <c r="I186" s="266"/>
      <c r="J186" s="276"/>
      <c r="K186" s="278"/>
      <c r="L186" s="274"/>
      <c r="M186" s="278">
        <f ca="1">IF(NOT(ISERROR(MATCH(L186,_xlfn.ANCHORARRAY(G197),0))),K199&amp;"Por favor no seleccionar los criterios de impacto",L186)</f>
        <v>0</v>
      </c>
      <c r="N186" s="276"/>
      <c r="O186" s="278"/>
      <c r="P186" s="280"/>
      <c r="Q186" s="201">
        <v>6</v>
      </c>
      <c r="R186" s="112"/>
      <c r="S186" s="201"/>
      <c r="T186" s="113"/>
      <c r="U186" s="113"/>
      <c r="V186" s="167"/>
      <c r="W186" s="113"/>
      <c r="X186" s="113"/>
      <c r="Y186" s="113"/>
      <c r="Z186" s="165"/>
      <c r="AA186" s="166"/>
      <c r="AB186" s="167"/>
      <c r="AC186" s="166"/>
      <c r="AD186" s="167"/>
      <c r="AE186" s="168"/>
      <c r="AF186" s="113" t="s">
        <v>31</v>
      </c>
      <c r="AG186" s="191"/>
      <c r="AH186" s="192"/>
      <c r="AI186" s="114"/>
      <c r="AJ186" s="114"/>
      <c r="AK186" s="191"/>
      <c r="AL186" s="192"/>
      <c r="AM186" s="155"/>
      <c r="AN186" s="155"/>
      <c r="AO186" s="155"/>
      <c r="AP186" s="155"/>
      <c r="AQ186" s="155"/>
      <c r="AR186" s="155"/>
      <c r="AS186" s="155"/>
      <c r="AT186" s="155"/>
      <c r="AU186" s="155"/>
      <c r="AV186" s="155"/>
      <c r="AW186" s="155"/>
      <c r="AX186" s="155"/>
      <c r="AY186" s="155"/>
      <c r="AZ186" s="155"/>
      <c r="BA186" s="155"/>
      <c r="BB186" s="155"/>
      <c r="BC186" s="155"/>
      <c r="BD186" s="155"/>
      <c r="BE186" s="155"/>
      <c r="BF186" s="155"/>
      <c r="BG186" s="155"/>
      <c r="BH186" s="155"/>
      <c r="BI186" s="155"/>
      <c r="BJ186" s="155"/>
      <c r="BK186" s="155"/>
      <c r="BL186" s="155"/>
      <c r="BM186" s="155"/>
      <c r="BN186" s="155"/>
      <c r="BO186" s="155"/>
      <c r="BP186" s="155"/>
      <c r="BQ186" s="155"/>
      <c r="BR186" s="155"/>
    </row>
    <row r="187" spans="1:70" s="156" customFormat="1" ht="94.5" customHeight="1" x14ac:dyDescent="0.25">
      <c r="A187" s="266">
        <v>30</v>
      </c>
      <c r="B187" s="267" t="s">
        <v>212</v>
      </c>
      <c r="C187" s="267" t="s">
        <v>617</v>
      </c>
      <c r="D187" s="270" t="s">
        <v>131</v>
      </c>
      <c r="E187" s="270" t="s">
        <v>618</v>
      </c>
      <c r="F187" s="270" t="s">
        <v>619</v>
      </c>
      <c r="G187" s="362" t="s">
        <v>620</v>
      </c>
      <c r="H187" s="270" t="s">
        <v>126</v>
      </c>
      <c r="I187" s="281">
        <f>365*10</f>
        <v>3650</v>
      </c>
      <c r="J187" s="275" t="str">
        <f>IF(I187&lt;=0,"",IF(I187&lt;=2,"Muy Baja",IF(I187&lt;=24,"Baja",IF(I187&lt;=500,"Media",IF(I187&lt;=5000,"Alta","Muy Alta")))))</f>
        <v>Alta</v>
      </c>
      <c r="K187" s="277">
        <f>IF(J187="","",IF(J187="Muy Baja",0.2,IF(J187="Baja",0.4,IF(J187="Media",0.6,IF(J187="Alta",0.8,IF(J187="Muy Alta",1,))))))</f>
        <v>0.8</v>
      </c>
      <c r="L187" s="273" t="s">
        <v>91</v>
      </c>
      <c r="M187" s="277" t="str">
        <f>IF(NOT(ISERROR(MATCH(L187,'[5]Tabla Impacto'!$B$221:$B$223,0))),'[5]Tabla Impacto'!$F$223&amp;"Por favor no seleccionar los criterios de impacto(Afectación Económica o presupuestal y Pérdida Reputacional)",L187)</f>
        <v xml:space="preserve">Entre 10 y 50 SMLMV </v>
      </c>
      <c r="N187" s="275" t="str">
        <f>+IF(OR(M187='[5]Tabla Impacto'!$C$11,M187='[5]Tabla Impacto'!$D$11),"Leve",IF(OR(M187='[5]Tabla Impacto'!$C$12,M187='[5]Tabla Impacto'!$D$12),"Menor",IF(OR(M187='[5]Tabla Impacto'!$C$13,M187='[5]Tabla Impacto'!$D$13),"Moderado",IF(OR(M187='[5]Tabla Impacto'!$C$14,M187='[5]Tabla Impacto'!$D$14),"Mayor",IF(OR(M187='[5]Tabla Impacto'!$C$15,M187='[5]Tabla Impacto'!$D$15),"Catastrófico","")))))</f>
        <v>Menor</v>
      </c>
      <c r="O187" s="277">
        <f>IF(N187="","",IF(N187="Leve",0.2,IF(N187="Menor",0.4,IF(N187="Moderado",0.6,IF(N187="Mayor",0.8,IF(N187="Catastrófico",1,))))))</f>
        <v>0.4</v>
      </c>
      <c r="P187" s="279" t="str">
        <f>IF(OR(AND(J187="Muy Baja",N187="Leve"),AND(J187="Muy Baja",N187="Menor"),AND(J187="Baja",N187="Leve")),"Bajo",IF(OR(AND(J187="Muy baja",N187="Moderado"),AND(J187="Baja",N187="Menor"),AND(J187="Baja",N187="Moderado"),AND(J187="Media",N187="Leve"),AND(J187="Media",N187="Menor"),AND(J187="Media",N187="Moderado"),AND(J187="Alta",N187="Leve"),AND(J187="Alta",N187="Menor")),"Moderado",IF(OR(AND(J187="Muy Baja",N187="Mayor"),AND(J187="Baja",N187="Mayor"),AND(J187="Media",N187="Mayor"),AND(J187="Alta",N187="Moderado"),AND(J187="Alta",N187="Mayor"),AND(J187="Muy Alta",N187="Leve"),AND(J187="Muy Alta",N187="Menor"),AND(J187="Muy Alta",N187="Moderado"),AND(J187="Muy Alta",N187="Mayor")),"Alto",IF(OR(AND(J187="Muy Baja",N187="Catastrófico"),AND(J187="Baja",N187="Catastrófico"),AND(J187="Media",N187="Catastrófico"),AND(J187="Alta",N187="Catastrófico"),AND(J187="Muy Alta",N187="Catastrófico")),"Extremo",""))))</f>
        <v>Moderado</v>
      </c>
      <c r="Q187" s="201">
        <v>1</v>
      </c>
      <c r="R187" s="112" t="s">
        <v>626</v>
      </c>
      <c r="S187" s="201" t="str">
        <f t="shared" ref="S187:S192" si="85">IF(OR(T187="Preventivo",T187="Detectivo"),"Probabilidad",IF(T187="Correctivo","Impacto",""))</f>
        <v>Probabilidad</v>
      </c>
      <c r="T187" s="113" t="s">
        <v>15</v>
      </c>
      <c r="U187" s="113" t="s">
        <v>9</v>
      </c>
      <c r="V187" s="167" t="str">
        <f t="shared" ref="V187:V234" si="86">IF(AND(T187="Preventivo",U187="Automático"),"50%",IF(AND(T187="Preventivo",U187="Manual"),"40%",IF(AND(T187="Detectivo",U187="Automático"),"40%",IF(AND(T187="Detectivo",U187="Manual"),"30%",IF(AND(T187="Correctivo",U187="Automático"),"35%",IF(AND(T187="Correctivo",U187="Manual"),"25%",""))))))</f>
        <v>30%</v>
      </c>
      <c r="W187" s="113" t="s">
        <v>19</v>
      </c>
      <c r="X187" s="113" t="s">
        <v>23</v>
      </c>
      <c r="Y187" s="113" t="s">
        <v>117</v>
      </c>
      <c r="Z187" s="165">
        <f t="shared" ref="Z187" si="87">IFERROR(IF(S187="Probabilidad",(K187-(+K187*V187)),IF(S187="Impacto",K187,"")),"")</f>
        <v>0.56000000000000005</v>
      </c>
      <c r="AA187" s="166" t="str">
        <f t="shared" ref="AA187:AA192" si="88">IFERROR(IF(Z187="","",IF(Z187&lt;=0.2,"Muy Baja",IF(Z187&lt;=0.4,"Baja",IF(Z187&lt;=0.6,"Media",IF(Z187&lt;=0.8,"Alta","Muy Alta"))))),"")</f>
        <v>Media</v>
      </c>
      <c r="AB187" s="167">
        <f t="shared" ref="AB187:AB192" si="89">+Z187</f>
        <v>0.56000000000000005</v>
      </c>
      <c r="AC187" s="166" t="str">
        <f t="shared" ref="AC187:AC192" si="90">IFERROR(IF(AD187="","",IF(AD187&lt;=0.2,"Leve",IF(AD187&lt;=0.4,"Menor",IF(AD187&lt;=0.6,"Moderado",IF(AD187&lt;=0.8,"Mayor","Catastrófico"))))),"")</f>
        <v>Menor</v>
      </c>
      <c r="AD187" s="167">
        <f t="shared" ref="AD187:AD192" si="91">IFERROR(IF(S187="Impacto",(O187-(+O187*V187)),IF(S187="Probabilidad",O187,"")),"")</f>
        <v>0.4</v>
      </c>
      <c r="AE187" s="168" t="str">
        <f t="shared" ref="AE187:AE192" si="92">IFERROR(IF(OR(AND(AA187="Muy Baja",AC187="Leve"),AND(AA187="Muy Baja",AC187="Menor"),AND(AA187="Baja",AC187="Leve")),"Bajo",IF(OR(AND(AA187="Muy baja",AC187="Moderado"),AND(AA187="Baja",AC187="Menor"),AND(AA187="Baja",AC187="Moderado"),AND(AA187="Media",AC187="Leve"),AND(AA187="Media",AC187="Menor"),AND(AA187="Media",AC187="Moderado"),AND(AA187="Alta",AC187="Leve"),AND(AA187="Alta",AC187="Menor")),"Moderado",IF(OR(AND(AA187="Muy Baja",AC187="Mayor"),AND(AA187="Baja",AC187="Mayor"),AND(AA187="Media",AC187="Mayor"),AND(AA187="Alta",AC187="Moderado"),AND(AA187="Alta",AC187="Mayor"),AND(AA187="Muy Alta",AC187="Leve"),AND(AA187="Muy Alta",AC187="Menor"),AND(AA187="Muy Alta",AC187="Moderado"),AND(AA187="Muy Alta",AC187="Mayor")),"Alto",IF(OR(AND(AA187="Muy Baja",AC187="Catastrófico"),AND(AA187="Baja",AC187="Catastrófico"),AND(AA187="Media",AC187="Catastrófico"),AND(AA187="Alta",AC187="Catastrófico"),AND(AA187="Muy Alta",AC187="Catastrófico")),"Extremo","")))),"")</f>
        <v>Moderado</v>
      </c>
      <c r="AF187" s="113" t="s">
        <v>31</v>
      </c>
      <c r="AG187" s="191"/>
      <c r="AH187" s="192"/>
      <c r="AI187" s="114"/>
      <c r="AJ187" s="114"/>
      <c r="AK187" s="191"/>
      <c r="AL187" s="192"/>
      <c r="AM187" s="155"/>
      <c r="AN187" s="155"/>
      <c r="AO187" s="155"/>
      <c r="AP187" s="155"/>
      <c r="AQ187" s="155"/>
      <c r="AR187" s="155"/>
      <c r="AS187" s="155"/>
      <c r="AT187" s="155"/>
      <c r="AU187" s="155"/>
      <c r="AV187" s="155"/>
      <c r="AW187" s="155"/>
      <c r="AX187" s="155"/>
      <c r="AY187" s="155"/>
      <c r="AZ187" s="155"/>
      <c r="BA187" s="155"/>
      <c r="BB187" s="155"/>
      <c r="BC187" s="155"/>
      <c r="BD187" s="155"/>
      <c r="BE187" s="155"/>
      <c r="BF187" s="155"/>
      <c r="BG187" s="155"/>
      <c r="BH187" s="155"/>
      <c r="BI187" s="155"/>
      <c r="BJ187" s="155"/>
      <c r="BK187" s="155"/>
      <c r="BL187" s="155"/>
      <c r="BM187" s="155"/>
      <c r="BN187" s="155"/>
      <c r="BO187" s="155"/>
      <c r="BP187" s="155"/>
      <c r="BQ187" s="155"/>
      <c r="BR187" s="155"/>
    </row>
    <row r="188" spans="1:70" s="156" customFormat="1" ht="94.5" customHeight="1" x14ac:dyDescent="0.25">
      <c r="A188" s="266"/>
      <c r="B188" s="294"/>
      <c r="C188" s="294"/>
      <c r="D188" s="270"/>
      <c r="E188" s="270"/>
      <c r="F188" s="270"/>
      <c r="G188" s="362"/>
      <c r="H188" s="270"/>
      <c r="I188" s="281"/>
      <c r="J188" s="275"/>
      <c r="K188" s="277"/>
      <c r="L188" s="273"/>
      <c r="M188" s="277">
        <f ca="1">IF(NOT(ISERROR(MATCH(L188,_xlfn.ANCHORARRAY(G199),0))),K201&amp;"Por favor no seleccionar los criterios de impacto",L188)</f>
        <v>0</v>
      </c>
      <c r="N188" s="275"/>
      <c r="O188" s="277"/>
      <c r="P188" s="279"/>
      <c r="Q188" s="201">
        <v>2</v>
      </c>
      <c r="R188" s="112" t="s">
        <v>627</v>
      </c>
      <c r="S188" s="201" t="str">
        <f t="shared" si="85"/>
        <v>Probabilidad</v>
      </c>
      <c r="T188" s="113" t="s">
        <v>14</v>
      </c>
      <c r="U188" s="113" t="s">
        <v>9</v>
      </c>
      <c r="V188" s="167" t="str">
        <f t="shared" si="86"/>
        <v>40%</v>
      </c>
      <c r="W188" s="113" t="s">
        <v>19</v>
      </c>
      <c r="X188" s="113" t="s">
        <v>23</v>
      </c>
      <c r="Y188" s="113" t="s">
        <v>117</v>
      </c>
      <c r="Z188" s="165">
        <f>IFERROR(IF(S188="Probabilidad",(K187-(+K187*V188)),IF(S188="Impacto",K187,"")),"")</f>
        <v>0.48</v>
      </c>
      <c r="AA188" s="166" t="str">
        <f t="shared" si="88"/>
        <v>Media</v>
      </c>
      <c r="AB188" s="167">
        <f t="shared" si="89"/>
        <v>0.48</v>
      </c>
      <c r="AC188" s="166" t="str">
        <f t="shared" si="90"/>
        <v>Menor</v>
      </c>
      <c r="AD188" s="167">
        <f>IFERROR(IF(S188="Impacto",(O187-(+O187*V188)),IF(S188="Probabilidad",O187,"")),"")</f>
        <v>0.4</v>
      </c>
      <c r="AE188" s="168" t="str">
        <f t="shared" si="92"/>
        <v>Moderado</v>
      </c>
      <c r="AF188" s="113" t="s">
        <v>31</v>
      </c>
      <c r="AG188" s="191"/>
      <c r="AH188" s="192"/>
      <c r="AI188" s="114"/>
      <c r="AJ188" s="114"/>
      <c r="AK188" s="191"/>
      <c r="AL188" s="192"/>
      <c r="AM188" s="155"/>
      <c r="AN188" s="155"/>
      <c r="AO188" s="155"/>
      <c r="AP188" s="155"/>
      <c r="AQ188" s="155"/>
      <c r="AR188" s="155"/>
      <c r="AS188" s="155"/>
      <c r="AT188" s="155"/>
      <c r="AU188" s="155"/>
      <c r="AV188" s="155"/>
      <c r="AW188" s="155"/>
      <c r="AX188" s="155"/>
      <c r="AY188" s="155"/>
      <c r="AZ188" s="155"/>
      <c r="BA188" s="155"/>
      <c r="BB188" s="155"/>
      <c r="BC188" s="155"/>
      <c r="BD188" s="155"/>
      <c r="BE188" s="155"/>
      <c r="BF188" s="155"/>
      <c r="BG188" s="155"/>
      <c r="BH188" s="155"/>
      <c r="BI188" s="155"/>
      <c r="BJ188" s="155"/>
      <c r="BK188" s="155"/>
      <c r="BL188" s="155"/>
      <c r="BM188" s="155"/>
      <c r="BN188" s="155"/>
      <c r="BO188" s="155"/>
      <c r="BP188" s="155"/>
      <c r="BQ188" s="155"/>
      <c r="BR188" s="155"/>
    </row>
    <row r="189" spans="1:70" s="156" customFormat="1" ht="16.5" hidden="1" customHeight="1" x14ac:dyDescent="0.25">
      <c r="A189" s="266"/>
      <c r="B189" s="268"/>
      <c r="C189" s="268"/>
      <c r="D189" s="271"/>
      <c r="E189" s="271"/>
      <c r="F189" s="271"/>
      <c r="G189" s="363"/>
      <c r="H189" s="271"/>
      <c r="I189" s="266"/>
      <c r="J189" s="276"/>
      <c r="K189" s="278"/>
      <c r="L189" s="274"/>
      <c r="M189" s="278">
        <f ca="1">IF(NOT(ISERROR(MATCH(L189,_xlfn.ANCHORARRAY(G200),0))),K202&amp;"Por favor no seleccionar los criterios de impacto",L189)</f>
        <v>0</v>
      </c>
      <c r="N189" s="276"/>
      <c r="O189" s="278"/>
      <c r="P189" s="280"/>
      <c r="Q189" s="201">
        <v>3</v>
      </c>
      <c r="R189" s="112"/>
      <c r="S189" s="201" t="str">
        <f t="shared" si="85"/>
        <v/>
      </c>
      <c r="T189" s="113"/>
      <c r="U189" s="113"/>
      <c r="V189" s="167" t="str">
        <f t="shared" si="86"/>
        <v/>
      </c>
      <c r="W189" s="113"/>
      <c r="X189" s="113"/>
      <c r="Y189" s="113"/>
      <c r="Z189" s="165" t="str">
        <f>IFERROR(IF(S189="Probabilidad",(K187-(+K187*V189)),IF(S189="Impacto",K187,"")),"")</f>
        <v/>
      </c>
      <c r="AA189" s="166" t="str">
        <f t="shared" si="88"/>
        <v/>
      </c>
      <c r="AB189" s="167" t="str">
        <f t="shared" si="89"/>
        <v/>
      </c>
      <c r="AC189" s="166" t="str">
        <f t="shared" si="90"/>
        <v/>
      </c>
      <c r="AD189" s="167" t="str">
        <f t="shared" si="91"/>
        <v/>
      </c>
      <c r="AE189" s="168" t="str">
        <f t="shared" si="92"/>
        <v/>
      </c>
      <c r="AF189" s="113"/>
      <c r="AG189" s="191"/>
      <c r="AH189" s="192"/>
      <c r="AI189" s="114"/>
      <c r="AJ189" s="114"/>
      <c r="AK189" s="191"/>
      <c r="AL189" s="192"/>
      <c r="AM189" s="155"/>
      <c r="AN189" s="155"/>
      <c r="AO189" s="155"/>
      <c r="AP189" s="155"/>
      <c r="AQ189" s="155"/>
      <c r="AR189" s="155"/>
      <c r="AS189" s="155"/>
      <c r="AT189" s="155"/>
      <c r="AU189" s="155"/>
      <c r="AV189" s="155"/>
      <c r="AW189" s="155"/>
      <c r="AX189" s="155"/>
      <c r="AY189" s="155"/>
      <c r="AZ189" s="155"/>
      <c r="BA189" s="155"/>
      <c r="BB189" s="155"/>
      <c r="BC189" s="155"/>
      <c r="BD189" s="155"/>
      <c r="BE189" s="155"/>
      <c r="BF189" s="155"/>
      <c r="BG189" s="155"/>
      <c r="BH189" s="155"/>
      <c r="BI189" s="155"/>
      <c r="BJ189" s="155"/>
      <c r="BK189" s="155"/>
      <c r="BL189" s="155"/>
      <c r="BM189" s="155"/>
      <c r="BN189" s="155"/>
      <c r="BO189" s="155"/>
      <c r="BP189" s="155"/>
      <c r="BQ189" s="155"/>
      <c r="BR189" s="155"/>
    </row>
    <row r="190" spans="1:70" s="156" customFormat="1" ht="16.5" hidden="1" customHeight="1" x14ac:dyDescent="0.25">
      <c r="A190" s="266"/>
      <c r="B190" s="268"/>
      <c r="C190" s="268"/>
      <c r="D190" s="271"/>
      <c r="E190" s="271"/>
      <c r="F190" s="271"/>
      <c r="G190" s="363"/>
      <c r="H190" s="271"/>
      <c r="I190" s="266"/>
      <c r="J190" s="276"/>
      <c r="K190" s="278"/>
      <c r="L190" s="274"/>
      <c r="M190" s="278">
        <f ca="1">IF(NOT(ISERROR(MATCH(L190,_xlfn.ANCHORARRAY(G201),0))),K203&amp;"Por favor no seleccionar los criterios de impacto",L190)</f>
        <v>0</v>
      </c>
      <c r="N190" s="276"/>
      <c r="O190" s="278"/>
      <c r="P190" s="280"/>
      <c r="Q190" s="201">
        <v>4</v>
      </c>
      <c r="R190" s="112"/>
      <c r="S190" s="201" t="str">
        <f t="shared" si="85"/>
        <v/>
      </c>
      <c r="T190" s="113"/>
      <c r="U190" s="113"/>
      <c r="V190" s="167" t="str">
        <f t="shared" si="86"/>
        <v/>
      </c>
      <c r="W190" s="113"/>
      <c r="X190" s="113"/>
      <c r="Y190" s="113"/>
      <c r="Z190" s="165" t="str">
        <f>IFERROR(IF(S190="Probabilidad",(K187-(+K187*V190)),IF(S190="Impacto",K187,"")),"")</f>
        <v/>
      </c>
      <c r="AA190" s="166" t="str">
        <f t="shared" si="88"/>
        <v/>
      </c>
      <c r="AB190" s="167" t="str">
        <f t="shared" si="89"/>
        <v/>
      </c>
      <c r="AC190" s="166" t="str">
        <f t="shared" si="90"/>
        <v/>
      </c>
      <c r="AD190" s="167" t="str">
        <f t="shared" si="91"/>
        <v/>
      </c>
      <c r="AE190" s="168" t="str">
        <f t="shared" si="92"/>
        <v/>
      </c>
      <c r="AF190" s="113"/>
      <c r="AG190" s="191"/>
      <c r="AH190" s="192"/>
      <c r="AI190" s="114"/>
      <c r="AJ190" s="114"/>
      <c r="AK190" s="191"/>
      <c r="AL190" s="192"/>
      <c r="AM190" s="155"/>
      <c r="AN190" s="155"/>
      <c r="AO190" s="155"/>
      <c r="AP190" s="155"/>
      <c r="AQ190" s="155"/>
      <c r="AR190" s="155"/>
      <c r="AS190" s="155"/>
      <c r="AT190" s="155"/>
      <c r="AU190" s="155"/>
      <c r="AV190" s="155"/>
      <c r="AW190" s="155"/>
      <c r="AX190" s="155"/>
      <c r="AY190" s="155"/>
      <c r="AZ190" s="155"/>
      <c r="BA190" s="155"/>
      <c r="BB190" s="155"/>
      <c r="BC190" s="155"/>
      <c r="BD190" s="155"/>
      <c r="BE190" s="155"/>
      <c r="BF190" s="155"/>
      <c r="BG190" s="155"/>
      <c r="BH190" s="155"/>
      <c r="BI190" s="155"/>
      <c r="BJ190" s="155"/>
      <c r="BK190" s="155"/>
      <c r="BL190" s="155"/>
      <c r="BM190" s="155"/>
      <c r="BN190" s="155"/>
      <c r="BO190" s="155"/>
      <c r="BP190" s="155"/>
      <c r="BQ190" s="155"/>
      <c r="BR190" s="155"/>
    </row>
    <row r="191" spans="1:70" s="156" customFormat="1" ht="16.5" hidden="1" customHeight="1" x14ac:dyDescent="0.25">
      <c r="A191" s="266"/>
      <c r="B191" s="268"/>
      <c r="C191" s="268"/>
      <c r="D191" s="271"/>
      <c r="E191" s="271"/>
      <c r="F191" s="271"/>
      <c r="G191" s="363"/>
      <c r="H191" s="271"/>
      <c r="I191" s="266"/>
      <c r="J191" s="276"/>
      <c r="K191" s="278"/>
      <c r="L191" s="274"/>
      <c r="M191" s="278">
        <f ca="1">IF(NOT(ISERROR(MATCH(L191,_xlfn.ANCHORARRAY(G202),0))),K204&amp;"Por favor no seleccionar los criterios de impacto",L191)</f>
        <v>0</v>
      </c>
      <c r="N191" s="276"/>
      <c r="O191" s="278"/>
      <c r="P191" s="280"/>
      <c r="Q191" s="201">
        <v>5</v>
      </c>
      <c r="R191" s="112"/>
      <c r="S191" s="201" t="str">
        <f t="shared" si="85"/>
        <v/>
      </c>
      <c r="T191" s="113"/>
      <c r="U191" s="113"/>
      <c r="V191" s="167" t="str">
        <f t="shared" si="86"/>
        <v/>
      </c>
      <c r="W191" s="113"/>
      <c r="X191" s="113"/>
      <c r="Y191" s="113"/>
      <c r="Z191" s="165" t="str">
        <f>IFERROR(IF(S191="Probabilidad",(K187-(+K187*V191)),IF(S191="Impacto",K187,"")),"")</f>
        <v/>
      </c>
      <c r="AA191" s="166" t="str">
        <f t="shared" si="88"/>
        <v/>
      </c>
      <c r="AB191" s="167" t="str">
        <f t="shared" si="89"/>
        <v/>
      </c>
      <c r="AC191" s="166" t="str">
        <f t="shared" si="90"/>
        <v/>
      </c>
      <c r="AD191" s="167" t="str">
        <f t="shared" si="91"/>
        <v/>
      </c>
      <c r="AE191" s="168" t="str">
        <f t="shared" si="92"/>
        <v/>
      </c>
      <c r="AF191" s="113"/>
      <c r="AG191" s="191"/>
      <c r="AH191" s="192"/>
      <c r="AI191" s="114"/>
      <c r="AJ191" s="114"/>
      <c r="AK191" s="191"/>
      <c r="AL191" s="192"/>
      <c r="AM191" s="155"/>
      <c r="AN191" s="155"/>
      <c r="AO191" s="155"/>
      <c r="AP191" s="155"/>
      <c r="AQ191" s="155"/>
      <c r="AR191" s="155"/>
      <c r="AS191" s="155"/>
      <c r="AT191" s="155"/>
      <c r="AU191" s="155"/>
      <c r="AV191" s="155"/>
      <c r="AW191" s="155"/>
      <c r="AX191" s="155"/>
      <c r="AY191" s="155"/>
      <c r="AZ191" s="155"/>
      <c r="BA191" s="155"/>
      <c r="BB191" s="155"/>
      <c r="BC191" s="155"/>
      <c r="BD191" s="155"/>
      <c r="BE191" s="155"/>
      <c r="BF191" s="155"/>
      <c r="BG191" s="155"/>
      <c r="BH191" s="155"/>
      <c r="BI191" s="155"/>
      <c r="BJ191" s="155"/>
      <c r="BK191" s="155"/>
      <c r="BL191" s="155"/>
      <c r="BM191" s="155"/>
      <c r="BN191" s="155"/>
      <c r="BO191" s="155"/>
      <c r="BP191" s="155"/>
      <c r="BQ191" s="155"/>
      <c r="BR191" s="155"/>
    </row>
    <row r="192" spans="1:70" s="156" customFormat="1" ht="16.5" hidden="1" customHeight="1" x14ac:dyDescent="0.25">
      <c r="A192" s="266"/>
      <c r="B192" s="269"/>
      <c r="C192" s="269"/>
      <c r="D192" s="271"/>
      <c r="E192" s="271"/>
      <c r="F192" s="271"/>
      <c r="G192" s="363"/>
      <c r="H192" s="271"/>
      <c r="I192" s="266"/>
      <c r="J192" s="276"/>
      <c r="K192" s="278"/>
      <c r="L192" s="274"/>
      <c r="M192" s="278">
        <f ca="1">IF(NOT(ISERROR(MATCH(L192,_xlfn.ANCHORARRAY(G203),0))),K205&amp;"Por favor no seleccionar los criterios de impacto",L192)</f>
        <v>0</v>
      </c>
      <c r="N192" s="276"/>
      <c r="O192" s="278"/>
      <c r="P192" s="280"/>
      <c r="Q192" s="201">
        <v>6</v>
      </c>
      <c r="R192" s="112"/>
      <c r="S192" s="201" t="str">
        <f t="shared" si="85"/>
        <v/>
      </c>
      <c r="T192" s="113"/>
      <c r="U192" s="113"/>
      <c r="V192" s="167" t="str">
        <f t="shared" si="86"/>
        <v/>
      </c>
      <c r="W192" s="113"/>
      <c r="X192" s="113"/>
      <c r="Y192" s="113"/>
      <c r="Z192" s="165" t="str">
        <f>IFERROR(IF(S192="Probabilidad",(K187-(+K187*V192)),IF(S192="Impacto",K187,"")),"")</f>
        <v/>
      </c>
      <c r="AA192" s="166" t="str">
        <f t="shared" si="88"/>
        <v/>
      </c>
      <c r="AB192" s="167" t="str">
        <f t="shared" si="89"/>
        <v/>
      </c>
      <c r="AC192" s="166" t="str">
        <f t="shared" si="90"/>
        <v/>
      </c>
      <c r="AD192" s="167" t="str">
        <f t="shared" si="91"/>
        <v/>
      </c>
      <c r="AE192" s="168" t="str">
        <f t="shared" si="92"/>
        <v/>
      </c>
      <c r="AF192" s="113"/>
      <c r="AG192" s="191"/>
      <c r="AH192" s="192"/>
      <c r="AI192" s="114"/>
      <c r="AJ192" s="114"/>
      <c r="AK192" s="191"/>
      <c r="AL192" s="192"/>
      <c r="AM192" s="155"/>
      <c r="AN192" s="155"/>
      <c r="AO192" s="155"/>
      <c r="AP192" s="155"/>
      <c r="AQ192" s="155"/>
      <c r="AR192" s="155"/>
      <c r="AS192" s="155"/>
      <c r="AT192" s="155"/>
      <c r="AU192" s="155"/>
      <c r="AV192" s="155"/>
      <c r="AW192" s="155"/>
      <c r="AX192" s="155"/>
      <c r="AY192" s="155"/>
      <c r="AZ192" s="155"/>
      <c r="BA192" s="155"/>
      <c r="BB192" s="155"/>
      <c r="BC192" s="155"/>
      <c r="BD192" s="155"/>
      <c r="BE192" s="155"/>
      <c r="BF192" s="155"/>
      <c r="BG192" s="155"/>
      <c r="BH192" s="155"/>
      <c r="BI192" s="155"/>
      <c r="BJ192" s="155"/>
      <c r="BK192" s="155"/>
      <c r="BL192" s="155"/>
      <c r="BM192" s="155"/>
      <c r="BN192" s="155"/>
      <c r="BO192" s="155"/>
      <c r="BP192" s="155"/>
      <c r="BQ192" s="155"/>
      <c r="BR192" s="155"/>
    </row>
    <row r="193" spans="1:70" s="156" customFormat="1" ht="114" customHeight="1" x14ac:dyDescent="0.25">
      <c r="A193" s="266">
        <v>31</v>
      </c>
      <c r="B193" s="267" t="s">
        <v>213</v>
      </c>
      <c r="C193" s="267" t="s">
        <v>628</v>
      </c>
      <c r="D193" s="270" t="s">
        <v>132</v>
      </c>
      <c r="E193" s="270" t="s">
        <v>629</v>
      </c>
      <c r="F193" s="270" t="s">
        <v>630</v>
      </c>
      <c r="G193" s="362" t="s">
        <v>631</v>
      </c>
      <c r="H193" s="270" t="s">
        <v>437</v>
      </c>
      <c r="I193" s="281">
        <v>5001</v>
      </c>
      <c r="J193" s="275" t="str">
        <f>IF(I193&lt;=0,"",IF(I193&lt;=2,"Muy Baja",IF(I193&lt;=24,"Baja",IF(I193&lt;=500,"Media",IF(I193&lt;=5000,"Alta","Muy Alta")))))</f>
        <v>Muy Alta</v>
      </c>
      <c r="K193" s="277">
        <f>IF(J193="","",IF(J193="Muy Baja",0.2,IF(J193="Baja",0.4,IF(J193="Media",0.6,IF(J193="Alta",0.8,IF(J193="Muy Alta",1,))))))</f>
        <v>1</v>
      </c>
      <c r="L193" s="273" t="s">
        <v>98</v>
      </c>
      <c r="M193" s="277" t="str">
        <f>IF(NOT(ISERROR(MATCH(L193,'[6]Tabla Impacto'!$B$221:$B$223,0))),'[6]Tabla Impacto'!$F$223&amp;"Por favor no seleccionar los criterios de impacto(Afectación Económica o presupuestal y Pérdida Reputacional)",L193)</f>
        <v>El riesgo afecta la imagen de la entidad con algunos usuarios de relevancia frente al logro de los objetivos</v>
      </c>
      <c r="N193" s="275" t="str">
        <f>+IF(OR(M193='[6]Tabla Impacto'!$C$11,M193='[6]Tabla Impacto'!$D$11),"Leve",IF(OR(M193='[6]Tabla Impacto'!$C$12,M193='[6]Tabla Impacto'!$D$12),"Menor",IF(OR(M193='[6]Tabla Impacto'!$C$13,M193='[6]Tabla Impacto'!$D$13),"Moderado",IF(OR(M193='[6]Tabla Impacto'!$C$14,M193='[6]Tabla Impacto'!$D$14),"Mayor",IF(OR(M193='[6]Tabla Impacto'!$C$15,M193='[6]Tabla Impacto'!$D$15),"Catastrófico","")))))</f>
        <v>Moderado</v>
      </c>
      <c r="O193" s="277">
        <f>IF(N193="","",IF(N193="Leve",0.2,IF(N193="Menor",0.4,IF(N193="Moderado",0.6,IF(N193="Mayor",0.8,IF(N193="Catastrófico",1,))))))</f>
        <v>0.6</v>
      </c>
      <c r="P193" s="279" t="str">
        <f>IF(OR(AND(J193="Muy Baja",N193="Leve"),AND(J193="Muy Baja",N193="Menor"),AND(J193="Baja",N193="Leve")),"Bajo",IF(OR(AND(J193="Muy baja",N193="Moderado"),AND(J193="Baja",N193="Menor"),AND(J193="Baja",N193="Moderado"),AND(J193="Media",N193="Leve"),AND(J193="Media",N193="Menor"),AND(J193="Media",N193="Moderado"),AND(J193="Alta",N193="Leve"),AND(J193="Alta",N193="Menor")),"Moderado",IF(OR(AND(J193="Muy Baja",N193="Mayor"),AND(J193="Baja",N193="Mayor"),AND(J193="Media",N193="Mayor"),AND(J193="Alta",N193="Moderado"),AND(J193="Alta",N193="Mayor"),AND(J193="Muy Alta",N193="Leve"),AND(J193="Muy Alta",N193="Menor"),AND(J193="Muy Alta",N193="Moderado"),AND(J193="Muy Alta",N193="Mayor")),"Alto",IF(OR(AND(J193="Muy Baja",N193="Catastrófico"),AND(J193="Baja",N193="Catastrófico"),AND(J193="Media",N193="Catastrófico"),AND(J193="Alta",N193="Catastrófico"),AND(J193="Muy Alta",N193="Catastrófico")),"Extremo",""))))</f>
        <v>Alto</v>
      </c>
      <c r="Q193" s="201">
        <v>1</v>
      </c>
      <c r="R193" s="112" t="s">
        <v>651</v>
      </c>
      <c r="S193" s="201" t="str">
        <f>IF(OR(T193="Preventivo",T193="Detectivo"),"Probabilidad",IF(T193="Correctivo","Impacto",""))</f>
        <v>Probabilidad</v>
      </c>
      <c r="T193" s="113" t="s">
        <v>14</v>
      </c>
      <c r="U193" s="113" t="s">
        <v>9</v>
      </c>
      <c r="V193" s="167" t="str">
        <f t="shared" si="86"/>
        <v>40%</v>
      </c>
      <c r="W193" s="113" t="s">
        <v>19</v>
      </c>
      <c r="X193" s="113" t="s">
        <v>22</v>
      </c>
      <c r="Y193" s="113" t="s">
        <v>117</v>
      </c>
      <c r="Z193" s="165">
        <f>IFERROR(IF(S193="Probabilidad",(K193-(+K193*V193)),IF(S193="Impacto",K193,"")),"")</f>
        <v>0.6</v>
      </c>
      <c r="AA193" s="166" t="str">
        <f>IFERROR(IF(Z193="","",IF(Z193&lt;=0.2,"Muy Baja",IF(Z193&lt;=0.4,"Baja",IF(Z193&lt;=0.6,"Media",IF(Z193&lt;=0.8,"Alta","Muy Alta"))))),"")</f>
        <v>Media</v>
      </c>
      <c r="AB193" s="167">
        <f>+Z193</f>
        <v>0.6</v>
      </c>
      <c r="AC193" s="166" t="str">
        <f>IFERROR(IF(AD193="","",IF(AD193&lt;=0.2,"Leve",IF(AD193&lt;=0.4,"Menor",IF(AD193&lt;=0.6,"Moderado",IF(AD193&lt;=0.8,"Mayor","Catastrófico"))))),"")</f>
        <v>Moderado</v>
      </c>
      <c r="AD193" s="167">
        <f>IFERROR(IF(S193="Impacto",(O193-(+O193*V193)),IF(S193="Probabilidad",O193,"")),"")</f>
        <v>0.6</v>
      </c>
      <c r="AE193" s="168" t="str">
        <f>IFERROR(IF(OR(AND(AA193="Muy Baja",AC193="Leve"),AND(AA193="Muy Baja",AC193="Menor"),AND(AA193="Baja",AC193="Leve")),"Bajo",IF(OR(AND(AA193="Muy baja",AC193="Moderado"),AND(AA193="Baja",AC193="Menor"),AND(AA193="Baja",AC193="Moderado"),AND(AA193="Media",AC193="Leve"),AND(AA193="Media",AC193="Menor"),AND(AA193="Media",AC193="Moderado"),AND(AA193="Alta",AC193="Leve"),AND(AA193="Alta",AC193="Menor")),"Moderado",IF(OR(AND(AA193="Muy Baja",AC193="Mayor"),AND(AA193="Baja",AC193="Mayor"),AND(AA193="Media",AC193="Mayor"),AND(AA193="Alta",AC193="Moderado"),AND(AA193="Alta",AC193="Mayor"),AND(AA193="Muy Alta",AC193="Leve"),AND(AA193="Muy Alta",AC193="Menor"),AND(AA193="Muy Alta",AC193="Moderado"),AND(AA193="Muy Alta",AC193="Mayor")),"Alto",IF(OR(AND(AA193="Muy Baja",AC193="Catastrófico"),AND(AA193="Baja",AC193="Catastrófico"),AND(AA193="Media",AC193="Catastrófico"),AND(AA193="Alta",AC193="Catastrófico"),AND(AA193="Muy Alta",AC193="Catastrófico")),"Extremo","")))),"")</f>
        <v>Moderado</v>
      </c>
      <c r="AF193" s="113" t="s">
        <v>31</v>
      </c>
      <c r="AG193" s="191"/>
      <c r="AH193" s="192"/>
      <c r="AI193" s="114"/>
      <c r="AJ193" s="114"/>
      <c r="AK193" s="191"/>
      <c r="AL193" s="192"/>
      <c r="AM193" s="155"/>
      <c r="AN193" s="155"/>
      <c r="AO193" s="155"/>
      <c r="AP193" s="155"/>
      <c r="AQ193" s="155"/>
      <c r="AR193" s="155"/>
      <c r="AS193" s="155"/>
      <c r="AT193" s="155"/>
      <c r="AU193" s="155"/>
      <c r="AV193" s="155"/>
      <c r="AW193" s="155"/>
      <c r="AX193" s="155"/>
      <c r="AY193" s="155"/>
      <c r="AZ193" s="155"/>
      <c r="BA193" s="155"/>
      <c r="BB193" s="155"/>
      <c r="BC193" s="155"/>
      <c r="BD193" s="155"/>
      <c r="BE193" s="155"/>
      <c r="BF193" s="155"/>
      <c r="BG193" s="155"/>
      <c r="BH193" s="155"/>
      <c r="BI193" s="155"/>
      <c r="BJ193" s="155"/>
      <c r="BK193" s="155"/>
      <c r="BL193" s="155"/>
      <c r="BM193" s="155"/>
      <c r="BN193" s="155"/>
      <c r="BO193" s="155"/>
      <c r="BP193" s="155"/>
      <c r="BQ193" s="155"/>
      <c r="BR193" s="155"/>
    </row>
    <row r="194" spans="1:70" s="156" customFormat="1" ht="114" customHeight="1" x14ac:dyDescent="0.25">
      <c r="A194" s="266"/>
      <c r="B194" s="294"/>
      <c r="C194" s="294"/>
      <c r="D194" s="270"/>
      <c r="E194" s="270"/>
      <c r="F194" s="270"/>
      <c r="G194" s="362"/>
      <c r="H194" s="270"/>
      <c r="I194" s="281"/>
      <c r="J194" s="275"/>
      <c r="K194" s="277"/>
      <c r="L194" s="273"/>
      <c r="M194" s="277">
        <f ca="1">IF(NOT(ISERROR(MATCH(L194,_xlfn.ANCHORARRAY(G205),0))),K207&amp;"Por favor no seleccionar los criterios de impacto",L194)</f>
        <v>0</v>
      </c>
      <c r="N194" s="275"/>
      <c r="O194" s="277"/>
      <c r="P194" s="279"/>
      <c r="Q194" s="201">
        <v>2</v>
      </c>
      <c r="R194" s="112" t="s">
        <v>652</v>
      </c>
      <c r="S194" s="201" t="str">
        <f t="shared" ref="S194:S234" si="93">IF(OR(T194="Preventivo",T194="Detectivo"),"Probabilidad",IF(T194="Correctivo","Impacto",""))</f>
        <v>Probabilidad</v>
      </c>
      <c r="T194" s="113" t="s">
        <v>14</v>
      </c>
      <c r="U194" s="113" t="s">
        <v>9</v>
      </c>
      <c r="V194" s="167" t="str">
        <f t="shared" si="86"/>
        <v>40%</v>
      </c>
      <c r="W194" s="113" t="s">
        <v>19</v>
      </c>
      <c r="X194" s="113" t="s">
        <v>22</v>
      </c>
      <c r="Y194" s="113" t="s">
        <v>117</v>
      </c>
      <c r="Z194" s="165">
        <f>IFERROR(IF(S194="Probabilidad",(K193-(+K193*V194)),IF(S194="Impacto",K193,"")),"")</f>
        <v>0.6</v>
      </c>
      <c r="AA194" s="166" t="str">
        <f t="shared" ref="AA194:AA234" si="94">IFERROR(IF(Z194="","",IF(Z194&lt;=0.2,"Muy Baja",IF(Z194&lt;=0.4,"Baja",IF(Z194&lt;=0.6,"Media",IF(Z194&lt;=0.8,"Alta","Muy Alta"))))),"")</f>
        <v>Media</v>
      </c>
      <c r="AB194" s="167">
        <f t="shared" ref="AB194:AB234" si="95">+Z194</f>
        <v>0.6</v>
      </c>
      <c r="AC194" s="166" t="str">
        <f t="shared" ref="AC194:AC235" si="96">IFERROR(IF(AD194="","",IF(AD194&lt;=0.2,"Leve",IF(AD194&lt;=0.4,"Menor",IF(AD194&lt;=0.6,"Moderado",IF(AD194&lt;=0.8,"Mayor","Catastrófico"))))),"")</f>
        <v>Moderado</v>
      </c>
      <c r="AD194" s="167">
        <f>IFERROR(IF(S194="Impacto",(O193-(+O193*V194)),IF(S194="Probabilidad",O193,"")),"")</f>
        <v>0.6</v>
      </c>
      <c r="AE194" s="168" t="str">
        <f t="shared" ref="AE194:AE234" si="97">IFERROR(IF(OR(AND(AA194="Muy Baja",AC194="Leve"),AND(AA194="Muy Baja",AC194="Menor"),AND(AA194="Baja",AC194="Leve")),"Bajo",IF(OR(AND(AA194="Muy baja",AC194="Moderado"),AND(AA194="Baja",AC194="Menor"),AND(AA194="Baja",AC194="Moderado"),AND(AA194="Media",AC194="Leve"),AND(AA194="Media",AC194="Menor"),AND(AA194="Media",AC194="Moderado"),AND(AA194="Alta",AC194="Leve"),AND(AA194="Alta",AC194="Menor")),"Moderado",IF(OR(AND(AA194="Muy Baja",AC194="Mayor"),AND(AA194="Baja",AC194="Mayor"),AND(AA194="Media",AC194="Mayor"),AND(AA194="Alta",AC194="Moderado"),AND(AA194="Alta",AC194="Mayor"),AND(AA194="Muy Alta",AC194="Leve"),AND(AA194="Muy Alta",AC194="Menor"),AND(AA194="Muy Alta",AC194="Moderado"),AND(AA194="Muy Alta",AC194="Mayor")),"Alto",IF(OR(AND(AA194="Muy Baja",AC194="Catastrófico"),AND(AA194="Baja",AC194="Catastrófico"),AND(AA194="Media",AC194="Catastrófico"),AND(AA194="Alta",AC194="Catastrófico"),AND(AA194="Muy Alta",AC194="Catastrófico")),"Extremo","")))),"")</f>
        <v>Moderado</v>
      </c>
      <c r="AF194" s="113" t="s">
        <v>134</v>
      </c>
      <c r="AG194" s="191"/>
      <c r="AH194" s="192"/>
      <c r="AI194" s="114"/>
      <c r="AJ194" s="114"/>
      <c r="AK194" s="191"/>
      <c r="AL194" s="192"/>
      <c r="AM194" s="155"/>
      <c r="AN194" s="155"/>
      <c r="AO194" s="155"/>
      <c r="AP194" s="155"/>
      <c r="AQ194" s="155"/>
      <c r="AR194" s="155"/>
      <c r="AS194" s="155"/>
      <c r="AT194" s="155"/>
      <c r="AU194" s="155"/>
      <c r="AV194" s="155"/>
      <c r="AW194" s="155"/>
      <c r="AX194" s="155"/>
      <c r="AY194" s="155"/>
      <c r="AZ194" s="155"/>
      <c r="BA194" s="155"/>
      <c r="BB194" s="155"/>
      <c r="BC194" s="155"/>
      <c r="BD194" s="155"/>
      <c r="BE194" s="155"/>
      <c r="BF194" s="155"/>
      <c r="BG194" s="155"/>
      <c r="BH194" s="155"/>
      <c r="BI194" s="155"/>
      <c r="BJ194" s="155"/>
      <c r="BK194" s="155"/>
      <c r="BL194" s="155"/>
      <c r="BM194" s="155"/>
      <c r="BN194" s="155"/>
      <c r="BO194" s="155"/>
      <c r="BP194" s="155"/>
      <c r="BQ194" s="155"/>
      <c r="BR194" s="155"/>
    </row>
    <row r="195" spans="1:70" s="156" customFormat="1" ht="16.5" hidden="1" customHeight="1" x14ac:dyDescent="0.25">
      <c r="A195" s="266"/>
      <c r="B195" s="268"/>
      <c r="C195" s="268"/>
      <c r="D195" s="271"/>
      <c r="E195" s="271"/>
      <c r="F195" s="271"/>
      <c r="G195" s="363"/>
      <c r="H195" s="271"/>
      <c r="I195" s="266"/>
      <c r="J195" s="276"/>
      <c r="K195" s="278"/>
      <c r="L195" s="274"/>
      <c r="M195" s="278">
        <f ca="1">IF(NOT(ISERROR(MATCH(L195,_xlfn.ANCHORARRAY(G206),0))),K208&amp;"Por favor no seleccionar los criterios de impacto",L195)</f>
        <v>0</v>
      </c>
      <c r="N195" s="276"/>
      <c r="O195" s="278"/>
      <c r="P195" s="280"/>
      <c r="Q195" s="201">
        <v>3</v>
      </c>
      <c r="R195" s="112"/>
      <c r="S195" s="201" t="str">
        <f t="shared" si="93"/>
        <v/>
      </c>
      <c r="T195" s="113"/>
      <c r="U195" s="113"/>
      <c r="V195" s="167" t="str">
        <f t="shared" si="86"/>
        <v/>
      </c>
      <c r="W195" s="113"/>
      <c r="X195" s="113"/>
      <c r="Y195" s="113"/>
      <c r="Z195" s="165" t="str">
        <f>IFERROR(IF(S195="Probabilidad",(K193-(+K193*V195)),IF(S195="Impacto",K193,"")),"")</f>
        <v/>
      </c>
      <c r="AA195" s="166" t="str">
        <f t="shared" si="94"/>
        <v/>
      </c>
      <c r="AB195" s="167" t="str">
        <f t="shared" si="95"/>
        <v/>
      </c>
      <c r="AC195" s="166" t="str">
        <f t="shared" si="96"/>
        <v/>
      </c>
      <c r="AD195" s="167" t="str">
        <f t="shared" ref="AD195:AD234" si="98">IFERROR(IF(S195="Impacto",(O195-(+O195*V195)),IF(S195="Probabilidad",O195,"")),"")</f>
        <v/>
      </c>
      <c r="AE195" s="168" t="str">
        <f t="shared" si="97"/>
        <v/>
      </c>
      <c r="AF195" s="113"/>
      <c r="AG195" s="191"/>
      <c r="AH195" s="192"/>
      <c r="AI195" s="114"/>
      <c r="AJ195" s="114"/>
      <c r="AK195" s="191"/>
      <c r="AL195" s="192"/>
      <c r="AM195" s="155"/>
      <c r="AN195" s="155"/>
      <c r="AO195" s="155"/>
      <c r="AP195" s="155"/>
      <c r="AQ195" s="155"/>
      <c r="AR195" s="155"/>
      <c r="AS195" s="155"/>
      <c r="AT195" s="155"/>
      <c r="AU195" s="155"/>
      <c r="AV195" s="155"/>
      <c r="AW195" s="155"/>
      <c r="AX195" s="155"/>
      <c r="AY195" s="155"/>
      <c r="AZ195" s="155"/>
      <c r="BA195" s="155"/>
      <c r="BB195" s="155"/>
      <c r="BC195" s="155"/>
      <c r="BD195" s="155"/>
      <c r="BE195" s="155"/>
      <c r="BF195" s="155"/>
      <c r="BG195" s="155"/>
      <c r="BH195" s="155"/>
      <c r="BI195" s="155"/>
      <c r="BJ195" s="155"/>
      <c r="BK195" s="155"/>
      <c r="BL195" s="155"/>
      <c r="BM195" s="155"/>
      <c r="BN195" s="155"/>
      <c r="BO195" s="155"/>
      <c r="BP195" s="155"/>
      <c r="BQ195" s="155"/>
      <c r="BR195" s="155"/>
    </row>
    <row r="196" spans="1:70" s="156" customFormat="1" ht="16.5" hidden="1" customHeight="1" x14ac:dyDescent="0.25">
      <c r="A196" s="266"/>
      <c r="B196" s="268"/>
      <c r="C196" s="268"/>
      <c r="D196" s="271"/>
      <c r="E196" s="271"/>
      <c r="F196" s="271"/>
      <c r="G196" s="363"/>
      <c r="H196" s="271"/>
      <c r="I196" s="266"/>
      <c r="J196" s="276"/>
      <c r="K196" s="278"/>
      <c r="L196" s="274"/>
      <c r="M196" s="278">
        <f ca="1">IF(NOT(ISERROR(MATCH(L196,_xlfn.ANCHORARRAY(G207),0))),K209&amp;"Por favor no seleccionar los criterios de impacto",L196)</f>
        <v>0</v>
      </c>
      <c r="N196" s="276"/>
      <c r="O196" s="278"/>
      <c r="P196" s="280"/>
      <c r="Q196" s="201">
        <v>4</v>
      </c>
      <c r="R196" s="112"/>
      <c r="S196" s="201" t="str">
        <f t="shared" si="93"/>
        <v/>
      </c>
      <c r="T196" s="113"/>
      <c r="U196" s="113"/>
      <c r="V196" s="167" t="str">
        <f t="shared" si="86"/>
        <v/>
      </c>
      <c r="W196" s="113"/>
      <c r="X196" s="113"/>
      <c r="Y196" s="113"/>
      <c r="Z196" s="165" t="str">
        <f>IFERROR(IF(S196="Probabilidad",(K193-(+K193*V196)),IF(S196="Impacto",K193,"")),"")</f>
        <v/>
      </c>
      <c r="AA196" s="166" t="str">
        <f t="shared" si="94"/>
        <v/>
      </c>
      <c r="AB196" s="167" t="str">
        <f t="shared" si="95"/>
        <v/>
      </c>
      <c r="AC196" s="166" t="str">
        <f t="shared" si="96"/>
        <v/>
      </c>
      <c r="AD196" s="167" t="str">
        <f t="shared" si="98"/>
        <v/>
      </c>
      <c r="AE196" s="168" t="str">
        <f t="shared" si="97"/>
        <v/>
      </c>
      <c r="AF196" s="113"/>
      <c r="AG196" s="191"/>
      <c r="AH196" s="192"/>
      <c r="AI196" s="114"/>
      <c r="AJ196" s="114"/>
      <c r="AK196" s="191"/>
      <c r="AL196" s="192"/>
      <c r="AM196" s="155"/>
      <c r="AN196" s="155"/>
      <c r="AO196" s="155"/>
      <c r="AP196" s="155"/>
      <c r="AQ196" s="155"/>
      <c r="AR196" s="155"/>
      <c r="AS196" s="155"/>
      <c r="AT196" s="155"/>
      <c r="AU196" s="155"/>
      <c r="AV196" s="155"/>
      <c r="AW196" s="155"/>
      <c r="AX196" s="155"/>
      <c r="AY196" s="155"/>
      <c r="AZ196" s="155"/>
      <c r="BA196" s="155"/>
      <c r="BB196" s="155"/>
      <c r="BC196" s="155"/>
      <c r="BD196" s="155"/>
      <c r="BE196" s="155"/>
      <c r="BF196" s="155"/>
      <c r="BG196" s="155"/>
      <c r="BH196" s="155"/>
      <c r="BI196" s="155"/>
      <c r="BJ196" s="155"/>
      <c r="BK196" s="155"/>
      <c r="BL196" s="155"/>
      <c r="BM196" s="155"/>
      <c r="BN196" s="155"/>
      <c r="BO196" s="155"/>
      <c r="BP196" s="155"/>
      <c r="BQ196" s="155"/>
      <c r="BR196" s="155"/>
    </row>
    <row r="197" spans="1:70" s="156" customFormat="1" ht="16.5" hidden="1" customHeight="1" x14ac:dyDescent="0.25">
      <c r="A197" s="266"/>
      <c r="B197" s="268"/>
      <c r="C197" s="268"/>
      <c r="D197" s="271"/>
      <c r="E197" s="271"/>
      <c r="F197" s="271"/>
      <c r="G197" s="363"/>
      <c r="H197" s="271"/>
      <c r="I197" s="266"/>
      <c r="J197" s="276"/>
      <c r="K197" s="278"/>
      <c r="L197" s="274"/>
      <c r="M197" s="278">
        <f ca="1">IF(NOT(ISERROR(MATCH(L197,_xlfn.ANCHORARRAY(G208),0))),K210&amp;"Por favor no seleccionar los criterios de impacto",L197)</f>
        <v>0</v>
      </c>
      <c r="N197" s="276"/>
      <c r="O197" s="278"/>
      <c r="P197" s="280"/>
      <c r="Q197" s="201">
        <v>5</v>
      </c>
      <c r="R197" s="112"/>
      <c r="S197" s="201" t="str">
        <f t="shared" si="93"/>
        <v/>
      </c>
      <c r="T197" s="113"/>
      <c r="U197" s="113"/>
      <c r="V197" s="167" t="str">
        <f t="shared" si="86"/>
        <v/>
      </c>
      <c r="W197" s="113"/>
      <c r="X197" s="113"/>
      <c r="Y197" s="113"/>
      <c r="Z197" s="165" t="str">
        <f>IFERROR(IF(S197="Probabilidad",(K193-(+K193*V197)),IF(S197="Impacto",K193,"")),"")</f>
        <v/>
      </c>
      <c r="AA197" s="166" t="str">
        <f t="shared" si="94"/>
        <v/>
      </c>
      <c r="AB197" s="167" t="str">
        <f t="shared" si="95"/>
        <v/>
      </c>
      <c r="AC197" s="166" t="str">
        <f t="shared" si="96"/>
        <v/>
      </c>
      <c r="AD197" s="167" t="str">
        <f t="shared" si="98"/>
        <v/>
      </c>
      <c r="AE197" s="168" t="str">
        <f t="shared" si="97"/>
        <v/>
      </c>
      <c r="AF197" s="113"/>
      <c r="AG197" s="191"/>
      <c r="AH197" s="192"/>
      <c r="AI197" s="114"/>
      <c r="AJ197" s="114"/>
      <c r="AK197" s="191"/>
      <c r="AL197" s="192"/>
      <c r="AM197" s="155"/>
      <c r="AN197" s="155"/>
      <c r="AO197" s="155"/>
      <c r="AP197" s="155"/>
      <c r="AQ197" s="155"/>
      <c r="AR197" s="155"/>
      <c r="AS197" s="155"/>
      <c r="AT197" s="155"/>
      <c r="AU197" s="155"/>
      <c r="AV197" s="155"/>
      <c r="AW197" s="155"/>
      <c r="AX197" s="155"/>
      <c r="AY197" s="155"/>
      <c r="AZ197" s="155"/>
      <c r="BA197" s="155"/>
      <c r="BB197" s="155"/>
      <c r="BC197" s="155"/>
      <c r="BD197" s="155"/>
      <c r="BE197" s="155"/>
      <c r="BF197" s="155"/>
      <c r="BG197" s="155"/>
      <c r="BH197" s="155"/>
      <c r="BI197" s="155"/>
      <c r="BJ197" s="155"/>
      <c r="BK197" s="155"/>
      <c r="BL197" s="155"/>
      <c r="BM197" s="155"/>
      <c r="BN197" s="155"/>
      <c r="BO197" s="155"/>
      <c r="BP197" s="155"/>
      <c r="BQ197" s="155"/>
      <c r="BR197" s="155"/>
    </row>
    <row r="198" spans="1:70" s="156" customFormat="1" ht="16.5" hidden="1" customHeight="1" x14ac:dyDescent="0.25">
      <c r="A198" s="266"/>
      <c r="B198" s="269"/>
      <c r="C198" s="269"/>
      <c r="D198" s="271"/>
      <c r="E198" s="271"/>
      <c r="F198" s="271"/>
      <c r="G198" s="363"/>
      <c r="H198" s="271"/>
      <c r="I198" s="266"/>
      <c r="J198" s="276"/>
      <c r="K198" s="278"/>
      <c r="L198" s="274"/>
      <c r="M198" s="278">
        <f ca="1">IF(NOT(ISERROR(MATCH(L198,_xlfn.ANCHORARRAY(G209),0))),K211&amp;"Por favor no seleccionar los criterios de impacto",L198)</f>
        <v>0</v>
      </c>
      <c r="N198" s="276"/>
      <c r="O198" s="278"/>
      <c r="P198" s="280"/>
      <c r="Q198" s="201">
        <v>6</v>
      </c>
      <c r="R198" s="112"/>
      <c r="S198" s="201" t="str">
        <f t="shared" si="93"/>
        <v/>
      </c>
      <c r="T198" s="113"/>
      <c r="U198" s="113"/>
      <c r="V198" s="167" t="str">
        <f t="shared" si="86"/>
        <v/>
      </c>
      <c r="W198" s="113"/>
      <c r="X198" s="113"/>
      <c r="Y198" s="113"/>
      <c r="Z198" s="165" t="str">
        <f>IFERROR(IF(S197="Probabilidad",(K193-(+K193*V198)),IF(S198="Impacto",K193,"")),"")</f>
        <v/>
      </c>
      <c r="AA198" s="166" t="str">
        <f t="shared" si="94"/>
        <v/>
      </c>
      <c r="AB198" s="167" t="str">
        <f t="shared" si="95"/>
        <v/>
      </c>
      <c r="AC198" s="166" t="str">
        <f t="shared" si="96"/>
        <v/>
      </c>
      <c r="AD198" s="167" t="str">
        <f t="shared" si="98"/>
        <v/>
      </c>
      <c r="AE198" s="168" t="str">
        <f t="shared" si="97"/>
        <v/>
      </c>
      <c r="AF198" s="113"/>
      <c r="AG198" s="191"/>
      <c r="AH198" s="192"/>
      <c r="AI198" s="114"/>
      <c r="AJ198" s="114"/>
      <c r="AK198" s="191"/>
      <c r="AL198" s="192"/>
      <c r="AM198" s="155"/>
      <c r="AN198" s="155"/>
      <c r="AO198" s="155"/>
      <c r="AP198" s="155"/>
      <c r="AQ198" s="155"/>
      <c r="AR198" s="155"/>
      <c r="AS198" s="155"/>
      <c r="AT198" s="155"/>
      <c r="AU198" s="155"/>
      <c r="AV198" s="155"/>
      <c r="AW198" s="155"/>
      <c r="AX198" s="155"/>
      <c r="AY198" s="155"/>
      <c r="AZ198" s="155"/>
      <c r="BA198" s="155"/>
      <c r="BB198" s="155"/>
      <c r="BC198" s="155"/>
      <c r="BD198" s="155"/>
      <c r="BE198" s="155"/>
      <c r="BF198" s="155"/>
      <c r="BG198" s="155"/>
      <c r="BH198" s="155"/>
      <c r="BI198" s="155"/>
      <c r="BJ198" s="155"/>
      <c r="BK198" s="155"/>
      <c r="BL198" s="155"/>
      <c r="BM198" s="155"/>
      <c r="BN198" s="155"/>
      <c r="BO198" s="155"/>
      <c r="BP198" s="155"/>
      <c r="BQ198" s="155"/>
      <c r="BR198" s="155"/>
    </row>
    <row r="199" spans="1:70" s="156" customFormat="1" ht="93.75" customHeight="1" x14ac:dyDescent="0.25">
      <c r="A199" s="266">
        <v>32</v>
      </c>
      <c r="B199" s="267" t="s">
        <v>213</v>
      </c>
      <c r="C199" s="267" t="s">
        <v>628</v>
      </c>
      <c r="D199" s="270" t="s">
        <v>132</v>
      </c>
      <c r="E199" s="270" t="s">
        <v>632</v>
      </c>
      <c r="F199" s="270" t="s">
        <v>633</v>
      </c>
      <c r="G199" s="362" t="s">
        <v>634</v>
      </c>
      <c r="H199" s="270" t="s">
        <v>437</v>
      </c>
      <c r="I199" s="281">
        <v>5001</v>
      </c>
      <c r="J199" s="275" t="str">
        <f>IF(I199&lt;=0,"",IF(I199&lt;=2,"Muy Baja",IF(I199&lt;=24,"Baja",IF(I199&lt;=500,"Media",IF(I199&lt;=5000,"Alta","Muy Alta")))))</f>
        <v>Muy Alta</v>
      </c>
      <c r="K199" s="277">
        <f>IF(J199="","",IF(J199="Muy Baja",0.2,IF(J199="Baja",0.4,IF(J199="Media",0.6,IF(J199="Alta",0.8,IF(J199="Muy Alta",1,))))))</f>
        <v>1</v>
      </c>
      <c r="L199" s="273" t="s">
        <v>98</v>
      </c>
      <c r="M199" s="277" t="str">
        <f>IF(NOT(ISERROR(MATCH(L199,'[6]Tabla Impacto'!$B$221:$B$223,0))),'[6]Tabla Impacto'!$F$223&amp;"Por favor no seleccionar los criterios de impacto(Afectación Económica o presupuestal y Pérdida Reputacional)",L199)</f>
        <v>El riesgo afecta la imagen de la entidad con algunos usuarios de relevancia frente al logro de los objetivos</v>
      </c>
      <c r="N199" s="275" t="str">
        <f>+IF(OR(M199='[6]Tabla Impacto'!$C$11,M199='[6]Tabla Impacto'!$D$11),"Leve",IF(OR(M199='[6]Tabla Impacto'!$C$12,M199='[6]Tabla Impacto'!$D$12),"Menor",IF(OR(M199='[6]Tabla Impacto'!$C$13,M199='[6]Tabla Impacto'!$D$13),"Moderado",IF(OR(M199='[6]Tabla Impacto'!$C$14,M199='[6]Tabla Impacto'!$D$14),"Mayor",IF(OR(M199='[6]Tabla Impacto'!$C$15,M199='[6]Tabla Impacto'!$D$15),"Catastrófico","")))))</f>
        <v>Moderado</v>
      </c>
      <c r="O199" s="277">
        <f>IF(N199="","",IF(N199="Leve",0.2,IF(N199="Menor",0.4,IF(N199="Moderado",0.6,IF(N199="Mayor",0.8,IF(N199="Catastrófico",1,))))))</f>
        <v>0.6</v>
      </c>
      <c r="P199" s="279" t="str">
        <f>IF(OR(AND(J199="Muy Baja",N199="Leve"),AND(J199="Muy Baja",N199="Menor"),AND(J199="Baja",N199="Leve")),"Bajo",IF(OR(AND(J199="Muy baja",N199="Moderado"),AND(J199="Baja",N199="Menor"),AND(J199="Baja",N199="Moderado"),AND(J199="Media",N199="Leve"),AND(J199="Media",N199="Menor"),AND(J199="Media",N199="Moderado"),AND(J199="Alta",N199="Leve"),AND(J199="Alta",N199="Menor")),"Moderado",IF(OR(AND(J199="Muy Baja",N199="Mayor"),AND(J199="Baja",N199="Mayor"),AND(J199="Media",N199="Mayor"),AND(J199="Alta",N199="Moderado"),AND(J199="Alta",N199="Mayor"),AND(J199="Muy Alta",N199="Leve"),AND(J199="Muy Alta",N199="Menor"),AND(J199="Muy Alta",N199="Moderado"),AND(J199="Muy Alta",N199="Mayor")),"Alto",IF(OR(AND(J199="Muy Baja",N199="Catastrófico"),AND(J199="Baja",N199="Catastrófico"),AND(J199="Media",N199="Catastrófico"),AND(J199="Alta",N199="Catastrófico"),AND(J199="Muy Alta",N199="Catastrófico")),"Extremo",""))))</f>
        <v>Alto</v>
      </c>
      <c r="Q199" s="201">
        <v>1</v>
      </c>
      <c r="R199" s="112" t="s">
        <v>653</v>
      </c>
      <c r="S199" s="201" t="str">
        <f t="shared" si="93"/>
        <v>Probabilidad</v>
      </c>
      <c r="T199" s="113" t="s">
        <v>14</v>
      </c>
      <c r="U199" s="113" t="s">
        <v>9</v>
      </c>
      <c r="V199" s="167" t="str">
        <f t="shared" si="86"/>
        <v>40%</v>
      </c>
      <c r="W199" s="113" t="s">
        <v>19</v>
      </c>
      <c r="X199" s="113" t="s">
        <v>22</v>
      </c>
      <c r="Y199" s="113" t="s">
        <v>117</v>
      </c>
      <c r="Z199" s="165">
        <f t="shared" ref="Z199:Z229" si="99">IFERROR(IF(S199="Probabilidad",(K199-(+K199*V199)),IF(S199="Impacto",K199,"")),"")</f>
        <v>0.6</v>
      </c>
      <c r="AA199" s="166" t="str">
        <f t="shared" si="94"/>
        <v>Media</v>
      </c>
      <c r="AB199" s="167">
        <f t="shared" si="95"/>
        <v>0.6</v>
      </c>
      <c r="AC199" s="166" t="str">
        <f t="shared" si="96"/>
        <v>Moderado</v>
      </c>
      <c r="AD199" s="167">
        <f t="shared" si="98"/>
        <v>0.6</v>
      </c>
      <c r="AE199" s="168" t="str">
        <f t="shared" si="97"/>
        <v>Moderado</v>
      </c>
      <c r="AF199" s="113" t="s">
        <v>31</v>
      </c>
      <c r="AG199" s="191"/>
      <c r="AH199" s="192"/>
      <c r="AI199" s="114"/>
      <c r="AJ199" s="114"/>
      <c r="AK199" s="191"/>
      <c r="AL199" s="192"/>
      <c r="AM199" s="155"/>
      <c r="AN199" s="155"/>
      <c r="AO199" s="155"/>
      <c r="AP199" s="155"/>
      <c r="AQ199" s="155"/>
      <c r="AR199" s="155"/>
      <c r="AS199" s="155"/>
      <c r="AT199" s="155"/>
      <c r="AU199" s="155"/>
      <c r="AV199" s="155"/>
      <c r="AW199" s="155"/>
      <c r="AX199" s="155"/>
      <c r="AY199" s="155"/>
      <c r="AZ199" s="155"/>
      <c r="BA199" s="155"/>
      <c r="BB199" s="155"/>
      <c r="BC199" s="155"/>
      <c r="BD199" s="155"/>
      <c r="BE199" s="155"/>
      <c r="BF199" s="155"/>
      <c r="BG199" s="155"/>
      <c r="BH199" s="155"/>
      <c r="BI199" s="155"/>
      <c r="BJ199" s="155"/>
      <c r="BK199" s="155"/>
      <c r="BL199" s="155"/>
      <c r="BM199" s="155"/>
      <c r="BN199" s="155"/>
      <c r="BO199" s="155"/>
      <c r="BP199" s="155"/>
      <c r="BQ199" s="155"/>
      <c r="BR199" s="155"/>
    </row>
    <row r="200" spans="1:70" s="156" customFormat="1" ht="93.75" customHeight="1" x14ac:dyDescent="0.25">
      <c r="A200" s="266"/>
      <c r="B200" s="294"/>
      <c r="C200" s="294"/>
      <c r="D200" s="270"/>
      <c r="E200" s="270"/>
      <c r="F200" s="270"/>
      <c r="G200" s="362"/>
      <c r="H200" s="270"/>
      <c r="I200" s="281"/>
      <c r="J200" s="275"/>
      <c r="K200" s="277"/>
      <c r="L200" s="273"/>
      <c r="M200" s="277">
        <f ca="1">IF(NOT(ISERROR(MATCH(L200,_xlfn.ANCHORARRAY(G211),0))),K213&amp;"Por favor no seleccionar los criterios de impacto",L200)</f>
        <v>0</v>
      </c>
      <c r="N200" s="275"/>
      <c r="O200" s="277"/>
      <c r="P200" s="279"/>
      <c r="Q200" s="201">
        <v>2</v>
      </c>
      <c r="R200" s="112" t="s">
        <v>654</v>
      </c>
      <c r="S200" s="201" t="str">
        <f t="shared" si="93"/>
        <v>Probabilidad</v>
      </c>
      <c r="T200" s="113" t="s">
        <v>14</v>
      </c>
      <c r="U200" s="113" t="s">
        <v>9</v>
      </c>
      <c r="V200" s="167" t="str">
        <f t="shared" si="86"/>
        <v>40%</v>
      </c>
      <c r="W200" s="113" t="s">
        <v>19</v>
      </c>
      <c r="X200" s="113" t="s">
        <v>22</v>
      </c>
      <c r="Y200" s="113" t="s">
        <v>117</v>
      </c>
      <c r="Z200" s="165">
        <f>IFERROR(IF(S200="Probabilidad",(K199-(+K199*V200)),IF(S200="Impacto",K199,"")),"")</f>
        <v>0.6</v>
      </c>
      <c r="AA200" s="166" t="str">
        <f t="shared" si="94"/>
        <v>Media</v>
      </c>
      <c r="AB200" s="167">
        <f t="shared" si="95"/>
        <v>0.6</v>
      </c>
      <c r="AC200" s="166" t="str">
        <f t="shared" si="96"/>
        <v>Moderado</v>
      </c>
      <c r="AD200" s="167">
        <f>IFERROR(IF(S200="Impacto",(O199-(+O199*V200)),IF(S200="Probabilidad",O199,"")),"")</f>
        <v>0.6</v>
      </c>
      <c r="AE200" s="168" t="str">
        <f t="shared" si="97"/>
        <v>Moderado</v>
      </c>
      <c r="AF200" s="113" t="s">
        <v>134</v>
      </c>
      <c r="AG200" s="191"/>
      <c r="AH200" s="192"/>
      <c r="AI200" s="114"/>
      <c r="AJ200" s="114"/>
      <c r="AK200" s="191"/>
      <c r="AL200" s="192"/>
      <c r="AM200" s="155"/>
      <c r="AN200" s="155"/>
      <c r="AO200" s="155"/>
      <c r="AP200" s="155"/>
      <c r="AQ200" s="155"/>
      <c r="AR200" s="155"/>
      <c r="AS200" s="155"/>
      <c r="AT200" s="155"/>
      <c r="AU200" s="155"/>
      <c r="AV200" s="155"/>
      <c r="AW200" s="155"/>
      <c r="AX200" s="155"/>
      <c r="AY200" s="155"/>
      <c r="AZ200" s="155"/>
      <c r="BA200" s="155"/>
      <c r="BB200" s="155"/>
      <c r="BC200" s="155"/>
      <c r="BD200" s="155"/>
      <c r="BE200" s="155"/>
      <c r="BF200" s="155"/>
      <c r="BG200" s="155"/>
      <c r="BH200" s="155"/>
      <c r="BI200" s="155"/>
      <c r="BJ200" s="155"/>
      <c r="BK200" s="155"/>
      <c r="BL200" s="155"/>
      <c r="BM200" s="155"/>
      <c r="BN200" s="155"/>
      <c r="BO200" s="155"/>
      <c r="BP200" s="155"/>
      <c r="BQ200" s="155"/>
      <c r="BR200" s="155"/>
    </row>
    <row r="201" spans="1:70" s="156" customFormat="1" ht="16.5" hidden="1" customHeight="1" x14ac:dyDescent="0.25">
      <c r="A201" s="266"/>
      <c r="B201" s="268"/>
      <c r="C201" s="268"/>
      <c r="D201" s="271"/>
      <c r="E201" s="271"/>
      <c r="F201" s="271"/>
      <c r="G201" s="363"/>
      <c r="H201" s="271"/>
      <c r="I201" s="266"/>
      <c r="J201" s="276"/>
      <c r="K201" s="278"/>
      <c r="L201" s="274"/>
      <c r="M201" s="278">
        <f ca="1">IF(NOT(ISERROR(MATCH(L201,_xlfn.ANCHORARRAY(G212),0))),K214&amp;"Por favor no seleccionar los criterios de impacto",L201)</f>
        <v>0</v>
      </c>
      <c r="N201" s="276"/>
      <c r="O201" s="278"/>
      <c r="P201" s="280"/>
      <c r="Q201" s="201">
        <v>3</v>
      </c>
      <c r="R201" s="112"/>
      <c r="S201" s="201" t="str">
        <f t="shared" si="93"/>
        <v/>
      </c>
      <c r="T201" s="113"/>
      <c r="U201" s="113"/>
      <c r="V201" s="167" t="str">
        <f t="shared" si="86"/>
        <v/>
      </c>
      <c r="W201" s="113"/>
      <c r="X201" s="113"/>
      <c r="Y201" s="113"/>
      <c r="Z201" s="165" t="str">
        <f>IFERROR(IF(S201="Probabilidad",(K199-(+K199*V201)),IF(S201="Impacto",K199,"")),"")</f>
        <v/>
      </c>
      <c r="AA201" s="166" t="str">
        <f t="shared" si="94"/>
        <v/>
      </c>
      <c r="AB201" s="167" t="str">
        <f t="shared" si="95"/>
        <v/>
      </c>
      <c r="AC201" s="166" t="str">
        <f t="shared" si="96"/>
        <v/>
      </c>
      <c r="AD201" s="167" t="str">
        <f t="shared" si="98"/>
        <v/>
      </c>
      <c r="AE201" s="168" t="str">
        <f t="shared" si="97"/>
        <v/>
      </c>
      <c r="AF201" s="113"/>
      <c r="AG201" s="191"/>
      <c r="AH201" s="192"/>
      <c r="AI201" s="114"/>
      <c r="AJ201" s="114"/>
      <c r="AK201" s="191"/>
      <c r="AL201" s="192"/>
      <c r="AM201" s="155"/>
      <c r="AN201" s="155"/>
      <c r="AO201" s="155"/>
      <c r="AP201" s="155"/>
      <c r="AQ201" s="155"/>
      <c r="AR201" s="155"/>
      <c r="AS201" s="155"/>
      <c r="AT201" s="155"/>
      <c r="AU201" s="155"/>
      <c r="AV201" s="155"/>
      <c r="AW201" s="155"/>
      <c r="AX201" s="155"/>
      <c r="AY201" s="155"/>
      <c r="AZ201" s="155"/>
      <c r="BA201" s="155"/>
      <c r="BB201" s="155"/>
      <c r="BC201" s="155"/>
      <c r="BD201" s="155"/>
      <c r="BE201" s="155"/>
      <c r="BF201" s="155"/>
      <c r="BG201" s="155"/>
      <c r="BH201" s="155"/>
      <c r="BI201" s="155"/>
      <c r="BJ201" s="155"/>
      <c r="BK201" s="155"/>
      <c r="BL201" s="155"/>
      <c r="BM201" s="155"/>
      <c r="BN201" s="155"/>
      <c r="BO201" s="155"/>
      <c r="BP201" s="155"/>
      <c r="BQ201" s="155"/>
      <c r="BR201" s="155"/>
    </row>
    <row r="202" spans="1:70" s="156" customFormat="1" ht="16.5" hidden="1" customHeight="1" x14ac:dyDescent="0.25">
      <c r="A202" s="266"/>
      <c r="B202" s="268"/>
      <c r="C202" s="268"/>
      <c r="D202" s="271"/>
      <c r="E202" s="271"/>
      <c r="F202" s="271"/>
      <c r="G202" s="363"/>
      <c r="H202" s="271"/>
      <c r="I202" s="266"/>
      <c r="J202" s="276"/>
      <c r="K202" s="278"/>
      <c r="L202" s="274"/>
      <c r="M202" s="278">
        <f ca="1">IF(NOT(ISERROR(MATCH(L202,_xlfn.ANCHORARRAY(G213),0))),K215&amp;"Por favor no seleccionar los criterios de impacto",L202)</f>
        <v>0</v>
      </c>
      <c r="N202" s="276"/>
      <c r="O202" s="278"/>
      <c r="P202" s="280"/>
      <c r="Q202" s="201">
        <v>4</v>
      </c>
      <c r="R202" s="112"/>
      <c r="S202" s="201" t="str">
        <f t="shared" si="93"/>
        <v/>
      </c>
      <c r="T202" s="113"/>
      <c r="U202" s="113"/>
      <c r="V202" s="167" t="str">
        <f t="shared" si="86"/>
        <v/>
      </c>
      <c r="W202" s="113"/>
      <c r="X202" s="113"/>
      <c r="Y202" s="113"/>
      <c r="Z202" s="165" t="str">
        <f>IFERROR(IF(S202="Probabilidad",(K199-(+K199*V202)),IF(S202="Impacto",K199,"")),"")</f>
        <v/>
      </c>
      <c r="AA202" s="166" t="str">
        <f t="shared" si="94"/>
        <v/>
      </c>
      <c r="AB202" s="167" t="str">
        <f t="shared" si="95"/>
        <v/>
      </c>
      <c r="AC202" s="166" t="str">
        <f t="shared" si="96"/>
        <v/>
      </c>
      <c r="AD202" s="167" t="str">
        <f t="shared" si="98"/>
        <v/>
      </c>
      <c r="AE202" s="168" t="str">
        <f t="shared" si="97"/>
        <v/>
      </c>
      <c r="AF202" s="113"/>
      <c r="AG202" s="191"/>
      <c r="AH202" s="192"/>
      <c r="AI202" s="114"/>
      <c r="AJ202" s="114"/>
      <c r="AK202" s="191"/>
      <c r="AL202" s="192"/>
      <c r="AM202" s="155"/>
      <c r="AN202" s="155"/>
      <c r="AO202" s="155"/>
      <c r="AP202" s="155"/>
      <c r="AQ202" s="155"/>
      <c r="AR202" s="155"/>
      <c r="AS202" s="155"/>
      <c r="AT202" s="155"/>
      <c r="AU202" s="155"/>
      <c r="AV202" s="155"/>
      <c r="AW202" s="155"/>
      <c r="AX202" s="155"/>
      <c r="AY202" s="155"/>
      <c r="AZ202" s="155"/>
      <c r="BA202" s="155"/>
      <c r="BB202" s="155"/>
      <c r="BC202" s="155"/>
      <c r="BD202" s="155"/>
      <c r="BE202" s="155"/>
      <c r="BF202" s="155"/>
      <c r="BG202" s="155"/>
      <c r="BH202" s="155"/>
      <c r="BI202" s="155"/>
      <c r="BJ202" s="155"/>
      <c r="BK202" s="155"/>
      <c r="BL202" s="155"/>
      <c r="BM202" s="155"/>
      <c r="BN202" s="155"/>
      <c r="BO202" s="155"/>
      <c r="BP202" s="155"/>
      <c r="BQ202" s="155"/>
      <c r="BR202" s="155"/>
    </row>
    <row r="203" spans="1:70" s="156" customFormat="1" ht="16.5" hidden="1" customHeight="1" x14ac:dyDescent="0.25">
      <c r="A203" s="266"/>
      <c r="B203" s="268"/>
      <c r="C203" s="268"/>
      <c r="D203" s="271"/>
      <c r="E203" s="271"/>
      <c r="F203" s="271"/>
      <c r="G203" s="363"/>
      <c r="H203" s="271"/>
      <c r="I203" s="266"/>
      <c r="J203" s="276"/>
      <c r="K203" s="278"/>
      <c r="L203" s="274"/>
      <c r="M203" s="278">
        <f ca="1">IF(NOT(ISERROR(MATCH(L203,_xlfn.ANCHORARRAY(G214),0))),K216&amp;"Por favor no seleccionar los criterios de impacto",L203)</f>
        <v>0</v>
      </c>
      <c r="N203" s="276"/>
      <c r="O203" s="278"/>
      <c r="P203" s="280"/>
      <c r="Q203" s="201">
        <v>5</v>
      </c>
      <c r="R203" s="112"/>
      <c r="S203" s="201" t="str">
        <f t="shared" si="93"/>
        <v/>
      </c>
      <c r="T203" s="113"/>
      <c r="U203" s="113"/>
      <c r="V203" s="167" t="str">
        <f t="shared" si="86"/>
        <v/>
      </c>
      <c r="W203" s="113"/>
      <c r="X203" s="113"/>
      <c r="Y203" s="113"/>
      <c r="Z203" s="165" t="str">
        <f>IFERROR(IF(S203="Probabilidad",(K199-(+K199*V203)),IF(S203="Impacto",K199,"")),"")</f>
        <v/>
      </c>
      <c r="AA203" s="166" t="str">
        <f t="shared" si="94"/>
        <v/>
      </c>
      <c r="AB203" s="167" t="str">
        <f t="shared" si="95"/>
        <v/>
      </c>
      <c r="AC203" s="166" t="str">
        <f t="shared" si="96"/>
        <v/>
      </c>
      <c r="AD203" s="167" t="str">
        <f t="shared" si="98"/>
        <v/>
      </c>
      <c r="AE203" s="168" t="str">
        <f t="shared" si="97"/>
        <v/>
      </c>
      <c r="AF203" s="113"/>
      <c r="AG203" s="191"/>
      <c r="AH203" s="192"/>
      <c r="AI203" s="114"/>
      <c r="AJ203" s="114"/>
      <c r="AK203" s="191"/>
      <c r="AL203" s="192"/>
      <c r="AM203" s="155"/>
      <c r="AN203" s="155"/>
      <c r="AO203" s="155"/>
      <c r="AP203" s="155"/>
      <c r="AQ203" s="155"/>
      <c r="AR203" s="155"/>
      <c r="AS203" s="155"/>
      <c r="AT203" s="155"/>
      <c r="AU203" s="155"/>
      <c r="AV203" s="155"/>
      <c r="AW203" s="155"/>
      <c r="AX203" s="155"/>
      <c r="AY203" s="155"/>
      <c r="AZ203" s="155"/>
      <c r="BA203" s="155"/>
      <c r="BB203" s="155"/>
      <c r="BC203" s="155"/>
      <c r="BD203" s="155"/>
      <c r="BE203" s="155"/>
      <c r="BF203" s="155"/>
      <c r="BG203" s="155"/>
      <c r="BH203" s="155"/>
      <c r="BI203" s="155"/>
      <c r="BJ203" s="155"/>
      <c r="BK203" s="155"/>
      <c r="BL203" s="155"/>
      <c r="BM203" s="155"/>
      <c r="BN203" s="155"/>
      <c r="BO203" s="155"/>
      <c r="BP203" s="155"/>
      <c r="BQ203" s="155"/>
      <c r="BR203" s="155"/>
    </row>
    <row r="204" spans="1:70" s="156" customFormat="1" ht="16.5" hidden="1" customHeight="1" x14ac:dyDescent="0.25">
      <c r="A204" s="266"/>
      <c r="B204" s="269"/>
      <c r="C204" s="269"/>
      <c r="D204" s="271"/>
      <c r="E204" s="271"/>
      <c r="F204" s="271"/>
      <c r="G204" s="363"/>
      <c r="H204" s="271"/>
      <c r="I204" s="266"/>
      <c r="J204" s="276"/>
      <c r="K204" s="278"/>
      <c r="L204" s="274"/>
      <c r="M204" s="278">
        <f ca="1">IF(NOT(ISERROR(MATCH(L204,_xlfn.ANCHORARRAY(G215),0))),K217&amp;"Por favor no seleccionar los criterios de impacto",L204)</f>
        <v>0</v>
      </c>
      <c r="N204" s="276"/>
      <c r="O204" s="278"/>
      <c r="P204" s="280"/>
      <c r="Q204" s="201">
        <v>6</v>
      </c>
      <c r="R204" s="112"/>
      <c r="S204" s="201" t="str">
        <f t="shared" si="93"/>
        <v/>
      </c>
      <c r="T204" s="113"/>
      <c r="U204" s="113"/>
      <c r="V204" s="167" t="str">
        <f t="shared" si="86"/>
        <v/>
      </c>
      <c r="W204" s="113"/>
      <c r="X204" s="113"/>
      <c r="Y204" s="113"/>
      <c r="Z204" s="165" t="str">
        <f>IFERROR(IF(S204="Probabilidad",(K199-(+K199*V204)),IF(S204="Impacto",K199,"")),"")</f>
        <v/>
      </c>
      <c r="AA204" s="166" t="str">
        <f t="shared" si="94"/>
        <v/>
      </c>
      <c r="AB204" s="167" t="str">
        <f t="shared" si="95"/>
        <v/>
      </c>
      <c r="AC204" s="166" t="str">
        <f t="shared" si="96"/>
        <v/>
      </c>
      <c r="AD204" s="167" t="str">
        <f t="shared" si="98"/>
        <v/>
      </c>
      <c r="AE204" s="168" t="str">
        <f t="shared" si="97"/>
        <v/>
      </c>
      <c r="AF204" s="113"/>
      <c r="AG204" s="191"/>
      <c r="AH204" s="192"/>
      <c r="AI204" s="114"/>
      <c r="AJ204" s="114"/>
      <c r="AK204" s="191"/>
      <c r="AL204" s="192"/>
      <c r="AM204" s="155"/>
      <c r="AN204" s="155"/>
      <c r="AO204" s="155"/>
      <c r="AP204" s="155"/>
      <c r="AQ204" s="155"/>
      <c r="AR204" s="155"/>
      <c r="AS204" s="155"/>
      <c r="AT204" s="155"/>
      <c r="AU204" s="155"/>
      <c r="AV204" s="155"/>
      <c r="AW204" s="155"/>
      <c r="AX204" s="155"/>
      <c r="AY204" s="155"/>
      <c r="AZ204" s="155"/>
      <c r="BA204" s="155"/>
      <c r="BB204" s="155"/>
      <c r="BC204" s="155"/>
      <c r="BD204" s="155"/>
      <c r="BE204" s="155"/>
      <c r="BF204" s="155"/>
      <c r="BG204" s="155"/>
      <c r="BH204" s="155"/>
      <c r="BI204" s="155"/>
      <c r="BJ204" s="155"/>
      <c r="BK204" s="155"/>
      <c r="BL204" s="155"/>
      <c r="BM204" s="155"/>
      <c r="BN204" s="155"/>
      <c r="BO204" s="155"/>
      <c r="BP204" s="155"/>
      <c r="BQ204" s="155"/>
      <c r="BR204" s="155"/>
    </row>
    <row r="205" spans="1:70" s="156" customFormat="1" ht="137.25" customHeight="1" x14ac:dyDescent="0.25">
      <c r="A205" s="266">
        <v>33</v>
      </c>
      <c r="B205" s="267" t="s">
        <v>213</v>
      </c>
      <c r="C205" s="267" t="s">
        <v>635</v>
      </c>
      <c r="D205" s="270" t="s">
        <v>132</v>
      </c>
      <c r="E205" s="270" t="s">
        <v>636</v>
      </c>
      <c r="F205" s="270" t="s">
        <v>637</v>
      </c>
      <c r="G205" s="362" t="s">
        <v>638</v>
      </c>
      <c r="H205" s="270" t="s">
        <v>437</v>
      </c>
      <c r="I205" s="281">
        <v>5001</v>
      </c>
      <c r="J205" s="275" t="str">
        <f>IF(I205&lt;=0,"",IF(I205&lt;=2,"Muy Baja",IF(I205&lt;=24,"Baja",IF(I205&lt;=500,"Media",IF(I205&lt;=5000,"Alta","Muy Alta")))))</f>
        <v>Muy Alta</v>
      </c>
      <c r="K205" s="277">
        <f>IF(J205="","",IF(J205="Muy Baja",0.2,IF(J205="Baja",0.4,IF(J205="Media",0.6,IF(J205="Alta",0.8,IF(J205="Muy Alta",1,))))))</f>
        <v>1</v>
      </c>
      <c r="L205" s="273" t="s">
        <v>98</v>
      </c>
      <c r="M205" s="277" t="str">
        <f>IF(NOT(ISERROR(MATCH(L205,'[6]Tabla Impacto'!$B$221:$B$223,0))),'[6]Tabla Impacto'!$F$223&amp;"Por favor no seleccionar los criterios de impacto(Afectación Económica o presupuestal y Pérdida Reputacional)",L205)</f>
        <v>El riesgo afecta la imagen de la entidad con algunos usuarios de relevancia frente al logro de los objetivos</v>
      </c>
      <c r="N205" s="275" t="str">
        <f>+IF(OR(M205='[6]Tabla Impacto'!$C$11,M205='[6]Tabla Impacto'!$D$11),"Leve",IF(OR(M205='[6]Tabla Impacto'!$C$12,M205='[6]Tabla Impacto'!$D$12),"Menor",IF(OR(M205='[6]Tabla Impacto'!$C$13,M205='[6]Tabla Impacto'!$D$13),"Moderado",IF(OR(M205='[6]Tabla Impacto'!$C$14,M205='[6]Tabla Impacto'!$D$14),"Mayor",IF(OR(M205='[6]Tabla Impacto'!$C$15,M205='[6]Tabla Impacto'!$D$15),"Catastrófico","")))))</f>
        <v>Moderado</v>
      </c>
      <c r="O205" s="277">
        <f>IF(N205="","",IF(N205="Leve",0.2,IF(N205="Menor",0.4,IF(N205="Moderado",0.6,IF(N205="Mayor",0.8,IF(N205="Catastrófico",1,))))))</f>
        <v>0.6</v>
      </c>
      <c r="P205" s="279" t="str">
        <f>IF(OR(AND(J205="Muy Baja",N205="Leve"),AND(J205="Muy Baja",N205="Menor"),AND(J205="Baja",N205="Leve")),"Bajo",IF(OR(AND(J205="Muy baja",N205="Moderado"),AND(J205="Baja",N205="Menor"),AND(J205="Baja",N205="Moderado"),AND(J205="Media",N205="Leve"),AND(J205="Media",N205="Menor"),AND(J205="Media",N205="Moderado"),AND(J205="Alta",N205="Leve"),AND(J205="Alta",N205="Menor")),"Moderado",IF(OR(AND(J205="Muy Baja",N205="Mayor"),AND(J205="Baja",N205="Mayor"),AND(J205="Media",N205="Mayor"),AND(J205="Alta",N205="Moderado"),AND(J205="Alta",N205="Mayor"),AND(J205="Muy Alta",N205="Leve"),AND(J205="Muy Alta",N205="Menor"),AND(J205="Muy Alta",N205="Moderado"),AND(J205="Muy Alta",N205="Mayor")),"Alto",IF(OR(AND(J205="Muy Baja",N205="Catastrófico"),AND(J205="Baja",N205="Catastrófico"),AND(J205="Media",N205="Catastrófico"),AND(J205="Alta",N205="Catastrófico"),AND(J205="Muy Alta",N205="Catastrófico")),"Extremo",""))))</f>
        <v>Alto</v>
      </c>
      <c r="Q205" s="201">
        <v>1</v>
      </c>
      <c r="R205" s="112" t="s">
        <v>655</v>
      </c>
      <c r="S205" s="201" t="str">
        <f t="shared" si="93"/>
        <v>Probabilidad</v>
      </c>
      <c r="T205" s="113" t="s">
        <v>14</v>
      </c>
      <c r="U205" s="113" t="s">
        <v>9</v>
      </c>
      <c r="V205" s="167" t="str">
        <f t="shared" si="86"/>
        <v>40%</v>
      </c>
      <c r="W205" s="113" t="s">
        <v>19</v>
      </c>
      <c r="X205" s="113" t="s">
        <v>22</v>
      </c>
      <c r="Y205" s="113" t="s">
        <v>117</v>
      </c>
      <c r="Z205" s="165">
        <f t="shared" si="99"/>
        <v>0.6</v>
      </c>
      <c r="AA205" s="166" t="str">
        <f t="shared" si="94"/>
        <v>Media</v>
      </c>
      <c r="AB205" s="167">
        <f t="shared" si="95"/>
        <v>0.6</v>
      </c>
      <c r="AC205" s="166" t="str">
        <f t="shared" si="96"/>
        <v>Moderado</v>
      </c>
      <c r="AD205" s="167">
        <f t="shared" si="98"/>
        <v>0.6</v>
      </c>
      <c r="AE205" s="168" t="str">
        <f t="shared" si="97"/>
        <v>Moderado</v>
      </c>
      <c r="AF205" s="113" t="s">
        <v>31</v>
      </c>
      <c r="AG205" s="191"/>
      <c r="AH205" s="192"/>
      <c r="AI205" s="114"/>
      <c r="AJ205" s="114"/>
      <c r="AK205" s="191"/>
      <c r="AL205" s="192"/>
      <c r="AM205" s="155"/>
      <c r="AN205" s="155"/>
      <c r="AO205" s="155"/>
      <c r="AP205" s="155"/>
      <c r="AQ205" s="155"/>
      <c r="AR205" s="155"/>
      <c r="AS205" s="155"/>
      <c r="AT205" s="155"/>
      <c r="AU205" s="155"/>
      <c r="AV205" s="155"/>
      <c r="AW205" s="155"/>
      <c r="AX205" s="155"/>
      <c r="AY205" s="155"/>
      <c r="AZ205" s="155"/>
      <c r="BA205" s="155"/>
      <c r="BB205" s="155"/>
      <c r="BC205" s="155"/>
      <c r="BD205" s="155"/>
      <c r="BE205" s="155"/>
      <c r="BF205" s="155"/>
      <c r="BG205" s="155"/>
      <c r="BH205" s="155"/>
      <c r="BI205" s="155"/>
      <c r="BJ205" s="155"/>
      <c r="BK205" s="155"/>
      <c r="BL205" s="155"/>
      <c r="BM205" s="155"/>
      <c r="BN205" s="155"/>
      <c r="BO205" s="155"/>
      <c r="BP205" s="155"/>
      <c r="BQ205" s="155"/>
      <c r="BR205" s="155"/>
    </row>
    <row r="206" spans="1:70" s="156" customFormat="1" ht="16.5" hidden="1" customHeight="1" x14ac:dyDescent="0.25">
      <c r="A206" s="266"/>
      <c r="B206" s="268"/>
      <c r="C206" s="268"/>
      <c r="D206" s="271"/>
      <c r="E206" s="271"/>
      <c r="F206" s="271"/>
      <c r="G206" s="363"/>
      <c r="H206" s="271"/>
      <c r="I206" s="266"/>
      <c r="J206" s="276"/>
      <c r="K206" s="278"/>
      <c r="L206" s="274"/>
      <c r="M206" s="278">
        <f ca="1">IF(NOT(ISERROR(MATCH(L206,_xlfn.ANCHORARRAY(G217),0))),K219&amp;"Por favor no seleccionar los criterios de impacto",L206)</f>
        <v>0</v>
      </c>
      <c r="N206" s="276"/>
      <c r="O206" s="278"/>
      <c r="P206" s="280"/>
      <c r="Q206" s="201">
        <v>2</v>
      </c>
      <c r="R206" s="112"/>
      <c r="S206" s="201" t="str">
        <f t="shared" si="93"/>
        <v/>
      </c>
      <c r="T206" s="113"/>
      <c r="U206" s="113"/>
      <c r="V206" s="167" t="str">
        <f t="shared" si="86"/>
        <v/>
      </c>
      <c r="W206" s="113"/>
      <c r="X206" s="113"/>
      <c r="Y206" s="113"/>
      <c r="Z206" s="165" t="str">
        <f>IFERROR(IF(S206="Probabilidad",(K205-(+K205*V206)),IF(S206="Impacto",K205,"")),"")</f>
        <v/>
      </c>
      <c r="AA206" s="166" t="str">
        <f t="shared" si="94"/>
        <v/>
      </c>
      <c r="AB206" s="167" t="str">
        <f t="shared" si="95"/>
        <v/>
      </c>
      <c r="AC206" s="166" t="str">
        <f t="shared" si="96"/>
        <v/>
      </c>
      <c r="AD206" s="167" t="str">
        <f t="shared" si="98"/>
        <v/>
      </c>
      <c r="AE206" s="168" t="str">
        <f t="shared" si="97"/>
        <v/>
      </c>
      <c r="AF206" s="113"/>
      <c r="AG206" s="191"/>
      <c r="AH206" s="192"/>
      <c r="AI206" s="114"/>
      <c r="AJ206" s="114"/>
      <c r="AK206" s="191"/>
      <c r="AL206" s="192"/>
      <c r="AM206" s="155"/>
      <c r="AN206" s="155"/>
      <c r="AO206" s="155"/>
      <c r="AP206" s="155"/>
      <c r="AQ206" s="155"/>
      <c r="AR206" s="155"/>
      <c r="AS206" s="155"/>
      <c r="AT206" s="155"/>
      <c r="AU206" s="155"/>
      <c r="AV206" s="155"/>
      <c r="AW206" s="155"/>
      <c r="AX206" s="155"/>
      <c r="AY206" s="155"/>
      <c r="AZ206" s="155"/>
      <c r="BA206" s="155"/>
      <c r="BB206" s="155"/>
      <c r="BC206" s="155"/>
      <c r="BD206" s="155"/>
      <c r="BE206" s="155"/>
      <c r="BF206" s="155"/>
      <c r="BG206" s="155"/>
      <c r="BH206" s="155"/>
      <c r="BI206" s="155"/>
      <c r="BJ206" s="155"/>
      <c r="BK206" s="155"/>
      <c r="BL206" s="155"/>
      <c r="BM206" s="155"/>
      <c r="BN206" s="155"/>
      <c r="BO206" s="155"/>
      <c r="BP206" s="155"/>
      <c r="BQ206" s="155"/>
      <c r="BR206" s="155"/>
    </row>
    <row r="207" spans="1:70" s="156" customFormat="1" ht="16.5" hidden="1" customHeight="1" x14ac:dyDescent="0.25">
      <c r="A207" s="266"/>
      <c r="B207" s="268"/>
      <c r="C207" s="268"/>
      <c r="D207" s="271"/>
      <c r="E207" s="271"/>
      <c r="F207" s="271"/>
      <c r="G207" s="363"/>
      <c r="H207" s="271"/>
      <c r="I207" s="266"/>
      <c r="J207" s="276"/>
      <c r="K207" s="278"/>
      <c r="L207" s="274"/>
      <c r="M207" s="278">
        <f ca="1">IF(NOT(ISERROR(MATCH(L207,_xlfn.ANCHORARRAY(G218),0))),K220&amp;"Por favor no seleccionar los criterios de impacto",L207)</f>
        <v>0</v>
      </c>
      <c r="N207" s="276"/>
      <c r="O207" s="278"/>
      <c r="P207" s="280"/>
      <c r="Q207" s="201">
        <v>3</v>
      </c>
      <c r="R207" s="112"/>
      <c r="S207" s="201" t="str">
        <f t="shared" si="93"/>
        <v/>
      </c>
      <c r="T207" s="113"/>
      <c r="U207" s="113"/>
      <c r="V207" s="167" t="str">
        <f t="shared" si="86"/>
        <v/>
      </c>
      <c r="W207" s="113"/>
      <c r="X207" s="113"/>
      <c r="Y207" s="113"/>
      <c r="Z207" s="165" t="str">
        <f>IFERROR(IF(S207="Probabilidad",(K205-(+K205*V207)),IF(S207="Impacto",K205,"")),"")</f>
        <v/>
      </c>
      <c r="AA207" s="166" t="str">
        <f t="shared" si="94"/>
        <v/>
      </c>
      <c r="AB207" s="167" t="str">
        <f t="shared" si="95"/>
        <v/>
      </c>
      <c r="AC207" s="166" t="str">
        <f t="shared" si="96"/>
        <v/>
      </c>
      <c r="AD207" s="167" t="str">
        <f t="shared" si="98"/>
        <v/>
      </c>
      <c r="AE207" s="168" t="str">
        <f t="shared" si="97"/>
        <v/>
      </c>
      <c r="AF207" s="113"/>
      <c r="AG207" s="191"/>
      <c r="AH207" s="192"/>
      <c r="AI207" s="114"/>
      <c r="AJ207" s="114"/>
      <c r="AK207" s="191"/>
      <c r="AL207" s="192"/>
      <c r="AM207" s="155"/>
      <c r="AN207" s="155"/>
      <c r="AO207" s="155"/>
      <c r="AP207" s="155"/>
      <c r="AQ207" s="155"/>
      <c r="AR207" s="155"/>
      <c r="AS207" s="155"/>
      <c r="AT207" s="155"/>
      <c r="AU207" s="155"/>
      <c r="AV207" s="155"/>
      <c r="AW207" s="155"/>
      <c r="AX207" s="155"/>
      <c r="AY207" s="155"/>
      <c r="AZ207" s="155"/>
      <c r="BA207" s="155"/>
      <c r="BB207" s="155"/>
      <c r="BC207" s="155"/>
      <c r="BD207" s="155"/>
      <c r="BE207" s="155"/>
      <c r="BF207" s="155"/>
      <c r="BG207" s="155"/>
      <c r="BH207" s="155"/>
      <c r="BI207" s="155"/>
      <c r="BJ207" s="155"/>
      <c r="BK207" s="155"/>
      <c r="BL207" s="155"/>
      <c r="BM207" s="155"/>
      <c r="BN207" s="155"/>
      <c r="BO207" s="155"/>
      <c r="BP207" s="155"/>
      <c r="BQ207" s="155"/>
      <c r="BR207" s="155"/>
    </row>
    <row r="208" spans="1:70" s="156" customFormat="1" ht="16.5" hidden="1" customHeight="1" x14ac:dyDescent="0.25">
      <c r="A208" s="266"/>
      <c r="B208" s="268"/>
      <c r="C208" s="268"/>
      <c r="D208" s="271"/>
      <c r="E208" s="271"/>
      <c r="F208" s="271"/>
      <c r="G208" s="363"/>
      <c r="H208" s="271"/>
      <c r="I208" s="266"/>
      <c r="J208" s="276"/>
      <c r="K208" s="278"/>
      <c r="L208" s="274"/>
      <c r="M208" s="278">
        <f ca="1">IF(NOT(ISERROR(MATCH(L208,_xlfn.ANCHORARRAY(G219),0))),K221&amp;"Por favor no seleccionar los criterios de impacto",L208)</f>
        <v>0</v>
      </c>
      <c r="N208" s="276"/>
      <c r="O208" s="278"/>
      <c r="P208" s="280"/>
      <c r="Q208" s="201">
        <v>4</v>
      </c>
      <c r="R208" s="112"/>
      <c r="S208" s="201" t="str">
        <f t="shared" si="93"/>
        <v/>
      </c>
      <c r="T208" s="113"/>
      <c r="U208" s="113"/>
      <c r="V208" s="167" t="str">
        <f t="shared" si="86"/>
        <v/>
      </c>
      <c r="W208" s="113"/>
      <c r="X208" s="113"/>
      <c r="Y208" s="113"/>
      <c r="Z208" s="165" t="str">
        <f>IFERROR(IF(S208="Probabilidad",(K205-(+K205*V208)),IF(S208="Impacto",K205,"")),"")</f>
        <v/>
      </c>
      <c r="AA208" s="166" t="str">
        <f t="shared" si="94"/>
        <v/>
      </c>
      <c r="AB208" s="167" t="str">
        <f t="shared" si="95"/>
        <v/>
      </c>
      <c r="AC208" s="166" t="str">
        <f t="shared" si="96"/>
        <v/>
      </c>
      <c r="AD208" s="167" t="str">
        <f t="shared" si="98"/>
        <v/>
      </c>
      <c r="AE208" s="168" t="str">
        <f t="shared" si="97"/>
        <v/>
      </c>
      <c r="AF208" s="113"/>
      <c r="AG208" s="191"/>
      <c r="AH208" s="192"/>
      <c r="AI208" s="114"/>
      <c r="AJ208" s="114"/>
      <c r="AK208" s="191"/>
      <c r="AL208" s="192"/>
      <c r="AM208" s="155"/>
      <c r="AN208" s="155"/>
      <c r="AO208" s="155"/>
      <c r="AP208" s="155"/>
      <c r="AQ208" s="155"/>
      <c r="AR208" s="155"/>
      <c r="AS208" s="155"/>
      <c r="AT208" s="155"/>
      <c r="AU208" s="155"/>
      <c r="AV208" s="155"/>
      <c r="AW208" s="155"/>
      <c r="AX208" s="155"/>
      <c r="AY208" s="155"/>
      <c r="AZ208" s="155"/>
      <c r="BA208" s="155"/>
      <c r="BB208" s="155"/>
      <c r="BC208" s="155"/>
      <c r="BD208" s="155"/>
      <c r="BE208" s="155"/>
      <c r="BF208" s="155"/>
      <c r="BG208" s="155"/>
      <c r="BH208" s="155"/>
      <c r="BI208" s="155"/>
      <c r="BJ208" s="155"/>
      <c r="BK208" s="155"/>
      <c r="BL208" s="155"/>
      <c r="BM208" s="155"/>
      <c r="BN208" s="155"/>
      <c r="BO208" s="155"/>
      <c r="BP208" s="155"/>
      <c r="BQ208" s="155"/>
      <c r="BR208" s="155"/>
    </row>
    <row r="209" spans="1:70" s="156" customFormat="1" ht="16.5" hidden="1" customHeight="1" x14ac:dyDescent="0.25">
      <c r="A209" s="266"/>
      <c r="B209" s="268"/>
      <c r="C209" s="268"/>
      <c r="D209" s="271"/>
      <c r="E209" s="271"/>
      <c r="F209" s="271"/>
      <c r="G209" s="363"/>
      <c r="H209" s="271"/>
      <c r="I209" s="266"/>
      <c r="J209" s="276"/>
      <c r="K209" s="278"/>
      <c r="L209" s="274"/>
      <c r="M209" s="278">
        <f ca="1">IF(NOT(ISERROR(MATCH(L209,_xlfn.ANCHORARRAY(G220),0))),K222&amp;"Por favor no seleccionar los criterios de impacto",L209)</f>
        <v>0</v>
      </c>
      <c r="N209" s="276"/>
      <c r="O209" s="278"/>
      <c r="P209" s="280"/>
      <c r="Q209" s="201">
        <v>5</v>
      </c>
      <c r="R209" s="112"/>
      <c r="S209" s="201" t="str">
        <f t="shared" si="93"/>
        <v/>
      </c>
      <c r="T209" s="113"/>
      <c r="U209" s="113"/>
      <c r="V209" s="167" t="str">
        <f t="shared" si="86"/>
        <v/>
      </c>
      <c r="W209" s="113"/>
      <c r="X209" s="113"/>
      <c r="Y209" s="113"/>
      <c r="Z209" s="165" t="str">
        <f>IFERROR(IF(S209="Probabilidad",(K205-(+K205*V209)),IF(S209="Impacto",K205,"")),"")</f>
        <v/>
      </c>
      <c r="AA209" s="166" t="str">
        <f t="shared" si="94"/>
        <v/>
      </c>
      <c r="AB209" s="167" t="str">
        <f t="shared" si="95"/>
        <v/>
      </c>
      <c r="AC209" s="166" t="str">
        <f t="shared" si="96"/>
        <v/>
      </c>
      <c r="AD209" s="167" t="str">
        <f t="shared" si="98"/>
        <v/>
      </c>
      <c r="AE209" s="168" t="str">
        <f t="shared" si="97"/>
        <v/>
      </c>
      <c r="AF209" s="113"/>
      <c r="AG209" s="191"/>
      <c r="AH209" s="192"/>
      <c r="AI209" s="114"/>
      <c r="AJ209" s="114"/>
      <c r="AK209" s="191"/>
      <c r="AL209" s="192"/>
      <c r="AM209" s="155"/>
      <c r="AN209" s="155"/>
      <c r="AO209" s="155"/>
      <c r="AP209" s="155"/>
      <c r="AQ209" s="155"/>
      <c r="AR209" s="155"/>
      <c r="AS209" s="155"/>
      <c r="AT209" s="155"/>
      <c r="AU209" s="155"/>
      <c r="AV209" s="155"/>
      <c r="AW209" s="155"/>
      <c r="AX209" s="155"/>
      <c r="AY209" s="155"/>
      <c r="AZ209" s="155"/>
      <c r="BA209" s="155"/>
      <c r="BB209" s="155"/>
      <c r="BC209" s="155"/>
      <c r="BD209" s="155"/>
      <c r="BE209" s="155"/>
      <c r="BF209" s="155"/>
      <c r="BG209" s="155"/>
      <c r="BH209" s="155"/>
      <c r="BI209" s="155"/>
      <c r="BJ209" s="155"/>
      <c r="BK209" s="155"/>
      <c r="BL209" s="155"/>
      <c r="BM209" s="155"/>
      <c r="BN209" s="155"/>
      <c r="BO209" s="155"/>
      <c r="BP209" s="155"/>
      <c r="BQ209" s="155"/>
      <c r="BR209" s="155"/>
    </row>
    <row r="210" spans="1:70" s="156" customFormat="1" ht="16.5" hidden="1" customHeight="1" x14ac:dyDescent="0.25">
      <c r="A210" s="266"/>
      <c r="B210" s="269"/>
      <c r="C210" s="269"/>
      <c r="D210" s="271"/>
      <c r="E210" s="271"/>
      <c r="F210" s="271"/>
      <c r="G210" s="363"/>
      <c r="H210" s="271"/>
      <c r="I210" s="266"/>
      <c r="J210" s="276"/>
      <c r="K210" s="278"/>
      <c r="L210" s="274"/>
      <c r="M210" s="278">
        <f ca="1">IF(NOT(ISERROR(MATCH(L210,_xlfn.ANCHORARRAY(G221),0))),K223&amp;"Por favor no seleccionar los criterios de impacto",L210)</f>
        <v>0</v>
      </c>
      <c r="N210" s="276"/>
      <c r="O210" s="278"/>
      <c r="P210" s="280"/>
      <c r="Q210" s="201">
        <v>6</v>
      </c>
      <c r="R210" s="112"/>
      <c r="S210" s="201" t="str">
        <f t="shared" si="93"/>
        <v/>
      </c>
      <c r="T210" s="113"/>
      <c r="U210" s="113"/>
      <c r="V210" s="167" t="str">
        <f t="shared" si="86"/>
        <v/>
      </c>
      <c r="W210" s="113"/>
      <c r="X210" s="113"/>
      <c r="Y210" s="113"/>
      <c r="Z210" s="165" t="str">
        <f>IFERROR(IF(S210="Probabilidad",(K205-(+K205*V210)),IF(S210="Impacto",K205,"")),"")</f>
        <v/>
      </c>
      <c r="AA210" s="166" t="str">
        <f t="shared" si="94"/>
        <v/>
      </c>
      <c r="AB210" s="167" t="str">
        <f t="shared" si="95"/>
        <v/>
      </c>
      <c r="AC210" s="166" t="str">
        <f t="shared" si="96"/>
        <v/>
      </c>
      <c r="AD210" s="167" t="str">
        <f t="shared" si="98"/>
        <v/>
      </c>
      <c r="AE210" s="168" t="str">
        <f t="shared" si="97"/>
        <v/>
      </c>
      <c r="AF210" s="113"/>
      <c r="AG210" s="191"/>
      <c r="AH210" s="192"/>
      <c r="AI210" s="114"/>
      <c r="AJ210" s="114"/>
      <c r="AK210" s="191"/>
      <c r="AL210" s="192"/>
      <c r="AM210" s="155"/>
      <c r="AN210" s="155"/>
      <c r="AO210" s="155"/>
      <c r="AP210" s="155"/>
      <c r="AQ210" s="155"/>
      <c r="AR210" s="155"/>
      <c r="AS210" s="155"/>
      <c r="AT210" s="155"/>
      <c r="AU210" s="155"/>
      <c r="AV210" s="155"/>
      <c r="AW210" s="155"/>
      <c r="AX210" s="155"/>
      <c r="AY210" s="155"/>
      <c r="AZ210" s="155"/>
      <c r="BA210" s="155"/>
      <c r="BB210" s="155"/>
      <c r="BC210" s="155"/>
      <c r="BD210" s="155"/>
      <c r="BE210" s="155"/>
      <c r="BF210" s="155"/>
      <c r="BG210" s="155"/>
      <c r="BH210" s="155"/>
      <c r="BI210" s="155"/>
      <c r="BJ210" s="155"/>
      <c r="BK210" s="155"/>
      <c r="BL210" s="155"/>
      <c r="BM210" s="155"/>
      <c r="BN210" s="155"/>
      <c r="BO210" s="155"/>
      <c r="BP210" s="155"/>
      <c r="BQ210" s="155"/>
      <c r="BR210" s="155"/>
    </row>
    <row r="211" spans="1:70" s="156" customFormat="1" ht="132" customHeight="1" x14ac:dyDescent="0.25">
      <c r="A211" s="266">
        <v>34</v>
      </c>
      <c r="B211" s="267" t="s">
        <v>213</v>
      </c>
      <c r="C211" s="267" t="s">
        <v>635</v>
      </c>
      <c r="D211" s="270" t="s">
        <v>130</v>
      </c>
      <c r="E211" s="270" t="s">
        <v>639</v>
      </c>
      <c r="F211" s="270" t="s">
        <v>640</v>
      </c>
      <c r="G211" s="362" t="s">
        <v>641</v>
      </c>
      <c r="H211" s="270" t="s">
        <v>437</v>
      </c>
      <c r="I211" s="281">
        <v>5001</v>
      </c>
      <c r="J211" s="275" t="str">
        <f>IF(I211&lt;=0,"",IF(I211&lt;=2,"Muy Baja",IF(I211&lt;=24,"Baja",IF(I211&lt;=500,"Media",IF(I211&lt;=5000,"Alta","Muy Alta")))))</f>
        <v>Muy Alta</v>
      </c>
      <c r="K211" s="277">
        <f>IF(J211="","",IF(J211="Muy Baja",0.2,IF(J211="Baja",0.4,IF(J211="Media",0.6,IF(J211="Alta",0.8,IF(J211="Muy Alta",1,))))))</f>
        <v>1</v>
      </c>
      <c r="L211" s="273" t="s">
        <v>98</v>
      </c>
      <c r="M211" s="277" t="str">
        <f>IF(NOT(ISERROR(MATCH(L211,'[6]Tabla Impacto'!$B$221:$B$223,0))),'[6]Tabla Impacto'!$F$223&amp;"Por favor no seleccionar los criterios de impacto(Afectación Económica o presupuestal y Pérdida Reputacional)",L211)</f>
        <v>El riesgo afecta la imagen de la entidad con algunos usuarios de relevancia frente al logro de los objetivos</v>
      </c>
      <c r="N211" s="275" t="str">
        <f>+IF(OR(M211='[6]Tabla Impacto'!$C$11,M211='[6]Tabla Impacto'!$D$11),"Leve",IF(OR(M211='[6]Tabla Impacto'!$C$12,M211='[6]Tabla Impacto'!$D$12),"Menor",IF(OR(M211='[6]Tabla Impacto'!$C$13,M211='[6]Tabla Impacto'!$D$13),"Moderado",IF(OR(M211='[6]Tabla Impacto'!$C$14,M211='[6]Tabla Impacto'!$D$14),"Mayor",IF(OR(M211='[6]Tabla Impacto'!$C$15,M211='[6]Tabla Impacto'!$D$15),"Catastrófico","")))))</f>
        <v>Moderado</v>
      </c>
      <c r="O211" s="277">
        <f>IF(N211="","",IF(N211="Leve",0.2,IF(N211="Menor",0.4,IF(N211="Moderado",0.6,IF(N211="Mayor",0.8,IF(N211="Catastrófico",1,))))))</f>
        <v>0.6</v>
      </c>
      <c r="P211" s="279" t="str">
        <f>IF(OR(AND(J211="Muy Baja",N211="Leve"),AND(J211="Muy Baja",N211="Menor"),AND(J211="Baja",N211="Leve")),"Bajo",IF(OR(AND(J211="Muy baja",N211="Moderado"),AND(J211="Baja",N211="Menor"),AND(J211="Baja",N211="Moderado"),AND(J211="Media",N211="Leve"),AND(J211="Media",N211="Menor"),AND(J211="Media",N211="Moderado"),AND(J211="Alta",N211="Leve"),AND(J211="Alta",N211="Menor")),"Moderado",IF(OR(AND(J211="Muy Baja",N211="Mayor"),AND(J211="Baja",N211="Mayor"),AND(J211="Media",N211="Mayor"),AND(J211="Alta",N211="Moderado"),AND(J211="Alta",N211="Mayor"),AND(J211="Muy Alta",N211="Leve"),AND(J211="Muy Alta",N211="Menor"),AND(J211="Muy Alta",N211="Moderado"),AND(J211="Muy Alta",N211="Mayor")),"Alto",IF(OR(AND(J211="Muy Baja",N211="Catastrófico"),AND(J211="Baja",N211="Catastrófico"),AND(J211="Media",N211="Catastrófico"),AND(J211="Alta",N211="Catastrófico"),AND(J211="Muy Alta",N211="Catastrófico")),"Extremo",""))))</f>
        <v>Alto</v>
      </c>
      <c r="Q211" s="201">
        <v>1</v>
      </c>
      <c r="R211" s="112" t="s">
        <v>656</v>
      </c>
      <c r="S211" s="201" t="str">
        <f t="shared" si="93"/>
        <v>Probabilidad</v>
      </c>
      <c r="T211" s="113" t="s">
        <v>14</v>
      </c>
      <c r="U211" s="113" t="s">
        <v>9</v>
      </c>
      <c r="V211" s="167" t="str">
        <f t="shared" si="86"/>
        <v>40%</v>
      </c>
      <c r="W211" s="113" t="s">
        <v>19</v>
      </c>
      <c r="X211" s="113" t="s">
        <v>22</v>
      </c>
      <c r="Y211" s="113" t="s">
        <v>117</v>
      </c>
      <c r="Z211" s="165">
        <f t="shared" si="99"/>
        <v>0.6</v>
      </c>
      <c r="AA211" s="166" t="str">
        <f t="shared" si="94"/>
        <v>Media</v>
      </c>
      <c r="AB211" s="167">
        <f t="shared" si="95"/>
        <v>0.6</v>
      </c>
      <c r="AC211" s="166" t="str">
        <f t="shared" si="96"/>
        <v>Moderado</v>
      </c>
      <c r="AD211" s="167">
        <f t="shared" si="98"/>
        <v>0.6</v>
      </c>
      <c r="AE211" s="168" t="str">
        <f t="shared" si="97"/>
        <v>Moderado</v>
      </c>
      <c r="AF211" s="113" t="s">
        <v>31</v>
      </c>
      <c r="AG211" s="191"/>
      <c r="AH211" s="192"/>
      <c r="AI211" s="114"/>
      <c r="AJ211" s="114"/>
      <c r="AK211" s="191"/>
      <c r="AL211" s="192"/>
      <c r="AM211" s="155"/>
      <c r="AN211" s="155"/>
      <c r="AO211" s="155"/>
      <c r="AP211" s="155"/>
      <c r="AQ211" s="155"/>
      <c r="AR211" s="155"/>
      <c r="AS211" s="155"/>
      <c r="AT211" s="155"/>
      <c r="AU211" s="155"/>
      <c r="AV211" s="155"/>
      <c r="AW211" s="155"/>
      <c r="AX211" s="155"/>
      <c r="AY211" s="155"/>
      <c r="AZ211" s="155"/>
      <c r="BA211" s="155"/>
      <c r="BB211" s="155"/>
      <c r="BC211" s="155"/>
      <c r="BD211" s="155"/>
      <c r="BE211" s="155"/>
      <c r="BF211" s="155"/>
      <c r="BG211" s="155"/>
      <c r="BH211" s="155"/>
      <c r="BI211" s="155"/>
      <c r="BJ211" s="155"/>
      <c r="BK211" s="155"/>
      <c r="BL211" s="155"/>
      <c r="BM211" s="155"/>
      <c r="BN211" s="155"/>
      <c r="BO211" s="155"/>
      <c r="BP211" s="155"/>
      <c r="BQ211" s="155"/>
      <c r="BR211" s="155"/>
    </row>
    <row r="212" spans="1:70" s="156" customFormat="1" ht="16.5" hidden="1" customHeight="1" x14ac:dyDescent="0.25">
      <c r="A212" s="266"/>
      <c r="B212" s="268"/>
      <c r="C212" s="268"/>
      <c r="D212" s="271"/>
      <c r="E212" s="271"/>
      <c r="F212" s="271"/>
      <c r="G212" s="363"/>
      <c r="H212" s="271"/>
      <c r="I212" s="266"/>
      <c r="J212" s="276"/>
      <c r="K212" s="278"/>
      <c r="L212" s="274"/>
      <c r="M212" s="278">
        <f ca="1">IF(NOT(ISERROR(MATCH(L212,_xlfn.ANCHORARRAY(G223),0))),K225&amp;"Por favor no seleccionar los criterios de impacto",L212)</f>
        <v>0</v>
      </c>
      <c r="N212" s="276"/>
      <c r="O212" s="278"/>
      <c r="P212" s="280"/>
      <c r="Q212" s="201">
        <v>2</v>
      </c>
      <c r="R212" s="112"/>
      <c r="S212" s="201" t="str">
        <f t="shared" si="93"/>
        <v/>
      </c>
      <c r="T212" s="113"/>
      <c r="U212" s="113"/>
      <c r="V212" s="167" t="str">
        <f t="shared" si="86"/>
        <v/>
      </c>
      <c r="W212" s="113"/>
      <c r="X212" s="113"/>
      <c r="Y212" s="113"/>
      <c r="Z212" s="165" t="str">
        <f>IFERROR(IF(S212="Probabilidad",(K211-(+K211*V212)),IF(S212="Impacto",K211,"")),"")</f>
        <v/>
      </c>
      <c r="AA212" s="166" t="str">
        <f t="shared" si="94"/>
        <v/>
      </c>
      <c r="AB212" s="167" t="str">
        <f t="shared" si="95"/>
        <v/>
      </c>
      <c r="AC212" s="166" t="str">
        <f t="shared" si="96"/>
        <v/>
      </c>
      <c r="AD212" s="167" t="str">
        <f t="shared" si="98"/>
        <v/>
      </c>
      <c r="AE212" s="168" t="str">
        <f t="shared" si="97"/>
        <v/>
      </c>
      <c r="AF212" s="113"/>
      <c r="AG212" s="191"/>
      <c r="AH212" s="192"/>
      <c r="AI212" s="114"/>
      <c r="AJ212" s="114"/>
      <c r="AK212" s="191"/>
      <c r="AL212" s="192"/>
      <c r="AM212" s="155"/>
      <c r="AN212" s="155"/>
      <c r="AO212" s="155"/>
      <c r="AP212" s="155"/>
      <c r="AQ212" s="155"/>
      <c r="AR212" s="155"/>
      <c r="AS212" s="155"/>
      <c r="AT212" s="155"/>
      <c r="AU212" s="155"/>
      <c r="AV212" s="155"/>
      <c r="AW212" s="155"/>
      <c r="AX212" s="155"/>
      <c r="AY212" s="155"/>
      <c r="AZ212" s="155"/>
      <c r="BA212" s="155"/>
      <c r="BB212" s="155"/>
      <c r="BC212" s="155"/>
      <c r="BD212" s="155"/>
      <c r="BE212" s="155"/>
      <c r="BF212" s="155"/>
      <c r="BG212" s="155"/>
      <c r="BH212" s="155"/>
      <c r="BI212" s="155"/>
      <c r="BJ212" s="155"/>
      <c r="BK212" s="155"/>
      <c r="BL212" s="155"/>
      <c r="BM212" s="155"/>
      <c r="BN212" s="155"/>
      <c r="BO212" s="155"/>
      <c r="BP212" s="155"/>
      <c r="BQ212" s="155"/>
      <c r="BR212" s="155"/>
    </row>
    <row r="213" spans="1:70" s="156" customFormat="1" ht="16.5" hidden="1" customHeight="1" x14ac:dyDescent="0.25">
      <c r="A213" s="266"/>
      <c r="B213" s="268"/>
      <c r="C213" s="268"/>
      <c r="D213" s="271"/>
      <c r="E213" s="271"/>
      <c r="F213" s="271"/>
      <c r="G213" s="363"/>
      <c r="H213" s="271"/>
      <c r="I213" s="266"/>
      <c r="J213" s="276"/>
      <c r="K213" s="278"/>
      <c r="L213" s="274"/>
      <c r="M213" s="278">
        <f ca="1">IF(NOT(ISERROR(MATCH(L213,_xlfn.ANCHORARRAY(G224),0))),K226&amp;"Por favor no seleccionar los criterios de impacto",L213)</f>
        <v>0</v>
      </c>
      <c r="N213" s="276"/>
      <c r="O213" s="278"/>
      <c r="P213" s="280"/>
      <c r="Q213" s="201">
        <v>3</v>
      </c>
      <c r="R213" s="112"/>
      <c r="S213" s="201" t="str">
        <f t="shared" si="93"/>
        <v/>
      </c>
      <c r="T213" s="113"/>
      <c r="U213" s="113"/>
      <c r="V213" s="167" t="str">
        <f t="shared" si="86"/>
        <v/>
      </c>
      <c r="W213" s="113"/>
      <c r="X213" s="113"/>
      <c r="Y213" s="113"/>
      <c r="Z213" s="165" t="str">
        <f>IFERROR(IF(S213="Probabilidad",(K211-(+K211*V213)),IF(S213="Impacto",K211,"")),"")</f>
        <v/>
      </c>
      <c r="AA213" s="166" t="str">
        <f t="shared" si="94"/>
        <v/>
      </c>
      <c r="AB213" s="167" t="str">
        <f t="shared" si="95"/>
        <v/>
      </c>
      <c r="AC213" s="166" t="str">
        <f t="shared" si="96"/>
        <v/>
      </c>
      <c r="AD213" s="167" t="str">
        <f t="shared" si="98"/>
        <v/>
      </c>
      <c r="AE213" s="168" t="str">
        <f t="shared" si="97"/>
        <v/>
      </c>
      <c r="AF213" s="113"/>
      <c r="AG213" s="191"/>
      <c r="AH213" s="192"/>
      <c r="AI213" s="114"/>
      <c r="AJ213" s="114"/>
      <c r="AK213" s="191"/>
      <c r="AL213" s="192"/>
      <c r="AM213" s="155"/>
      <c r="AN213" s="155"/>
      <c r="AO213" s="155"/>
      <c r="AP213" s="155"/>
      <c r="AQ213" s="155"/>
      <c r="AR213" s="155"/>
      <c r="AS213" s="155"/>
      <c r="AT213" s="155"/>
      <c r="AU213" s="155"/>
      <c r="AV213" s="155"/>
      <c r="AW213" s="155"/>
      <c r="AX213" s="155"/>
      <c r="AY213" s="155"/>
      <c r="AZ213" s="155"/>
      <c r="BA213" s="155"/>
      <c r="BB213" s="155"/>
      <c r="BC213" s="155"/>
      <c r="BD213" s="155"/>
      <c r="BE213" s="155"/>
      <c r="BF213" s="155"/>
      <c r="BG213" s="155"/>
      <c r="BH213" s="155"/>
      <c r="BI213" s="155"/>
      <c r="BJ213" s="155"/>
      <c r="BK213" s="155"/>
      <c r="BL213" s="155"/>
      <c r="BM213" s="155"/>
      <c r="BN213" s="155"/>
      <c r="BO213" s="155"/>
      <c r="BP213" s="155"/>
      <c r="BQ213" s="155"/>
      <c r="BR213" s="155"/>
    </row>
    <row r="214" spans="1:70" s="156" customFormat="1" ht="16.5" hidden="1" customHeight="1" x14ac:dyDescent="0.25">
      <c r="A214" s="266"/>
      <c r="B214" s="268"/>
      <c r="C214" s="268"/>
      <c r="D214" s="271"/>
      <c r="E214" s="271"/>
      <c r="F214" s="271"/>
      <c r="G214" s="363"/>
      <c r="H214" s="271"/>
      <c r="I214" s="266"/>
      <c r="J214" s="276"/>
      <c r="K214" s="278"/>
      <c r="L214" s="274"/>
      <c r="M214" s="278">
        <f ca="1">IF(NOT(ISERROR(MATCH(L214,_xlfn.ANCHORARRAY(G225),0))),K227&amp;"Por favor no seleccionar los criterios de impacto",L214)</f>
        <v>0</v>
      </c>
      <c r="N214" s="276"/>
      <c r="O214" s="278"/>
      <c r="P214" s="280"/>
      <c r="Q214" s="201">
        <v>4</v>
      </c>
      <c r="R214" s="112"/>
      <c r="S214" s="201" t="str">
        <f t="shared" si="93"/>
        <v/>
      </c>
      <c r="T214" s="113"/>
      <c r="U214" s="113"/>
      <c r="V214" s="167" t="str">
        <f t="shared" si="86"/>
        <v/>
      </c>
      <c r="W214" s="113"/>
      <c r="X214" s="113"/>
      <c r="Y214" s="113"/>
      <c r="Z214" s="165" t="str">
        <f>IFERROR(IF(S214="Probabilidad",(K211-(+K211*V214)),IF(S214="Impacto",K211,"")),"")</f>
        <v/>
      </c>
      <c r="AA214" s="166" t="str">
        <f t="shared" si="94"/>
        <v/>
      </c>
      <c r="AB214" s="167" t="str">
        <f t="shared" si="95"/>
        <v/>
      </c>
      <c r="AC214" s="166" t="str">
        <f t="shared" si="96"/>
        <v/>
      </c>
      <c r="AD214" s="167" t="str">
        <f t="shared" si="98"/>
        <v/>
      </c>
      <c r="AE214" s="168" t="str">
        <f t="shared" si="97"/>
        <v/>
      </c>
      <c r="AF214" s="113"/>
      <c r="AG214" s="191"/>
      <c r="AH214" s="192"/>
      <c r="AI214" s="114"/>
      <c r="AJ214" s="114"/>
      <c r="AK214" s="191"/>
      <c r="AL214" s="192"/>
      <c r="AM214" s="155"/>
      <c r="AN214" s="155"/>
      <c r="AO214" s="155"/>
      <c r="AP214" s="155"/>
      <c r="AQ214" s="155"/>
      <c r="AR214" s="155"/>
      <c r="AS214" s="155"/>
      <c r="AT214" s="155"/>
      <c r="AU214" s="155"/>
      <c r="AV214" s="155"/>
      <c r="AW214" s="155"/>
      <c r="AX214" s="155"/>
      <c r="AY214" s="155"/>
      <c r="AZ214" s="155"/>
      <c r="BA214" s="155"/>
      <c r="BB214" s="155"/>
      <c r="BC214" s="155"/>
      <c r="BD214" s="155"/>
      <c r="BE214" s="155"/>
      <c r="BF214" s="155"/>
      <c r="BG214" s="155"/>
      <c r="BH214" s="155"/>
      <c r="BI214" s="155"/>
      <c r="BJ214" s="155"/>
      <c r="BK214" s="155"/>
      <c r="BL214" s="155"/>
      <c r="BM214" s="155"/>
      <c r="BN214" s="155"/>
      <c r="BO214" s="155"/>
      <c r="BP214" s="155"/>
      <c r="BQ214" s="155"/>
      <c r="BR214" s="155"/>
    </row>
    <row r="215" spans="1:70" s="156" customFormat="1" ht="16.5" hidden="1" customHeight="1" x14ac:dyDescent="0.25">
      <c r="A215" s="266"/>
      <c r="B215" s="268"/>
      <c r="C215" s="268"/>
      <c r="D215" s="271"/>
      <c r="E215" s="271"/>
      <c r="F215" s="271"/>
      <c r="G215" s="363"/>
      <c r="H215" s="271"/>
      <c r="I215" s="266"/>
      <c r="J215" s="276"/>
      <c r="K215" s="278"/>
      <c r="L215" s="274"/>
      <c r="M215" s="278">
        <f ca="1">IF(NOT(ISERROR(MATCH(L215,_xlfn.ANCHORARRAY(G226),0))),K228&amp;"Por favor no seleccionar los criterios de impacto",L215)</f>
        <v>0</v>
      </c>
      <c r="N215" s="276"/>
      <c r="O215" s="278"/>
      <c r="P215" s="280"/>
      <c r="Q215" s="201">
        <v>5</v>
      </c>
      <c r="R215" s="112"/>
      <c r="S215" s="201" t="str">
        <f t="shared" si="93"/>
        <v/>
      </c>
      <c r="T215" s="113"/>
      <c r="U215" s="113"/>
      <c r="V215" s="167" t="str">
        <f t="shared" si="86"/>
        <v/>
      </c>
      <c r="W215" s="113"/>
      <c r="X215" s="113"/>
      <c r="Y215" s="113"/>
      <c r="Z215" s="165" t="str">
        <f>IFERROR(IF(S215="Probabilidad",(K211-(+K211*V215)),IF(S215="Impacto",K211,"")),"")</f>
        <v/>
      </c>
      <c r="AA215" s="166" t="str">
        <f t="shared" si="94"/>
        <v/>
      </c>
      <c r="AB215" s="167" t="str">
        <f t="shared" si="95"/>
        <v/>
      </c>
      <c r="AC215" s="166" t="str">
        <f t="shared" si="96"/>
        <v/>
      </c>
      <c r="AD215" s="167" t="str">
        <f t="shared" si="98"/>
        <v/>
      </c>
      <c r="AE215" s="168" t="str">
        <f t="shared" si="97"/>
        <v/>
      </c>
      <c r="AF215" s="113"/>
      <c r="AG215" s="191"/>
      <c r="AH215" s="192"/>
      <c r="AI215" s="114"/>
      <c r="AJ215" s="114"/>
      <c r="AK215" s="191"/>
      <c r="AL215" s="192"/>
      <c r="AM215" s="155"/>
      <c r="AN215" s="155"/>
      <c r="AO215" s="155"/>
      <c r="AP215" s="155"/>
      <c r="AQ215" s="155"/>
      <c r="AR215" s="155"/>
      <c r="AS215" s="155"/>
      <c r="AT215" s="155"/>
      <c r="AU215" s="155"/>
      <c r="AV215" s="155"/>
      <c r="AW215" s="155"/>
      <c r="AX215" s="155"/>
      <c r="AY215" s="155"/>
      <c r="AZ215" s="155"/>
      <c r="BA215" s="155"/>
      <c r="BB215" s="155"/>
      <c r="BC215" s="155"/>
      <c r="BD215" s="155"/>
      <c r="BE215" s="155"/>
      <c r="BF215" s="155"/>
      <c r="BG215" s="155"/>
      <c r="BH215" s="155"/>
      <c r="BI215" s="155"/>
      <c r="BJ215" s="155"/>
      <c r="BK215" s="155"/>
      <c r="BL215" s="155"/>
      <c r="BM215" s="155"/>
      <c r="BN215" s="155"/>
      <c r="BO215" s="155"/>
      <c r="BP215" s="155"/>
      <c r="BQ215" s="155"/>
      <c r="BR215" s="155"/>
    </row>
    <row r="216" spans="1:70" s="156" customFormat="1" ht="16.5" hidden="1" customHeight="1" x14ac:dyDescent="0.25">
      <c r="A216" s="266"/>
      <c r="B216" s="269"/>
      <c r="C216" s="269"/>
      <c r="D216" s="271"/>
      <c r="E216" s="271"/>
      <c r="F216" s="271"/>
      <c r="G216" s="363"/>
      <c r="H216" s="271"/>
      <c r="I216" s="266"/>
      <c r="J216" s="276"/>
      <c r="K216" s="278"/>
      <c r="L216" s="274"/>
      <c r="M216" s="278">
        <f ca="1">IF(NOT(ISERROR(MATCH(L216,_xlfn.ANCHORARRAY(G227),0))),K229&amp;"Por favor no seleccionar los criterios de impacto",L216)</f>
        <v>0</v>
      </c>
      <c r="N216" s="276"/>
      <c r="O216" s="278"/>
      <c r="P216" s="280"/>
      <c r="Q216" s="201">
        <v>6</v>
      </c>
      <c r="R216" s="112"/>
      <c r="S216" s="201" t="str">
        <f t="shared" si="93"/>
        <v/>
      </c>
      <c r="T216" s="113"/>
      <c r="U216" s="113"/>
      <c r="V216" s="167" t="str">
        <f t="shared" si="86"/>
        <v/>
      </c>
      <c r="W216" s="113"/>
      <c r="X216" s="113"/>
      <c r="Y216" s="113"/>
      <c r="Z216" s="165" t="str">
        <f>IFERROR(IF(S216="Probabilidad",(K211-(+K211*V216)),IF(S216="Impacto",K211,"")),"")</f>
        <v/>
      </c>
      <c r="AA216" s="166" t="str">
        <f t="shared" si="94"/>
        <v/>
      </c>
      <c r="AB216" s="167" t="str">
        <f t="shared" si="95"/>
        <v/>
      </c>
      <c r="AC216" s="166" t="str">
        <f t="shared" si="96"/>
        <v/>
      </c>
      <c r="AD216" s="167" t="str">
        <f t="shared" si="98"/>
        <v/>
      </c>
      <c r="AE216" s="168" t="str">
        <f t="shared" si="97"/>
        <v/>
      </c>
      <c r="AF216" s="113"/>
      <c r="AG216" s="191"/>
      <c r="AH216" s="192"/>
      <c r="AI216" s="114"/>
      <c r="AJ216" s="114"/>
      <c r="AK216" s="191"/>
      <c r="AL216" s="192"/>
      <c r="AM216" s="155"/>
      <c r="AN216" s="155"/>
      <c r="AO216" s="155"/>
      <c r="AP216" s="155"/>
      <c r="AQ216" s="155"/>
      <c r="AR216" s="155"/>
      <c r="AS216" s="155"/>
      <c r="AT216" s="155"/>
      <c r="AU216" s="155"/>
      <c r="AV216" s="155"/>
      <c r="AW216" s="155"/>
      <c r="AX216" s="155"/>
      <c r="AY216" s="155"/>
      <c r="AZ216" s="155"/>
      <c r="BA216" s="155"/>
      <c r="BB216" s="155"/>
      <c r="BC216" s="155"/>
      <c r="BD216" s="155"/>
      <c r="BE216" s="155"/>
      <c r="BF216" s="155"/>
      <c r="BG216" s="155"/>
      <c r="BH216" s="155"/>
      <c r="BI216" s="155"/>
      <c r="BJ216" s="155"/>
      <c r="BK216" s="155"/>
      <c r="BL216" s="155"/>
      <c r="BM216" s="155"/>
      <c r="BN216" s="155"/>
      <c r="BO216" s="155"/>
      <c r="BP216" s="155"/>
      <c r="BQ216" s="155"/>
      <c r="BR216" s="155"/>
    </row>
    <row r="217" spans="1:70" s="156" customFormat="1" ht="144.75" customHeight="1" x14ac:dyDescent="0.25">
      <c r="A217" s="266">
        <v>35</v>
      </c>
      <c r="B217" s="267" t="s">
        <v>213</v>
      </c>
      <c r="C217" s="267" t="s">
        <v>635</v>
      </c>
      <c r="D217" s="270" t="s">
        <v>132</v>
      </c>
      <c r="E217" s="270" t="s">
        <v>642</v>
      </c>
      <c r="F217" s="270" t="s">
        <v>643</v>
      </c>
      <c r="G217" s="362" t="s">
        <v>644</v>
      </c>
      <c r="H217" s="270" t="s">
        <v>437</v>
      </c>
      <c r="I217" s="281">
        <v>5001</v>
      </c>
      <c r="J217" s="275" t="str">
        <f>IF(I217&lt;=0,"",IF(I217&lt;=2,"Muy Baja",IF(I217&lt;=24,"Baja",IF(I217&lt;=500,"Media",IF(I217&lt;=5000,"Alta","Muy Alta")))))</f>
        <v>Muy Alta</v>
      </c>
      <c r="K217" s="277">
        <f>IF(J217="","",IF(J217="Muy Baja",0.2,IF(J217="Baja",0.4,IF(J217="Media",0.6,IF(J217="Alta",0.8,IF(J217="Muy Alta",1,))))))</f>
        <v>1</v>
      </c>
      <c r="L217" s="273" t="s">
        <v>98</v>
      </c>
      <c r="M217" s="277" t="str">
        <f>IF(NOT(ISERROR(MATCH(L217,'[6]Tabla Impacto'!$B$221:$B$223,0))),'[6]Tabla Impacto'!$F$223&amp;"Por favor no seleccionar los criterios de impacto(Afectación Económica o presupuestal y Pérdida Reputacional)",L217)</f>
        <v>El riesgo afecta la imagen de la entidad con algunos usuarios de relevancia frente al logro de los objetivos</v>
      </c>
      <c r="N217" s="275" t="str">
        <f>+IF(OR(M217='[6]Tabla Impacto'!$C$11,M217='[6]Tabla Impacto'!$D$11),"Leve",IF(OR(M217='[6]Tabla Impacto'!$C$12,M217='[6]Tabla Impacto'!$D$12),"Menor",IF(OR(M217='[6]Tabla Impacto'!$C$13,M217='[6]Tabla Impacto'!$D$13),"Moderado",IF(OR(M217='[6]Tabla Impacto'!$C$14,M217='[6]Tabla Impacto'!$D$14),"Mayor",IF(OR(M217='[6]Tabla Impacto'!$C$15,M217='[6]Tabla Impacto'!$D$15),"Catastrófico","")))))</f>
        <v>Moderado</v>
      </c>
      <c r="O217" s="277">
        <f>IF(N217="","",IF(N217="Leve",0.2,IF(N217="Menor",0.4,IF(N217="Moderado",0.6,IF(N217="Mayor",0.8,IF(N217="Catastrófico",1,))))))</f>
        <v>0.6</v>
      </c>
      <c r="P217" s="279" t="str">
        <f>IF(OR(AND(J217="Muy Baja",N217="Leve"),AND(J217="Muy Baja",N217="Menor"),AND(J217="Baja",N217="Leve")),"Bajo",IF(OR(AND(J217="Muy baja",N217="Moderado"),AND(J217="Baja",N217="Menor"),AND(J217="Baja",N217="Moderado"),AND(J217="Media",N217="Leve"),AND(J217="Media",N217="Menor"),AND(J217="Media",N217="Moderado"),AND(J217="Alta",N217="Leve"),AND(J217="Alta",N217="Menor")),"Moderado",IF(OR(AND(J217="Muy Baja",N217="Mayor"),AND(J217="Baja",N217="Mayor"),AND(J217="Media",N217="Mayor"),AND(J217="Alta",N217="Moderado"),AND(J217="Alta",N217="Mayor"),AND(J217="Muy Alta",N217="Leve"),AND(J217="Muy Alta",N217="Menor"),AND(J217="Muy Alta",N217="Moderado"),AND(J217="Muy Alta",N217="Mayor")),"Alto",IF(OR(AND(J217="Muy Baja",N217="Catastrófico"),AND(J217="Baja",N217="Catastrófico"),AND(J217="Media",N217="Catastrófico"),AND(J217="Alta",N217="Catastrófico"),AND(J217="Muy Alta",N217="Catastrófico")),"Extremo",""))))</f>
        <v>Alto</v>
      </c>
      <c r="Q217" s="201">
        <v>1</v>
      </c>
      <c r="R217" s="112" t="s">
        <v>657</v>
      </c>
      <c r="S217" s="201" t="str">
        <f t="shared" si="93"/>
        <v>Probabilidad</v>
      </c>
      <c r="T217" s="113" t="s">
        <v>14</v>
      </c>
      <c r="U217" s="113" t="s">
        <v>9</v>
      </c>
      <c r="V217" s="167" t="str">
        <f t="shared" si="86"/>
        <v>40%</v>
      </c>
      <c r="W217" s="113" t="s">
        <v>19</v>
      </c>
      <c r="X217" s="113" t="s">
        <v>22</v>
      </c>
      <c r="Y217" s="113" t="s">
        <v>117</v>
      </c>
      <c r="Z217" s="165">
        <f t="shared" si="99"/>
        <v>0.6</v>
      </c>
      <c r="AA217" s="166" t="str">
        <f t="shared" si="94"/>
        <v>Media</v>
      </c>
      <c r="AB217" s="167">
        <f t="shared" si="95"/>
        <v>0.6</v>
      </c>
      <c r="AC217" s="166" t="str">
        <f t="shared" si="96"/>
        <v>Moderado</v>
      </c>
      <c r="AD217" s="167">
        <f t="shared" si="98"/>
        <v>0.6</v>
      </c>
      <c r="AE217" s="168" t="str">
        <f t="shared" si="97"/>
        <v>Moderado</v>
      </c>
      <c r="AF217" s="113" t="s">
        <v>31</v>
      </c>
      <c r="AG217" s="191"/>
      <c r="AH217" s="192"/>
      <c r="AI217" s="114"/>
      <c r="AJ217" s="114"/>
      <c r="AK217" s="191"/>
      <c r="AL217" s="192"/>
      <c r="AM217" s="155"/>
      <c r="AN217" s="155"/>
      <c r="AO217" s="155"/>
      <c r="AP217" s="155"/>
      <c r="AQ217" s="155"/>
      <c r="AR217" s="155"/>
      <c r="AS217" s="155"/>
      <c r="AT217" s="155"/>
      <c r="AU217" s="155"/>
      <c r="AV217" s="155"/>
      <c r="AW217" s="155"/>
      <c r="AX217" s="155"/>
      <c r="AY217" s="155"/>
      <c r="AZ217" s="155"/>
      <c r="BA217" s="155"/>
      <c r="BB217" s="155"/>
      <c r="BC217" s="155"/>
      <c r="BD217" s="155"/>
      <c r="BE217" s="155"/>
      <c r="BF217" s="155"/>
      <c r="BG217" s="155"/>
      <c r="BH217" s="155"/>
      <c r="BI217" s="155"/>
      <c r="BJ217" s="155"/>
      <c r="BK217" s="155"/>
      <c r="BL217" s="155"/>
      <c r="BM217" s="155"/>
      <c r="BN217" s="155"/>
      <c r="BO217" s="155"/>
      <c r="BP217" s="155"/>
      <c r="BQ217" s="155"/>
      <c r="BR217" s="155"/>
    </row>
    <row r="218" spans="1:70" s="156" customFormat="1" ht="16.5" hidden="1" customHeight="1" x14ac:dyDescent="0.25">
      <c r="A218" s="266"/>
      <c r="B218" s="268"/>
      <c r="C218" s="268"/>
      <c r="D218" s="271"/>
      <c r="E218" s="271"/>
      <c r="F218" s="271"/>
      <c r="G218" s="363"/>
      <c r="H218" s="271"/>
      <c r="I218" s="266"/>
      <c r="J218" s="276"/>
      <c r="K218" s="278"/>
      <c r="L218" s="274"/>
      <c r="M218" s="278">
        <f ca="1">IF(NOT(ISERROR(MATCH(L218,_xlfn.ANCHORARRAY(G229),0))),K231&amp;"Por favor no seleccionar los criterios de impacto",L218)</f>
        <v>0</v>
      </c>
      <c r="N218" s="276"/>
      <c r="O218" s="278"/>
      <c r="P218" s="280"/>
      <c r="Q218" s="201">
        <v>2</v>
      </c>
      <c r="R218" s="112"/>
      <c r="S218" s="201" t="str">
        <f t="shared" si="93"/>
        <v/>
      </c>
      <c r="T218" s="113"/>
      <c r="U218" s="113"/>
      <c r="V218" s="167" t="str">
        <f t="shared" si="86"/>
        <v/>
      </c>
      <c r="W218" s="113"/>
      <c r="X218" s="113"/>
      <c r="Y218" s="113"/>
      <c r="Z218" s="165" t="str">
        <f>IFERROR(IF(S218="Probabilidad",(K217-(+K217*V218)),IF(S218="Impacto",K217,"")),"")</f>
        <v/>
      </c>
      <c r="AA218" s="166" t="str">
        <f t="shared" si="94"/>
        <v/>
      </c>
      <c r="AB218" s="167" t="str">
        <f t="shared" si="95"/>
        <v/>
      </c>
      <c r="AC218" s="166" t="str">
        <f t="shared" si="96"/>
        <v/>
      </c>
      <c r="AD218" s="167" t="str">
        <f t="shared" si="98"/>
        <v/>
      </c>
      <c r="AE218" s="168" t="str">
        <f t="shared" si="97"/>
        <v/>
      </c>
      <c r="AF218" s="113"/>
      <c r="AG218" s="191"/>
      <c r="AH218" s="192"/>
      <c r="AI218" s="114"/>
      <c r="AJ218" s="114"/>
      <c r="AK218" s="191"/>
      <c r="AL218" s="192"/>
      <c r="AM218" s="155"/>
      <c r="AN218" s="155"/>
      <c r="AO218" s="155"/>
      <c r="AP218" s="155"/>
      <c r="AQ218" s="155"/>
      <c r="AR218" s="155"/>
      <c r="AS218" s="155"/>
      <c r="AT218" s="155"/>
      <c r="AU218" s="155"/>
      <c r="AV218" s="155"/>
      <c r="AW218" s="155"/>
      <c r="AX218" s="155"/>
      <c r="AY218" s="155"/>
      <c r="AZ218" s="155"/>
      <c r="BA218" s="155"/>
      <c r="BB218" s="155"/>
      <c r="BC218" s="155"/>
      <c r="BD218" s="155"/>
      <c r="BE218" s="155"/>
      <c r="BF218" s="155"/>
      <c r="BG218" s="155"/>
      <c r="BH218" s="155"/>
      <c r="BI218" s="155"/>
      <c r="BJ218" s="155"/>
      <c r="BK218" s="155"/>
      <c r="BL218" s="155"/>
      <c r="BM218" s="155"/>
      <c r="BN218" s="155"/>
      <c r="BO218" s="155"/>
      <c r="BP218" s="155"/>
      <c r="BQ218" s="155"/>
      <c r="BR218" s="155"/>
    </row>
    <row r="219" spans="1:70" s="156" customFormat="1" ht="16.5" hidden="1" customHeight="1" x14ac:dyDescent="0.25">
      <c r="A219" s="266"/>
      <c r="B219" s="268"/>
      <c r="C219" s="268"/>
      <c r="D219" s="271"/>
      <c r="E219" s="271"/>
      <c r="F219" s="271"/>
      <c r="G219" s="363"/>
      <c r="H219" s="271"/>
      <c r="I219" s="266"/>
      <c r="J219" s="276"/>
      <c r="K219" s="278"/>
      <c r="L219" s="274"/>
      <c r="M219" s="278">
        <f ca="1">IF(NOT(ISERROR(MATCH(L219,_xlfn.ANCHORARRAY(G230),0))),K232&amp;"Por favor no seleccionar los criterios de impacto",L219)</f>
        <v>0</v>
      </c>
      <c r="N219" s="276"/>
      <c r="O219" s="278"/>
      <c r="P219" s="280"/>
      <c r="Q219" s="201">
        <v>3</v>
      </c>
      <c r="R219" s="112"/>
      <c r="S219" s="201" t="str">
        <f t="shared" si="93"/>
        <v/>
      </c>
      <c r="T219" s="113"/>
      <c r="U219" s="113"/>
      <c r="V219" s="167" t="str">
        <f t="shared" si="86"/>
        <v/>
      </c>
      <c r="W219" s="113"/>
      <c r="X219" s="113"/>
      <c r="Y219" s="113"/>
      <c r="Z219" s="165" t="str">
        <f>IFERROR(IF(S219="Probabilidad",(K217-(+K217*V219)),IF(S219="Impacto",K217,"")),"")</f>
        <v/>
      </c>
      <c r="AA219" s="166" t="str">
        <f t="shared" si="94"/>
        <v/>
      </c>
      <c r="AB219" s="167" t="str">
        <f t="shared" si="95"/>
        <v/>
      </c>
      <c r="AC219" s="166" t="str">
        <f t="shared" si="96"/>
        <v/>
      </c>
      <c r="AD219" s="167" t="str">
        <f t="shared" si="98"/>
        <v/>
      </c>
      <c r="AE219" s="168" t="str">
        <f t="shared" si="97"/>
        <v/>
      </c>
      <c r="AF219" s="113"/>
      <c r="AG219" s="191"/>
      <c r="AH219" s="192"/>
      <c r="AI219" s="114"/>
      <c r="AJ219" s="114"/>
      <c r="AK219" s="191"/>
      <c r="AL219" s="192"/>
      <c r="AM219" s="155"/>
      <c r="AN219" s="155"/>
      <c r="AO219" s="155"/>
      <c r="AP219" s="155"/>
      <c r="AQ219" s="155"/>
      <c r="AR219" s="155"/>
      <c r="AS219" s="155"/>
      <c r="AT219" s="155"/>
      <c r="AU219" s="155"/>
      <c r="AV219" s="155"/>
      <c r="AW219" s="155"/>
      <c r="AX219" s="155"/>
      <c r="AY219" s="155"/>
      <c r="AZ219" s="155"/>
      <c r="BA219" s="155"/>
      <c r="BB219" s="155"/>
      <c r="BC219" s="155"/>
      <c r="BD219" s="155"/>
      <c r="BE219" s="155"/>
      <c r="BF219" s="155"/>
      <c r="BG219" s="155"/>
      <c r="BH219" s="155"/>
      <c r="BI219" s="155"/>
      <c r="BJ219" s="155"/>
      <c r="BK219" s="155"/>
      <c r="BL219" s="155"/>
      <c r="BM219" s="155"/>
      <c r="BN219" s="155"/>
      <c r="BO219" s="155"/>
      <c r="BP219" s="155"/>
      <c r="BQ219" s="155"/>
      <c r="BR219" s="155"/>
    </row>
    <row r="220" spans="1:70" s="156" customFormat="1" ht="16.5" hidden="1" customHeight="1" x14ac:dyDescent="0.25">
      <c r="A220" s="266"/>
      <c r="B220" s="268"/>
      <c r="C220" s="268"/>
      <c r="D220" s="271"/>
      <c r="E220" s="271"/>
      <c r="F220" s="271"/>
      <c r="G220" s="363"/>
      <c r="H220" s="271"/>
      <c r="I220" s="266"/>
      <c r="J220" s="276"/>
      <c r="K220" s="278"/>
      <c r="L220" s="274"/>
      <c r="M220" s="278">
        <f ca="1">IF(NOT(ISERROR(MATCH(L220,_xlfn.ANCHORARRAY(G231),0))),K233&amp;"Por favor no seleccionar los criterios de impacto",L220)</f>
        <v>0</v>
      </c>
      <c r="N220" s="276"/>
      <c r="O220" s="278"/>
      <c r="P220" s="280"/>
      <c r="Q220" s="201">
        <v>4</v>
      </c>
      <c r="R220" s="112"/>
      <c r="S220" s="201" t="str">
        <f t="shared" si="93"/>
        <v/>
      </c>
      <c r="T220" s="113"/>
      <c r="U220" s="113"/>
      <c r="V220" s="167" t="str">
        <f t="shared" si="86"/>
        <v/>
      </c>
      <c r="W220" s="113"/>
      <c r="X220" s="113"/>
      <c r="Y220" s="113"/>
      <c r="Z220" s="165" t="str">
        <f>IFERROR(IF(S220="Probabilidad",(K217-(+K217*V220)),IF(S220="Impacto",K217,"")),"")</f>
        <v/>
      </c>
      <c r="AA220" s="166" t="str">
        <f t="shared" si="94"/>
        <v/>
      </c>
      <c r="AB220" s="167" t="str">
        <f t="shared" si="95"/>
        <v/>
      </c>
      <c r="AC220" s="166" t="str">
        <f t="shared" si="96"/>
        <v/>
      </c>
      <c r="AD220" s="167" t="str">
        <f t="shared" si="98"/>
        <v/>
      </c>
      <c r="AE220" s="168" t="str">
        <f t="shared" si="97"/>
        <v/>
      </c>
      <c r="AF220" s="113"/>
      <c r="AG220" s="191"/>
      <c r="AH220" s="192"/>
      <c r="AI220" s="114"/>
      <c r="AJ220" s="114"/>
      <c r="AK220" s="191"/>
      <c r="AL220" s="192"/>
      <c r="AM220" s="155"/>
      <c r="AN220" s="155"/>
      <c r="AO220" s="155"/>
      <c r="AP220" s="155"/>
      <c r="AQ220" s="155"/>
      <c r="AR220" s="155"/>
      <c r="AS220" s="155"/>
      <c r="AT220" s="155"/>
      <c r="AU220" s="155"/>
      <c r="AV220" s="155"/>
      <c r="AW220" s="155"/>
      <c r="AX220" s="155"/>
      <c r="AY220" s="155"/>
      <c r="AZ220" s="155"/>
      <c r="BA220" s="155"/>
      <c r="BB220" s="155"/>
      <c r="BC220" s="155"/>
      <c r="BD220" s="155"/>
      <c r="BE220" s="155"/>
      <c r="BF220" s="155"/>
      <c r="BG220" s="155"/>
      <c r="BH220" s="155"/>
      <c r="BI220" s="155"/>
      <c r="BJ220" s="155"/>
      <c r="BK220" s="155"/>
      <c r="BL220" s="155"/>
      <c r="BM220" s="155"/>
      <c r="BN220" s="155"/>
      <c r="BO220" s="155"/>
      <c r="BP220" s="155"/>
      <c r="BQ220" s="155"/>
      <c r="BR220" s="155"/>
    </row>
    <row r="221" spans="1:70" s="156" customFormat="1" ht="16.5" hidden="1" customHeight="1" x14ac:dyDescent="0.25">
      <c r="A221" s="266"/>
      <c r="B221" s="268"/>
      <c r="C221" s="268"/>
      <c r="D221" s="271"/>
      <c r="E221" s="271"/>
      <c r="F221" s="271"/>
      <c r="G221" s="363"/>
      <c r="H221" s="271"/>
      <c r="I221" s="266"/>
      <c r="J221" s="276"/>
      <c r="K221" s="278"/>
      <c r="L221" s="274"/>
      <c r="M221" s="278">
        <f ca="1">IF(NOT(ISERROR(MATCH(L221,_xlfn.ANCHORARRAY(G232),0))),K234&amp;"Por favor no seleccionar los criterios de impacto",L221)</f>
        <v>0</v>
      </c>
      <c r="N221" s="276"/>
      <c r="O221" s="278"/>
      <c r="P221" s="280"/>
      <c r="Q221" s="201">
        <v>5</v>
      </c>
      <c r="R221" s="112"/>
      <c r="S221" s="201" t="str">
        <f t="shared" si="93"/>
        <v/>
      </c>
      <c r="T221" s="113"/>
      <c r="U221" s="113"/>
      <c r="V221" s="167" t="str">
        <f t="shared" si="86"/>
        <v/>
      </c>
      <c r="W221" s="113"/>
      <c r="X221" s="113"/>
      <c r="Y221" s="113"/>
      <c r="Z221" s="165" t="str">
        <f>IFERROR(IF(S221="Probabilidad",(K217-(+K217*V221)),IF(S221="Impacto",K217,"")),"")</f>
        <v/>
      </c>
      <c r="AA221" s="166" t="str">
        <f t="shared" si="94"/>
        <v/>
      </c>
      <c r="AB221" s="167" t="str">
        <f t="shared" si="95"/>
        <v/>
      </c>
      <c r="AC221" s="166" t="str">
        <f t="shared" si="96"/>
        <v/>
      </c>
      <c r="AD221" s="167" t="str">
        <f t="shared" si="98"/>
        <v/>
      </c>
      <c r="AE221" s="168" t="str">
        <f t="shared" si="97"/>
        <v/>
      </c>
      <c r="AF221" s="113"/>
      <c r="AG221" s="191"/>
      <c r="AH221" s="192"/>
      <c r="AI221" s="114"/>
      <c r="AJ221" s="114"/>
      <c r="AK221" s="191"/>
      <c r="AL221" s="192"/>
      <c r="AM221" s="155"/>
      <c r="AN221" s="155"/>
      <c r="AO221" s="155"/>
      <c r="AP221" s="155"/>
      <c r="AQ221" s="155"/>
      <c r="AR221" s="155"/>
      <c r="AS221" s="155"/>
      <c r="AT221" s="155"/>
      <c r="AU221" s="155"/>
      <c r="AV221" s="155"/>
      <c r="AW221" s="155"/>
      <c r="AX221" s="155"/>
      <c r="AY221" s="155"/>
      <c r="AZ221" s="155"/>
      <c r="BA221" s="155"/>
      <c r="BB221" s="155"/>
      <c r="BC221" s="155"/>
      <c r="BD221" s="155"/>
      <c r="BE221" s="155"/>
      <c r="BF221" s="155"/>
      <c r="BG221" s="155"/>
      <c r="BH221" s="155"/>
      <c r="BI221" s="155"/>
      <c r="BJ221" s="155"/>
      <c r="BK221" s="155"/>
      <c r="BL221" s="155"/>
      <c r="BM221" s="155"/>
      <c r="BN221" s="155"/>
      <c r="BO221" s="155"/>
      <c r="BP221" s="155"/>
      <c r="BQ221" s="155"/>
      <c r="BR221" s="155"/>
    </row>
    <row r="222" spans="1:70" s="156" customFormat="1" ht="16.5" hidden="1" customHeight="1" x14ac:dyDescent="0.25">
      <c r="A222" s="266"/>
      <c r="B222" s="269"/>
      <c r="C222" s="269"/>
      <c r="D222" s="271"/>
      <c r="E222" s="271"/>
      <c r="F222" s="271"/>
      <c r="G222" s="363"/>
      <c r="H222" s="271"/>
      <c r="I222" s="266"/>
      <c r="J222" s="276"/>
      <c r="K222" s="278"/>
      <c r="L222" s="274"/>
      <c r="M222" s="278">
        <f ca="1">IF(NOT(ISERROR(MATCH(L222,_xlfn.ANCHORARRAY(G233),0))),K235&amp;"Por favor no seleccionar los criterios de impacto",L222)</f>
        <v>0</v>
      </c>
      <c r="N222" s="276"/>
      <c r="O222" s="278"/>
      <c r="P222" s="280"/>
      <c r="Q222" s="201">
        <v>6</v>
      </c>
      <c r="R222" s="112"/>
      <c r="S222" s="201" t="str">
        <f t="shared" si="93"/>
        <v/>
      </c>
      <c r="T222" s="113"/>
      <c r="U222" s="113"/>
      <c r="V222" s="167" t="str">
        <f t="shared" si="86"/>
        <v/>
      </c>
      <c r="W222" s="113"/>
      <c r="X222" s="113"/>
      <c r="Y222" s="113"/>
      <c r="Z222" s="165" t="str">
        <f>IFERROR(IF(S222="Probabilidad",(K217-(+K217*V222)),IF(S222="Impacto",K217,"")),"")</f>
        <v/>
      </c>
      <c r="AA222" s="166" t="str">
        <f t="shared" si="94"/>
        <v/>
      </c>
      <c r="AB222" s="167" t="str">
        <f t="shared" si="95"/>
        <v/>
      </c>
      <c r="AC222" s="166" t="str">
        <f t="shared" si="96"/>
        <v/>
      </c>
      <c r="AD222" s="167" t="str">
        <f t="shared" si="98"/>
        <v/>
      </c>
      <c r="AE222" s="168" t="str">
        <f t="shared" si="97"/>
        <v/>
      </c>
      <c r="AF222" s="113"/>
      <c r="AG222" s="191"/>
      <c r="AH222" s="192"/>
      <c r="AI222" s="114"/>
      <c r="AJ222" s="114"/>
      <c r="AK222" s="191"/>
      <c r="AL222" s="192"/>
      <c r="AM222" s="155"/>
      <c r="AN222" s="155"/>
      <c r="AO222" s="155"/>
      <c r="AP222" s="155"/>
      <c r="AQ222" s="155"/>
      <c r="AR222" s="155"/>
      <c r="AS222" s="155"/>
      <c r="AT222" s="155"/>
      <c r="AU222" s="155"/>
      <c r="AV222" s="155"/>
      <c r="AW222" s="155"/>
      <c r="AX222" s="155"/>
      <c r="AY222" s="155"/>
      <c r="AZ222" s="155"/>
      <c r="BA222" s="155"/>
      <c r="BB222" s="155"/>
      <c r="BC222" s="155"/>
      <c r="BD222" s="155"/>
      <c r="BE222" s="155"/>
      <c r="BF222" s="155"/>
      <c r="BG222" s="155"/>
      <c r="BH222" s="155"/>
      <c r="BI222" s="155"/>
      <c r="BJ222" s="155"/>
      <c r="BK222" s="155"/>
      <c r="BL222" s="155"/>
      <c r="BM222" s="155"/>
      <c r="BN222" s="155"/>
      <c r="BO222" s="155"/>
      <c r="BP222" s="155"/>
      <c r="BQ222" s="155"/>
      <c r="BR222" s="155"/>
    </row>
    <row r="223" spans="1:70" s="156" customFormat="1" ht="144" customHeight="1" x14ac:dyDescent="0.25">
      <c r="A223" s="266">
        <v>36</v>
      </c>
      <c r="B223" s="267" t="s">
        <v>213</v>
      </c>
      <c r="C223" s="267" t="s">
        <v>645</v>
      </c>
      <c r="D223" s="270" t="s">
        <v>132</v>
      </c>
      <c r="E223" s="270" t="s">
        <v>646</v>
      </c>
      <c r="F223" s="270" t="s">
        <v>647</v>
      </c>
      <c r="G223" s="362" t="s">
        <v>648</v>
      </c>
      <c r="H223" s="270" t="s">
        <v>437</v>
      </c>
      <c r="I223" s="281">
        <v>5001</v>
      </c>
      <c r="J223" s="275" t="str">
        <f>IF(I223&lt;=0,"",IF(I223&lt;=2,"Muy Baja",IF(I223&lt;=24,"Baja",IF(I223&lt;=500,"Media",IF(I223&lt;=5000,"Alta","Muy Alta")))))</f>
        <v>Muy Alta</v>
      </c>
      <c r="K223" s="277">
        <f>IF(J223="","",IF(J223="Muy Baja",0.2,IF(J223="Baja",0.4,IF(J223="Media",0.6,IF(J223="Alta",0.8,IF(J223="Muy Alta",1,))))))</f>
        <v>1</v>
      </c>
      <c r="L223" s="273" t="s">
        <v>98</v>
      </c>
      <c r="M223" s="277" t="str">
        <f>IF(NOT(ISERROR(MATCH(L223,'[6]Tabla Impacto'!$B$221:$B$223,0))),'[6]Tabla Impacto'!$F$223&amp;"Por favor no seleccionar los criterios de impacto(Afectación Económica o presupuestal y Pérdida Reputacional)",L223)</f>
        <v>El riesgo afecta la imagen de la entidad con algunos usuarios de relevancia frente al logro de los objetivos</v>
      </c>
      <c r="N223" s="275" t="str">
        <f>+IF(OR(M223='[6]Tabla Impacto'!$C$11,M223='[6]Tabla Impacto'!$D$11),"Leve",IF(OR(M223='[6]Tabla Impacto'!$C$12,M223='[6]Tabla Impacto'!$D$12),"Menor",IF(OR(M223='[6]Tabla Impacto'!$C$13,M223='[6]Tabla Impacto'!$D$13),"Moderado",IF(OR(M223='[6]Tabla Impacto'!$C$14,M223='[6]Tabla Impacto'!$D$14),"Mayor",IF(OR(M223='[6]Tabla Impacto'!$C$15,M223='[6]Tabla Impacto'!$D$15),"Catastrófico","")))))</f>
        <v>Moderado</v>
      </c>
      <c r="O223" s="277">
        <f>IF(N223="","",IF(N223="Leve",0.2,IF(N223="Menor",0.4,IF(N223="Moderado",0.6,IF(N223="Mayor",0.8,IF(N223="Catastrófico",1,))))))</f>
        <v>0.6</v>
      </c>
      <c r="P223" s="279" t="str">
        <f>IF(OR(AND(J223="Muy Baja",N223="Leve"),AND(J223="Muy Baja",N223="Menor"),AND(J223="Baja",N223="Leve")),"Bajo",IF(OR(AND(J223="Muy baja",N223="Moderado"),AND(J223="Baja",N223="Menor"),AND(J223="Baja",N223="Moderado"),AND(J223="Media",N223="Leve"),AND(J223="Media",N223="Menor"),AND(J223="Media",N223="Moderado"),AND(J223="Alta",N223="Leve"),AND(J223="Alta",N223="Menor")),"Moderado",IF(OR(AND(J223="Muy Baja",N223="Mayor"),AND(J223="Baja",N223="Mayor"),AND(J223="Media",N223="Mayor"),AND(J223="Alta",N223="Moderado"),AND(J223="Alta",N223="Mayor"),AND(J223="Muy Alta",N223="Leve"),AND(J223="Muy Alta",N223="Menor"),AND(J223="Muy Alta",N223="Moderado"),AND(J223="Muy Alta",N223="Mayor")),"Alto",IF(OR(AND(J223="Muy Baja",N223="Catastrófico"),AND(J223="Baja",N223="Catastrófico"),AND(J223="Media",N223="Catastrófico"),AND(J223="Alta",N223="Catastrófico"),AND(J223="Muy Alta",N223="Catastrófico")),"Extremo",""))))</f>
        <v>Alto</v>
      </c>
      <c r="Q223" s="201">
        <v>1</v>
      </c>
      <c r="R223" s="112" t="s">
        <v>658</v>
      </c>
      <c r="S223" s="201" t="str">
        <f t="shared" si="93"/>
        <v>Probabilidad</v>
      </c>
      <c r="T223" s="113" t="s">
        <v>14</v>
      </c>
      <c r="U223" s="113" t="s">
        <v>9</v>
      </c>
      <c r="V223" s="167" t="str">
        <f t="shared" si="86"/>
        <v>40%</v>
      </c>
      <c r="W223" s="113" t="s">
        <v>19</v>
      </c>
      <c r="X223" s="113" t="s">
        <v>22</v>
      </c>
      <c r="Y223" s="113" t="s">
        <v>117</v>
      </c>
      <c r="Z223" s="165">
        <f t="shared" si="99"/>
        <v>0.6</v>
      </c>
      <c r="AA223" s="166" t="str">
        <f t="shared" si="94"/>
        <v>Media</v>
      </c>
      <c r="AB223" s="167">
        <f t="shared" si="95"/>
        <v>0.6</v>
      </c>
      <c r="AC223" s="166" t="str">
        <f t="shared" si="96"/>
        <v>Moderado</v>
      </c>
      <c r="AD223" s="167">
        <f t="shared" si="98"/>
        <v>0.6</v>
      </c>
      <c r="AE223" s="168" t="str">
        <f t="shared" si="97"/>
        <v>Moderado</v>
      </c>
      <c r="AF223" s="113" t="s">
        <v>31</v>
      </c>
      <c r="AG223" s="191"/>
      <c r="AH223" s="192"/>
      <c r="AI223" s="114"/>
      <c r="AJ223" s="114"/>
      <c r="AK223" s="191"/>
      <c r="AL223" s="192"/>
      <c r="AM223" s="155"/>
      <c r="AN223" s="155"/>
      <c r="AO223" s="155"/>
      <c r="AP223" s="155"/>
      <c r="AQ223" s="155"/>
      <c r="AR223" s="155"/>
      <c r="AS223" s="155"/>
      <c r="AT223" s="155"/>
      <c r="AU223" s="155"/>
      <c r="AV223" s="155"/>
      <c r="AW223" s="155"/>
      <c r="AX223" s="155"/>
      <c r="AY223" s="155"/>
      <c r="AZ223" s="155"/>
      <c r="BA223" s="155"/>
      <c r="BB223" s="155"/>
      <c r="BC223" s="155"/>
      <c r="BD223" s="155"/>
      <c r="BE223" s="155"/>
      <c r="BF223" s="155"/>
      <c r="BG223" s="155"/>
      <c r="BH223" s="155"/>
      <c r="BI223" s="155"/>
      <c r="BJ223" s="155"/>
      <c r="BK223" s="155"/>
      <c r="BL223" s="155"/>
      <c r="BM223" s="155"/>
      <c r="BN223" s="155"/>
      <c r="BO223" s="155"/>
      <c r="BP223" s="155"/>
      <c r="BQ223" s="155"/>
      <c r="BR223" s="155"/>
    </row>
    <row r="224" spans="1:70" s="156" customFormat="1" ht="144" customHeight="1" x14ac:dyDescent="0.25">
      <c r="A224" s="266"/>
      <c r="B224" s="294"/>
      <c r="C224" s="294"/>
      <c r="D224" s="270"/>
      <c r="E224" s="270"/>
      <c r="F224" s="270"/>
      <c r="G224" s="362"/>
      <c r="H224" s="270"/>
      <c r="I224" s="281"/>
      <c r="J224" s="275"/>
      <c r="K224" s="277"/>
      <c r="L224" s="273"/>
      <c r="M224" s="277">
        <f ca="1">IF(NOT(ISERROR(MATCH(L224,_xlfn.ANCHORARRAY(G235),0))),K237&amp;"Por favor no seleccionar los criterios de impacto",L224)</f>
        <v>0</v>
      </c>
      <c r="N224" s="275"/>
      <c r="O224" s="277"/>
      <c r="P224" s="279"/>
      <c r="Q224" s="201">
        <v>2</v>
      </c>
      <c r="R224" s="112" t="s">
        <v>659</v>
      </c>
      <c r="S224" s="201" t="str">
        <f t="shared" si="93"/>
        <v>Probabilidad</v>
      </c>
      <c r="T224" s="113" t="s">
        <v>14</v>
      </c>
      <c r="U224" s="113" t="s">
        <v>9</v>
      </c>
      <c r="V224" s="167" t="str">
        <f t="shared" si="86"/>
        <v>40%</v>
      </c>
      <c r="W224" s="113" t="s">
        <v>19</v>
      </c>
      <c r="X224" s="113" t="s">
        <v>22</v>
      </c>
      <c r="Y224" s="113" t="s">
        <v>117</v>
      </c>
      <c r="Z224" s="165">
        <f>IFERROR(IF(S224="Probabilidad",(K223-(+K223*V224)),IF(S224="Impacto",K223,"")),"")</f>
        <v>0.6</v>
      </c>
      <c r="AA224" s="166" t="str">
        <f t="shared" si="94"/>
        <v>Media</v>
      </c>
      <c r="AB224" s="167">
        <f t="shared" si="95"/>
        <v>0.6</v>
      </c>
      <c r="AC224" s="166" t="str">
        <f t="shared" si="96"/>
        <v>Moderado</v>
      </c>
      <c r="AD224" s="167">
        <f>IFERROR(IF(S224="Impacto",(O223-(+O223*V224)),IF(S224="Probabilidad",O223,"")),"")</f>
        <v>0.6</v>
      </c>
      <c r="AE224" s="168" t="str">
        <f t="shared" si="97"/>
        <v>Moderado</v>
      </c>
      <c r="AF224" s="113" t="s">
        <v>134</v>
      </c>
      <c r="AG224" s="191"/>
      <c r="AH224" s="192"/>
      <c r="AI224" s="114"/>
      <c r="AJ224" s="114"/>
      <c r="AK224" s="191"/>
      <c r="AL224" s="192"/>
      <c r="AM224" s="155"/>
      <c r="AN224" s="155"/>
      <c r="AO224" s="155"/>
      <c r="AP224" s="155"/>
      <c r="AQ224" s="155"/>
      <c r="AR224" s="155"/>
      <c r="AS224" s="155"/>
      <c r="AT224" s="155"/>
      <c r="AU224" s="155"/>
      <c r="AV224" s="155"/>
      <c r="AW224" s="155"/>
      <c r="AX224" s="155"/>
      <c r="AY224" s="155"/>
      <c r="AZ224" s="155"/>
      <c r="BA224" s="155"/>
      <c r="BB224" s="155"/>
      <c r="BC224" s="155"/>
      <c r="BD224" s="155"/>
      <c r="BE224" s="155"/>
      <c r="BF224" s="155"/>
      <c r="BG224" s="155"/>
      <c r="BH224" s="155"/>
      <c r="BI224" s="155"/>
      <c r="BJ224" s="155"/>
      <c r="BK224" s="155"/>
      <c r="BL224" s="155"/>
      <c r="BM224" s="155"/>
      <c r="BN224" s="155"/>
      <c r="BO224" s="155"/>
      <c r="BP224" s="155"/>
      <c r="BQ224" s="155"/>
      <c r="BR224" s="155"/>
    </row>
    <row r="225" spans="1:70" s="156" customFormat="1" ht="16.5" hidden="1" customHeight="1" x14ac:dyDescent="0.25">
      <c r="A225" s="266"/>
      <c r="B225" s="268"/>
      <c r="C225" s="268"/>
      <c r="D225" s="271"/>
      <c r="E225" s="271"/>
      <c r="F225" s="271"/>
      <c r="G225" s="363"/>
      <c r="H225" s="271"/>
      <c r="I225" s="266"/>
      <c r="J225" s="276"/>
      <c r="K225" s="278"/>
      <c r="L225" s="274"/>
      <c r="M225" s="278">
        <f ca="1">IF(NOT(ISERROR(MATCH(L225,_xlfn.ANCHORARRAY(G236),0))),K238&amp;"Por favor no seleccionar los criterios de impacto",L225)</f>
        <v>0</v>
      </c>
      <c r="N225" s="276"/>
      <c r="O225" s="278"/>
      <c r="P225" s="280"/>
      <c r="Q225" s="201">
        <v>3</v>
      </c>
      <c r="R225" s="112"/>
      <c r="S225" s="201" t="str">
        <f t="shared" si="93"/>
        <v/>
      </c>
      <c r="T225" s="113"/>
      <c r="U225" s="113"/>
      <c r="V225" s="167" t="str">
        <f t="shared" si="86"/>
        <v/>
      </c>
      <c r="W225" s="113"/>
      <c r="X225" s="113"/>
      <c r="Y225" s="113"/>
      <c r="Z225" s="165" t="str">
        <f>IFERROR(IF(S225="Probabilidad",(K223-(+K223*V225)),IF(S225="Impacto",K223,"")),"")</f>
        <v/>
      </c>
      <c r="AA225" s="166" t="str">
        <f t="shared" si="94"/>
        <v/>
      </c>
      <c r="AB225" s="167" t="str">
        <f t="shared" si="95"/>
        <v/>
      </c>
      <c r="AC225" s="166" t="str">
        <f t="shared" si="96"/>
        <v/>
      </c>
      <c r="AD225" s="167" t="str">
        <f t="shared" si="98"/>
        <v/>
      </c>
      <c r="AE225" s="168" t="str">
        <f t="shared" si="97"/>
        <v/>
      </c>
      <c r="AF225" s="113"/>
      <c r="AG225" s="191"/>
      <c r="AH225" s="192"/>
      <c r="AI225" s="114"/>
      <c r="AJ225" s="114"/>
      <c r="AK225" s="191"/>
      <c r="AL225" s="192"/>
      <c r="AM225" s="155"/>
      <c r="AN225" s="155"/>
      <c r="AO225" s="155"/>
      <c r="AP225" s="155"/>
      <c r="AQ225" s="155"/>
      <c r="AR225" s="155"/>
      <c r="AS225" s="155"/>
      <c r="AT225" s="155"/>
      <c r="AU225" s="155"/>
      <c r="AV225" s="155"/>
      <c r="AW225" s="155"/>
      <c r="AX225" s="155"/>
      <c r="AY225" s="155"/>
      <c r="AZ225" s="155"/>
      <c r="BA225" s="155"/>
      <c r="BB225" s="155"/>
      <c r="BC225" s="155"/>
      <c r="BD225" s="155"/>
      <c r="BE225" s="155"/>
      <c r="BF225" s="155"/>
      <c r="BG225" s="155"/>
      <c r="BH225" s="155"/>
      <c r="BI225" s="155"/>
      <c r="BJ225" s="155"/>
      <c r="BK225" s="155"/>
      <c r="BL225" s="155"/>
      <c r="BM225" s="155"/>
      <c r="BN225" s="155"/>
      <c r="BO225" s="155"/>
      <c r="BP225" s="155"/>
      <c r="BQ225" s="155"/>
      <c r="BR225" s="155"/>
    </row>
    <row r="226" spans="1:70" s="156" customFormat="1" ht="16.5" hidden="1" customHeight="1" x14ac:dyDescent="0.25">
      <c r="A226" s="266"/>
      <c r="B226" s="268"/>
      <c r="C226" s="268"/>
      <c r="D226" s="271"/>
      <c r="E226" s="271"/>
      <c r="F226" s="271"/>
      <c r="G226" s="363"/>
      <c r="H226" s="271"/>
      <c r="I226" s="266"/>
      <c r="J226" s="276"/>
      <c r="K226" s="278"/>
      <c r="L226" s="274"/>
      <c r="M226" s="278">
        <f ca="1">IF(NOT(ISERROR(MATCH(L226,_xlfn.ANCHORARRAY(G237),0))),K239&amp;"Por favor no seleccionar los criterios de impacto",L226)</f>
        <v>0</v>
      </c>
      <c r="N226" s="276"/>
      <c r="O226" s="278"/>
      <c r="P226" s="280"/>
      <c r="Q226" s="201">
        <v>4</v>
      </c>
      <c r="R226" s="112"/>
      <c r="S226" s="201" t="str">
        <f t="shared" si="93"/>
        <v/>
      </c>
      <c r="T226" s="113"/>
      <c r="U226" s="113"/>
      <c r="V226" s="167" t="str">
        <f t="shared" si="86"/>
        <v/>
      </c>
      <c r="W226" s="113"/>
      <c r="X226" s="113"/>
      <c r="Y226" s="113"/>
      <c r="Z226" s="165" t="str">
        <f>IFERROR(IF(S226="Probabilidad",(K223-(+K223*V226)),IF(S226="Impacto",K223,"")),"")</f>
        <v/>
      </c>
      <c r="AA226" s="166" t="str">
        <f t="shared" si="94"/>
        <v/>
      </c>
      <c r="AB226" s="167" t="str">
        <f t="shared" si="95"/>
        <v/>
      </c>
      <c r="AC226" s="166" t="str">
        <f t="shared" si="96"/>
        <v/>
      </c>
      <c r="AD226" s="167" t="str">
        <f t="shared" si="98"/>
        <v/>
      </c>
      <c r="AE226" s="168" t="str">
        <f t="shared" si="97"/>
        <v/>
      </c>
      <c r="AF226" s="113"/>
      <c r="AG226" s="191"/>
      <c r="AH226" s="192"/>
      <c r="AI226" s="114"/>
      <c r="AJ226" s="114"/>
      <c r="AK226" s="191"/>
      <c r="AL226" s="192"/>
      <c r="AM226" s="155"/>
      <c r="AN226" s="155"/>
      <c r="AO226" s="155"/>
      <c r="AP226" s="155"/>
      <c r="AQ226" s="155"/>
      <c r="AR226" s="155"/>
      <c r="AS226" s="155"/>
      <c r="AT226" s="155"/>
      <c r="AU226" s="155"/>
      <c r="AV226" s="155"/>
      <c r="AW226" s="155"/>
      <c r="AX226" s="155"/>
      <c r="AY226" s="155"/>
      <c r="AZ226" s="155"/>
      <c r="BA226" s="155"/>
      <c r="BB226" s="155"/>
      <c r="BC226" s="155"/>
      <c r="BD226" s="155"/>
      <c r="BE226" s="155"/>
      <c r="BF226" s="155"/>
      <c r="BG226" s="155"/>
      <c r="BH226" s="155"/>
      <c r="BI226" s="155"/>
      <c r="BJ226" s="155"/>
      <c r="BK226" s="155"/>
      <c r="BL226" s="155"/>
      <c r="BM226" s="155"/>
      <c r="BN226" s="155"/>
      <c r="BO226" s="155"/>
      <c r="BP226" s="155"/>
      <c r="BQ226" s="155"/>
      <c r="BR226" s="155"/>
    </row>
    <row r="227" spans="1:70" s="156" customFormat="1" ht="16.5" hidden="1" customHeight="1" x14ac:dyDescent="0.25">
      <c r="A227" s="266"/>
      <c r="B227" s="268"/>
      <c r="C227" s="268"/>
      <c r="D227" s="271"/>
      <c r="E227" s="271"/>
      <c r="F227" s="271"/>
      <c r="G227" s="363"/>
      <c r="H227" s="271"/>
      <c r="I227" s="266"/>
      <c r="J227" s="276"/>
      <c r="K227" s="278"/>
      <c r="L227" s="274"/>
      <c r="M227" s="278">
        <f ca="1">IF(NOT(ISERROR(MATCH(L227,_xlfn.ANCHORARRAY(G238),0))),K240&amp;"Por favor no seleccionar los criterios de impacto",L227)</f>
        <v>0</v>
      </c>
      <c r="N227" s="276"/>
      <c r="O227" s="278"/>
      <c r="P227" s="280"/>
      <c r="Q227" s="201">
        <v>5</v>
      </c>
      <c r="R227" s="112"/>
      <c r="S227" s="201" t="str">
        <f t="shared" si="93"/>
        <v/>
      </c>
      <c r="T227" s="113"/>
      <c r="U227" s="113"/>
      <c r="V227" s="167" t="str">
        <f t="shared" si="86"/>
        <v/>
      </c>
      <c r="W227" s="113"/>
      <c r="X227" s="113"/>
      <c r="Y227" s="113"/>
      <c r="Z227" s="165" t="str">
        <f>IFERROR(IF(S227="Probabilidad",(K223-(+K223*V227)),IF(S227="Impacto",K223,"")),"")</f>
        <v/>
      </c>
      <c r="AA227" s="166" t="str">
        <f t="shared" si="94"/>
        <v/>
      </c>
      <c r="AB227" s="167" t="str">
        <f t="shared" si="95"/>
        <v/>
      </c>
      <c r="AC227" s="166" t="str">
        <f t="shared" si="96"/>
        <v/>
      </c>
      <c r="AD227" s="167" t="str">
        <f t="shared" si="98"/>
        <v/>
      </c>
      <c r="AE227" s="168" t="str">
        <f t="shared" si="97"/>
        <v/>
      </c>
      <c r="AF227" s="113"/>
      <c r="AG227" s="191"/>
      <c r="AH227" s="192"/>
      <c r="AI227" s="114"/>
      <c r="AJ227" s="114"/>
      <c r="AK227" s="191"/>
      <c r="AL227" s="192"/>
      <c r="AM227" s="155"/>
      <c r="AN227" s="155"/>
      <c r="AO227" s="155"/>
      <c r="AP227" s="155"/>
      <c r="AQ227" s="155"/>
      <c r="AR227" s="155"/>
      <c r="AS227" s="155"/>
      <c r="AT227" s="155"/>
      <c r="AU227" s="155"/>
      <c r="AV227" s="155"/>
      <c r="AW227" s="155"/>
      <c r="AX227" s="155"/>
      <c r="AY227" s="155"/>
      <c r="AZ227" s="155"/>
      <c r="BA227" s="155"/>
      <c r="BB227" s="155"/>
      <c r="BC227" s="155"/>
      <c r="BD227" s="155"/>
      <c r="BE227" s="155"/>
      <c r="BF227" s="155"/>
      <c r="BG227" s="155"/>
      <c r="BH227" s="155"/>
      <c r="BI227" s="155"/>
      <c r="BJ227" s="155"/>
      <c r="BK227" s="155"/>
      <c r="BL227" s="155"/>
      <c r="BM227" s="155"/>
      <c r="BN227" s="155"/>
      <c r="BO227" s="155"/>
      <c r="BP227" s="155"/>
      <c r="BQ227" s="155"/>
      <c r="BR227" s="155"/>
    </row>
    <row r="228" spans="1:70" s="156" customFormat="1" ht="16.5" hidden="1" customHeight="1" x14ac:dyDescent="0.25">
      <c r="A228" s="266"/>
      <c r="B228" s="269"/>
      <c r="C228" s="269"/>
      <c r="D228" s="271"/>
      <c r="E228" s="271"/>
      <c r="F228" s="271"/>
      <c r="G228" s="363"/>
      <c r="H228" s="271"/>
      <c r="I228" s="266"/>
      <c r="J228" s="276"/>
      <c r="K228" s="278"/>
      <c r="L228" s="274"/>
      <c r="M228" s="278">
        <f ca="1">IF(NOT(ISERROR(MATCH(L228,_xlfn.ANCHORARRAY(G239),0))),K241&amp;"Por favor no seleccionar los criterios de impacto",L228)</f>
        <v>0</v>
      </c>
      <c r="N228" s="276"/>
      <c r="O228" s="278"/>
      <c r="P228" s="280"/>
      <c r="Q228" s="201">
        <v>6</v>
      </c>
      <c r="R228" s="112"/>
      <c r="S228" s="201" t="str">
        <f t="shared" si="93"/>
        <v/>
      </c>
      <c r="T228" s="113"/>
      <c r="U228" s="113"/>
      <c r="V228" s="167" t="str">
        <f t="shared" si="86"/>
        <v/>
      </c>
      <c r="W228" s="113"/>
      <c r="X228" s="113"/>
      <c r="Y228" s="113"/>
      <c r="Z228" s="165" t="str">
        <f>IFERROR(IF(S228="Probabilidad",(K223-(+K223*V228)),IF(S228="Impacto",K223,"")),"")</f>
        <v/>
      </c>
      <c r="AA228" s="166" t="str">
        <f t="shared" si="94"/>
        <v/>
      </c>
      <c r="AB228" s="167" t="str">
        <f t="shared" si="95"/>
        <v/>
      </c>
      <c r="AC228" s="166" t="str">
        <f t="shared" si="96"/>
        <v/>
      </c>
      <c r="AD228" s="167" t="str">
        <f t="shared" si="98"/>
        <v/>
      </c>
      <c r="AE228" s="168" t="str">
        <f t="shared" si="97"/>
        <v/>
      </c>
      <c r="AF228" s="113"/>
      <c r="AG228" s="191"/>
      <c r="AH228" s="192"/>
      <c r="AI228" s="114"/>
      <c r="AJ228" s="114"/>
      <c r="AK228" s="191"/>
      <c r="AL228" s="192"/>
      <c r="AM228" s="155"/>
      <c r="AN228" s="155"/>
      <c r="AO228" s="155"/>
      <c r="AP228" s="155"/>
      <c r="AQ228" s="155"/>
      <c r="AR228" s="155"/>
      <c r="AS228" s="155"/>
      <c r="AT228" s="155"/>
      <c r="AU228" s="155"/>
      <c r="AV228" s="155"/>
      <c r="AW228" s="155"/>
      <c r="AX228" s="155"/>
      <c r="AY228" s="155"/>
      <c r="AZ228" s="155"/>
      <c r="BA228" s="155"/>
      <c r="BB228" s="155"/>
      <c r="BC228" s="155"/>
      <c r="BD228" s="155"/>
      <c r="BE228" s="155"/>
      <c r="BF228" s="155"/>
      <c r="BG228" s="155"/>
      <c r="BH228" s="155"/>
      <c r="BI228" s="155"/>
      <c r="BJ228" s="155"/>
      <c r="BK228" s="155"/>
      <c r="BL228" s="155"/>
      <c r="BM228" s="155"/>
      <c r="BN228" s="155"/>
      <c r="BO228" s="155"/>
      <c r="BP228" s="155"/>
      <c r="BQ228" s="155"/>
      <c r="BR228" s="155"/>
    </row>
    <row r="229" spans="1:70" s="156" customFormat="1" ht="129" customHeight="1" x14ac:dyDescent="0.25">
      <c r="A229" s="266">
        <v>37</v>
      </c>
      <c r="B229" s="267" t="s">
        <v>213</v>
      </c>
      <c r="C229" s="267" t="s">
        <v>645</v>
      </c>
      <c r="D229" s="270" t="s">
        <v>132</v>
      </c>
      <c r="E229" s="270" t="s">
        <v>629</v>
      </c>
      <c r="F229" s="270" t="s">
        <v>649</v>
      </c>
      <c r="G229" s="362" t="s">
        <v>650</v>
      </c>
      <c r="H229" s="364" t="s">
        <v>123</v>
      </c>
      <c r="I229" s="281">
        <v>5001</v>
      </c>
      <c r="J229" s="275" t="str">
        <f>IF(I229&lt;=0,"",IF(I229&lt;=2,"Muy Baja",IF(I229&lt;=24,"Baja",IF(I229&lt;=500,"Media",IF(I229&lt;=5000,"Alta","Muy Alta")))))</f>
        <v>Muy Alta</v>
      </c>
      <c r="K229" s="277">
        <f>IF(J229="","",IF(J229="Muy Baja",0.2,IF(J229="Baja",0.4,IF(J229="Media",0.6,IF(J229="Alta",0.8,IF(J229="Muy Alta",1,))))))</f>
        <v>1</v>
      </c>
      <c r="L229" s="273" t="s">
        <v>98</v>
      </c>
      <c r="M229" s="277" t="str">
        <f>IF(NOT(ISERROR(MATCH(L229,'[6]Tabla Impacto'!$B$221:$B$223,0))),'[6]Tabla Impacto'!$F$223&amp;"Por favor no seleccionar los criterios de impacto(Afectación Económica o presupuestal y Pérdida Reputacional)",L229)</f>
        <v>El riesgo afecta la imagen de la entidad con algunos usuarios de relevancia frente al logro de los objetivos</v>
      </c>
      <c r="N229" s="275" t="str">
        <f>+IF(OR(M229='[6]Tabla Impacto'!$C$11,M229='[6]Tabla Impacto'!$D$11),"Leve",IF(OR(M229='[6]Tabla Impacto'!$C$12,M229='[6]Tabla Impacto'!$D$12),"Menor",IF(OR(M229='[6]Tabla Impacto'!$C$13,M229='[6]Tabla Impacto'!$D$13),"Moderado",IF(OR(M229='[6]Tabla Impacto'!$C$14,M229='[6]Tabla Impacto'!$D$14),"Mayor",IF(OR(M229='[6]Tabla Impacto'!$C$15,M229='[6]Tabla Impacto'!$D$15),"Catastrófico","")))))</f>
        <v>Moderado</v>
      </c>
      <c r="O229" s="277">
        <f>IF(N229="","",IF(N229="Leve",0.2,IF(N229="Menor",0.4,IF(N229="Moderado",0.6,IF(N229="Mayor",0.8,IF(N229="Catastrófico",1,))))))</f>
        <v>0.6</v>
      </c>
      <c r="P229" s="279" t="str">
        <f>IF(OR(AND(J229="Muy Baja",N229="Leve"),AND(J229="Muy Baja",N229="Menor"),AND(J229="Baja",N229="Leve")),"Bajo",IF(OR(AND(J229="Muy baja",N229="Moderado"),AND(J229="Baja",N229="Menor"),AND(J229="Baja",N229="Moderado"),AND(J229="Media",N229="Leve"),AND(J229="Media",N229="Menor"),AND(J229="Media",N229="Moderado"),AND(J229="Alta",N229="Leve"),AND(J229="Alta",N229="Menor")),"Moderado",IF(OR(AND(J229="Muy Baja",N229="Mayor"),AND(J229="Baja",N229="Mayor"),AND(J229="Media",N229="Mayor"),AND(J229="Alta",N229="Moderado"),AND(J229="Alta",N229="Mayor"),AND(J229="Muy Alta",N229="Leve"),AND(J229="Muy Alta",N229="Menor"),AND(J229="Muy Alta",N229="Moderado"),AND(J229="Muy Alta",N229="Mayor")),"Alto",IF(OR(AND(J229="Muy Baja",N229="Catastrófico"),AND(J229="Baja",N229="Catastrófico"),AND(J229="Media",N229="Catastrófico"),AND(J229="Alta",N229="Catastrófico"),AND(J229="Muy Alta",N229="Catastrófico")),"Extremo",""))))</f>
        <v>Alto</v>
      </c>
      <c r="Q229" s="201">
        <v>1</v>
      </c>
      <c r="R229" s="112" t="s">
        <v>660</v>
      </c>
      <c r="S229" s="201" t="str">
        <f t="shared" si="93"/>
        <v>Probabilidad</v>
      </c>
      <c r="T229" s="113" t="s">
        <v>14</v>
      </c>
      <c r="U229" s="113" t="s">
        <v>9</v>
      </c>
      <c r="V229" s="167" t="str">
        <f t="shared" si="86"/>
        <v>40%</v>
      </c>
      <c r="W229" s="113" t="s">
        <v>19</v>
      </c>
      <c r="X229" s="113" t="s">
        <v>22</v>
      </c>
      <c r="Y229" s="113" t="s">
        <v>117</v>
      </c>
      <c r="Z229" s="165">
        <f t="shared" si="99"/>
        <v>0.6</v>
      </c>
      <c r="AA229" s="166" t="str">
        <f t="shared" si="94"/>
        <v>Media</v>
      </c>
      <c r="AB229" s="167">
        <f t="shared" si="95"/>
        <v>0.6</v>
      </c>
      <c r="AC229" s="166" t="str">
        <f t="shared" si="96"/>
        <v>Moderado</v>
      </c>
      <c r="AD229" s="167">
        <f t="shared" si="98"/>
        <v>0.6</v>
      </c>
      <c r="AE229" s="168" t="str">
        <f t="shared" si="97"/>
        <v>Moderado</v>
      </c>
      <c r="AF229" s="113" t="s">
        <v>134</v>
      </c>
      <c r="AG229" s="191"/>
      <c r="AH229" s="192"/>
      <c r="AI229" s="114"/>
      <c r="AJ229" s="114"/>
      <c r="AK229" s="191"/>
      <c r="AL229" s="192"/>
      <c r="AM229" s="155"/>
      <c r="AN229" s="155"/>
      <c r="AO229" s="155"/>
      <c r="AP229" s="155"/>
      <c r="AQ229" s="155"/>
      <c r="AR229" s="155"/>
      <c r="AS229" s="155"/>
      <c r="AT229" s="155"/>
      <c r="AU229" s="155"/>
      <c r="AV229" s="155"/>
      <c r="AW229" s="155"/>
      <c r="AX229" s="155"/>
      <c r="AY229" s="155"/>
      <c r="AZ229" s="155"/>
      <c r="BA229" s="155"/>
      <c r="BB229" s="155"/>
      <c r="BC229" s="155"/>
      <c r="BD229" s="155"/>
      <c r="BE229" s="155"/>
      <c r="BF229" s="155"/>
      <c r="BG229" s="155"/>
      <c r="BH229" s="155"/>
      <c r="BI229" s="155"/>
      <c r="BJ229" s="155"/>
      <c r="BK229" s="155"/>
      <c r="BL229" s="155"/>
      <c r="BM229" s="155"/>
      <c r="BN229" s="155"/>
      <c r="BO229" s="155"/>
      <c r="BP229" s="155"/>
      <c r="BQ229" s="155"/>
      <c r="BR229" s="155"/>
    </row>
    <row r="230" spans="1:70" s="156" customFormat="1" ht="16.5" hidden="1" customHeight="1" x14ac:dyDescent="0.25">
      <c r="A230" s="266"/>
      <c r="B230" s="268"/>
      <c r="C230" s="268"/>
      <c r="D230" s="271"/>
      <c r="E230" s="271"/>
      <c r="F230" s="271"/>
      <c r="G230" s="363"/>
      <c r="H230" s="271"/>
      <c r="I230" s="266"/>
      <c r="J230" s="276"/>
      <c r="K230" s="278"/>
      <c r="L230" s="274"/>
      <c r="M230" s="278">
        <f ca="1">IF(NOT(ISERROR(MATCH(L230,_xlfn.ANCHORARRAY(G241),0))),K243&amp;"Por favor no seleccionar los criterios de impacto",L230)</f>
        <v>0</v>
      </c>
      <c r="N230" s="276"/>
      <c r="O230" s="278"/>
      <c r="P230" s="280"/>
      <c r="Q230" s="201">
        <v>2</v>
      </c>
      <c r="R230" s="112"/>
      <c r="S230" s="201" t="str">
        <f t="shared" si="93"/>
        <v/>
      </c>
      <c r="T230" s="113"/>
      <c r="U230" s="113"/>
      <c r="V230" s="167" t="str">
        <f t="shared" si="86"/>
        <v/>
      </c>
      <c r="W230" s="113"/>
      <c r="X230" s="113"/>
      <c r="Y230" s="113"/>
      <c r="Z230" s="165" t="str">
        <f>IFERROR(IF(S230="Probabilidad",(K229-(+K229*V230)),IF(S230="Impacto",K229,"")),"")</f>
        <v/>
      </c>
      <c r="AA230" s="166" t="str">
        <f t="shared" si="94"/>
        <v/>
      </c>
      <c r="AB230" s="167" t="str">
        <f t="shared" si="95"/>
        <v/>
      </c>
      <c r="AC230" s="166" t="str">
        <f t="shared" si="96"/>
        <v/>
      </c>
      <c r="AD230" s="167" t="str">
        <f t="shared" si="98"/>
        <v/>
      </c>
      <c r="AE230" s="168" t="str">
        <f t="shared" si="97"/>
        <v/>
      </c>
      <c r="AF230" s="113"/>
      <c r="AG230" s="191"/>
      <c r="AH230" s="192"/>
      <c r="AI230" s="114"/>
      <c r="AJ230" s="114"/>
      <c r="AK230" s="191"/>
      <c r="AL230" s="192"/>
      <c r="AM230" s="155"/>
      <c r="AN230" s="155"/>
      <c r="AO230" s="155"/>
      <c r="AP230" s="155"/>
      <c r="AQ230" s="155"/>
      <c r="AR230" s="155"/>
      <c r="AS230" s="155"/>
      <c r="AT230" s="155"/>
      <c r="AU230" s="155"/>
      <c r="AV230" s="155"/>
      <c r="AW230" s="155"/>
      <c r="AX230" s="155"/>
      <c r="AY230" s="155"/>
      <c r="AZ230" s="155"/>
      <c r="BA230" s="155"/>
      <c r="BB230" s="155"/>
      <c r="BC230" s="155"/>
      <c r="BD230" s="155"/>
      <c r="BE230" s="155"/>
      <c r="BF230" s="155"/>
      <c r="BG230" s="155"/>
      <c r="BH230" s="155"/>
      <c r="BI230" s="155"/>
      <c r="BJ230" s="155"/>
      <c r="BK230" s="155"/>
      <c r="BL230" s="155"/>
      <c r="BM230" s="155"/>
      <c r="BN230" s="155"/>
      <c r="BO230" s="155"/>
      <c r="BP230" s="155"/>
      <c r="BQ230" s="155"/>
      <c r="BR230" s="155"/>
    </row>
    <row r="231" spans="1:70" s="156" customFormat="1" ht="16.5" hidden="1" customHeight="1" x14ac:dyDescent="0.25">
      <c r="A231" s="266"/>
      <c r="B231" s="268"/>
      <c r="C231" s="268"/>
      <c r="D231" s="271"/>
      <c r="E231" s="271"/>
      <c r="F231" s="271"/>
      <c r="G231" s="363"/>
      <c r="H231" s="271"/>
      <c r="I231" s="266"/>
      <c r="J231" s="276"/>
      <c r="K231" s="278"/>
      <c r="L231" s="274"/>
      <c r="M231" s="278">
        <f ca="1">IF(NOT(ISERROR(MATCH(L231,_xlfn.ANCHORARRAY(G242),0))),K244&amp;"Por favor no seleccionar los criterios de impacto",L231)</f>
        <v>0</v>
      </c>
      <c r="N231" s="276"/>
      <c r="O231" s="278"/>
      <c r="P231" s="280"/>
      <c r="Q231" s="201">
        <v>3</v>
      </c>
      <c r="R231" s="112"/>
      <c r="S231" s="201" t="str">
        <f t="shared" si="93"/>
        <v/>
      </c>
      <c r="T231" s="113"/>
      <c r="U231" s="113"/>
      <c r="V231" s="167" t="str">
        <f t="shared" si="86"/>
        <v/>
      </c>
      <c r="W231" s="113"/>
      <c r="X231" s="113"/>
      <c r="Y231" s="113"/>
      <c r="Z231" s="165" t="str">
        <f>IFERROR(IF(S231="Probabilidad",(K229-(+K229*V231)),IF(S231="Impacto",K229,"")),"")</f>
        <v/>
      </c>
      <c r="AA231" s="166" t="str">
        <f t="shared" si="94"/>
        <v/>
      </c>
      <c r="AB231" s="167" t="str">
        <f t="shared" si="95"/>
        <v/>
      </c>
      <c r="AC231" s="166" t="str">
        <f t="shared" si="96"/>
        <v/>
      </c>
      <c r="AD231" s="167" t="str">
        <f t="shared" si="98"/>
        <v/>
      </c>
      <c r="AE231" s="168" t="str">
        <f t="shared" si="97"/>
        <v/>
      </c>
      <c r="AF231" s="113"/>
      <c r="AG231" s="191"/>
      <c r="AH231" s="192"/>
      <c r="AI231" s="114"/>
      <c r="AJ231" s="114"/>
      <c r="AK231" s="191"/>
      <c r="AL231" s="192"/>
      <c r="AM231" s="155"/>
      <c r="AN231" s="155"/>
      <c r="AO231" s="155"/>
      <c r="AP231" s="155"/>
      <c r="AQ231" s="155"/>
      <c r="AR231" s="155"/>
      <c r="AS231" s="155"/>
      <c r="AT231" s="155"/>
      <c r="AU231" s="155"/>
      <c r="AV231" s="155"/>
      <c r="AW231" s="155"/>
      <c r="AX231" s="155"/>
      <c r="AY231" s="155"/>
      <c r="AZ231" s="155"/>
      <c r="BA231" s="155"/>
      <c r="BB231" s="155"/>
      <c r="BC231" s="155"/>
      <c r="BD231" s="155"/>
      <c r="BE231" s="155"/>
      <c r="BF231" s="155"/>
      <c r="BG231" s="155"/>
      <c r="BH231" s="155"/>
      <c r="BI231" s="155"/>
      <c r="BJ231" s="155"/>
      <c r="BK231" s="155"/>
      <c r="BL231" s="155"/>
      <c r="BM231" s="155"/>
      <c r="BN231" s="155"/>
      <c r="BO231" s="155"/>
      <c r="BP231" s="155"/>
      <c r="BQ231" s="155"/>
      <c r="BR231" s="155"/>
    </row>
    <row r="232" spans="1:70" s="156" customFormat="1" ht="16.5" hidden="1" customHeight="1" x14ac:dyDescent="0.25">
      <c r="A232" s="266"/>
      <c r="B232" s="268"/>
      <c r="C232" s="268"/>
      <c r="D232" s="271"/>
      <c r="E232" s="271"/>
      <c r="F232" s="271"/>
      <c r="G232" s="363"/>
      <c r="H232" s="271"/>
      <c r="I232" s="266"/>
      <c r="J232" s="276"/>
      <c r="K232" s="278"/>
      <c r="L232" s="274"/>
      <c r="M232" s="278">
        <f ca="1">IF(NOT(ISERROR(MATCH(L232,_xlfn.ANCHORARRAY(G243),0))),K245&amp;"Por favor no seleccionar los criterios de impacto",L232)</f>
        <v>0</v>
      </c>
      <c r="N232" s="276"/>
      <c r="O232" s="278"/>
      <c r="P232" s="280"/>
      <c r="Q232" s="201">
        <v>4</v>
      </c>
      <c r="R232" s="112"/>
      <c r="S232" s="201" t="str">
        <f t="shared" si="93"/>
        <v/>
      </c>
      <c r="T232" s="113"/>
      <c r="U232" s="113"/>
      <c r="V232" s="167" t="str">
        <f t="shared" si="86"/>
        <v/>
      </c>
      <c r="W232" s="113"/>
      <c r="X232" s="113"/>
      <c r="Y232" s="113"/>
      <c r="Z232" s="165" t="str">
        <f>IFERROR(IF(S232="Probabilidad",(K229-(+K229*V232)),IF(S232="Impacto",K229,"")),"")</f>
        <v/>
      </c>
      <c r="AA232" s="166" t="str">
        <f t="shared" si="94"/>
        <v/>
      </c>
      <c r="AB232" s="167" t="str">
        <f t="shared" si="95"/>
        <v/>
      </c>
      <c r="AC232" s="166" t="str">
        <f t="shared" si="96"/>
        <v/>
      </c>
      <c r="AD232" s="167" t="str">
        <f t="shared" si="98"/>
        <v/>
      </c>
      <c r="AE232" s="168" t="str">
        <f t="shared" si="97"/>
        <v/>
      </c>
      <c r="AF232" s="113"/>
      <c r="AG232" s="191"/>
      <c r="AH232" s="192"/>
      <c r="AI232" s="114"/>
      <c r="AJ232" s="114"/>
      <c r="AK232" s="191"/>
      <c r="AL232" s="192"/>
      <c r="AM232" s="155"/>
      <c r="AN232" s="155"/>
      <c r="AO232" s="155"/>
      <c r="AP232" s="155"/>
      <c r="AQ232" s="155"/>
      <c r="AR232" s="155"/>
      <c r="AS232" s="155"/>
      <c r="AT232" s="155"/>
      <c r="AU232" s="155"/>
      <c r="AV232" s="155"/>
      <c r="AW232" s="155"/>
      <c r="AX232" s="155"/>
      <c r="AY232" s="155"/>
      <c r="AZ232" s="155"/>
      <c r="BA232" s="155"/>
      <c r="BB232" s="155"/>
      <c r="BC232" s="155"/>
      <c r="BD232" s="155"/>
      <c r="BE232" s="155"/>
      <c r="BF232" s="155"/>
      <c r="BG232" s="155"/>
      <c r="BH232" s="155"/>
      <c r="BI232" s="155"/>
      <c r="BJ232" s="155"/>
      <c r="BK232" s="155"/>
      <c r="BL232" s="155"/>
      <c r="BM232" s="155"/>
      <c r="BN232" s="155"/>
      <c r="BO232" s="155"/>
      <c r="BP232" s="155"/>
      <c r="BQ232" s="155"/>
      <c r="BR232" s="155"/>
    </row>
    <row r="233" spans="1:70" s="156" customFormat="1" ht="16.5" hidden="1" customHeight="1" x14ac:dyDescent="0.25">
      <c r="A233" s="266"/>
      <c r="B233" s="268"/>
      <c r="C233" s="268"/>
      <c r="D233" s="271"/>
      <c r="E233" s="271"/>
      <c r="F233" s="271"/>
      <c r="G233" s="363"/>
      <c r="H233" s="271"/>
      <c r="I233" s="266"/>
      <c r="J233" s="276"/>
      <c r="K233" s="278"/>
      <c r="L233" s="274"/>
      <c r="M233" s="278">
        <f ca="1">IF(NOT(ISERROR(MATCH(L233,_xlfn.ANCHORARRAY(G244),0))),K246&amp;"Por favor no seleccionar los criterios de impacto",L233)</f>
        <v>0</v>
      </c>
      <c r="N233" s="276"/>
      <c r="O233" s="278"/>
      <c r="P233" s="280"/>
      <c r="Q233" s="201">
        <v>5</v>
      </c>
      <c r="R233" s="112"/>
      <c r="S233" s="201" t="str">
        <f t="shared" si="93"/>
        <v/>
      </c>
      <c r="T233" s="113"/>
      <c r="U233" s="113"/>
      <c r="V233" s="167" t="str">
        <f t="shared" si="86"/>
        <v/>
      </c>
      <c r="W233" s="113"/>
      <c r="X233" s="113"/>
      <c r="Y233" s="113"/>
      <c r="Z233" s="165" t="str">
        <f>IFERROR(IF(S233="Probabilidad",(K229-(+K229*V233)),IF(S233="Impacto",K229,"")),"")</f>
        <v/>
      </c>
      <c r="AA233" s="166" t="str">
        <f t="shared" si="94"/>
        <v/>
      </c>
      <c r="AB233" s="167" t="str">
        <f t="shared" si="95"/>
        <v/>
      </c>
      <c r="AC233" s="166" t="str">
        <f t="shared" si="96"/>
        <v/>
      </c>
      <c r="AD233" s="167" t="str">
        <f t="shared" si="98"/>
        <v/>
      </c>
      <c r="AE233" s="168" t="str">
        <f t="shared" si="97"/>
        <v/>
      </c>
      <c r="AF233" s="113"/>
      <c r="AG233" s="191"/>
      <c r="AH233" s="192"/>
      <c r="AI233" s="114"/>
      <c r="AJ233" s="114"/>
      <c r="AK233" s="191"/>
      <c r="AL233" s="192"/>
      <c r="AM233" s="155"/>
      <c r="AN233" s="155"/>
      <c r="AO233" s="155"/>
      <c r="AP233" s="155"/>
      <c r="AQ233" s="155"/>
      <c r="AR233" s="155"/>
      <c r="AS233" s="155"/>
      <c r="AT233" s="155"/>
      <c r="AU233" s="155"/>
      <c r="AV233" s="155"/>
      <c r="AW233" s="155"/>
      <c r="AX233" s="155"/>
      <c r="AY233" s="155"/>
      <c r="AZ233" s="155"/>
      <c r="BA233" s="155"/>
      <c r="BB233" s="155"/>
      <c r="BC233" s="155"/>
      <c r="BD233" s="155"/>
      <c r="BE233" s="155"/>
      <c r="BF233" s="155"/>
      <c r="BG233" s="155"/>
      <c r="BH233" s="155"/>
      <c r="BI233" s="155"/>
      <c r="BJ233" s="155"/>
      <c r="BK233" s="155"/>
      <c r="BL233" s="155"/>
      <c r="BM233" s="155"/>
      <c r="BN233" s="155"/>
      <c r="BO233" s="155"/>
      <c r="BP233" s="155"/>
      <c r="BQ233" s="155"/>
      <c r="BR233" s="155"/>
    </row>
    <row r="234" spans="1:70" s="156" customFormat="1" ht="16.5" hidden="1" customHeight="1" x14ac:dyDescent="0.25">
      <c r="A234" s="266"/>
      <c r="B234" s="269"/>
      <c r="C234" s="269"/>
      <c r="D234" s="271"/>
      <c r="E234" s="271"/>
      <c r="F234" s="271"/>
      <c r="G234" s="363"/>
      <c r="H234" s="271"/>
      <c r="I234" s="266"/>
      <c r="J234" s="276"/>
      <c r="K234" s="278"/>
      <c r="L234" s="274"/>
      <c r="M234" s="278">
        <f ca="1">IF(NOT(ISERROR(MATCH(L234,_xlfn.ANCHORARRAY(G245),0))),K253&amp;"Por favor no seleccionar los criterios de impacto",L234)</f>
        <v>0</v>
      </c>
      <c r="N234" s="276"/>
      <c r="O234" s="278"/>
      <c r="P234" s="280"/>
      <c r="Q234" s="201">
        <v>6</v>
      </c>
      <c r="R234" s="112"/>
      <c r="S234" s="201" t="str">
        <f t="shared" si="93"/>
        <v/>
      </c>
      <c r="T234" s="113"/>
      <c r="U234" s="113"/>
      <c r="V234" s="167" t="str">
        <f t="shared" si="86"/>
        <v/>
      </c>
      <c r="W234" s="113"/>
      <c r="X234" s="113"/>
      <c r="Y234" s="113"/>
      <c r="Z234" s="165" t="str">
        <f>IFERROR(IF(S234="Probabilidad",(K229-(+K229*V234)),IF(S234="Impacto",K229,"")),"")</f>
        <v/>
      </c>
      <c r="AA234" s="166" t="str">
        <f t="shared" si="94"/>
        <v/>
      </c>
      <c r="AB234" s="167" t="str">
        <f t="shared" si="95"/>
        <v/>
      </c>
      <c r="AC234" s="166" t="str">
        <f t="shared" si="96"/>
        <v/>
      </c>
      <c r="AD234" s="167" t="str">
        <f t="shared" si="98"/>
        <v/>
      </c>
      <c r="AE234" s="168" t="str">
        <f t="shared" si="97"/>
        <v/>
      </c>
      <c r="AF234" s="113"/>
      <c r="AG234" s="191"/>
      <c r="AH234" s="192"/>
      <c r="AI234" s="114"/>
      <c r="AJ234" s="114"/>
      <c r="AK234" s="191"/>
      <c r="AL234" s="192"/>
      <c r="AM234" s="155"/>
      <c r="AN234" s="155"/>
      <c r="AO234" s="155"/>
      <c r="AP234" s="155"/>
      <c r="AQ234" s="155"/>
      <c r="AR234" s="155"/>
      <c r="AS234" s="155"/>
      <c r="AT234" s="155"/>
      <c r="AU234" s="155"/>
      <c r="AV234" s="155"/>
      <c r="AW234" s="155"/>
      <c r="AX234" s="155"/>
      <c r="AY234" s="155"/>
      <c r="AZ234" s="155"/>
      <c r="BA234" s="155"/>
      <c r="BB234" s="155"/>
      <c r="BC234" s="155"/>
      <c r="BD234" s="155"/>
      <c r="BE234" s="155"/>
      <c r="BF234" s="155"/>
      <c r="BG234" s="155"/>
      <c r="BH234" s="155"/>
      <c r="BI234" s="155"/>
      <c r="BJ234" s="155"/>
      <c r="BK234" s="155"/>
      <c r="BL234" s="155"/>
      <c r="BM234" s="155"/>
      <c r="BN234" s="155"/>
      <c r="BO234" s="155"/>
      <c r="BP234" s="155"/>
      <c r="BQ234" s="155"/>
      <c r="BR234" s="155"/>
    </row>
    <row r="235" spans="1:70" s="156" customFormat="1" ht="119.25" customHeight="1" x14ac:dyDescent="0.25">
      <c r="A235" s="266">
        <v>38</v>
      </c>
      <c r="B235" s="267" t="s">
        <v>214</v>
      </c>
      <c r="C235" s="267" t="s">
        <v>661</v>
      </c>
      <c r="D235" s="270" t="s">
        <v>130</v>
      </c>
      <c r="E235" s="270" t="s">
        <v>662</v>
      </c>
      <c r="F235" s="270" t="s">
        <v>663</v>
      </c>
      <c r="G235" s="362" t="s">
        <v>664</v>
      </c>
      <c r="H235" s="270" t="s">
        <v>437</v>
      </c>
      <c r="I235" s="281">
        <v>365</v>
      </c>
      <c r="J235" s="275" t="str">
        <f>IF(I235&lt;=0,"",IF(I235&lt;=2,"Muy Baja",IF(I235&lt;=24,"Baja",IF(I235&lt;=500,"Media",IF(I235&lt;=5000,"Alta","Muy Alta")))))</f>
        <v>Media</v>
      </c>
      <c r="K235" s="277">
        <f>IF(J235="","",IF(J235="Muy Baja",0.2,IF(J235="Baja",0.4,IF(J235="Media",0.6,IF(J235="Alta",0.8,IF(J235="Muy Alta",1,))))))</f>
        <v>0.6</v>
      </c>
      <c r="L235" s="273" t="s">
        <v>96</v>
      </c>
      <c r="M235" s="277" t="str">
        <f>IF(NOT(ISERROR(MATCH(L235,'[7]Tabla Impacto'!$B$221:$B$223,0))),'[7]Tabla Impacto'!$F$223&amp;"Por favor no seleccionar los criterios de impacto(Afectación Económica o presupuestal y Pérdida Reputacional)",L235)</f>
        <v>El riesgo afecta la imagen de la entidad internamente, de conocimiento general, nivel interno, de junta dircetiva y accionistas y/o de provedores</v>
      </c>
      <c r="N235" s="275" t="str">
        <f>+IF(OR(M235='[7]Tabla Impacto'!$C$11,M235='[7]Tabla Impacto'!$D$11),"Leve",IF(OR(M235='[7]Tabla Impacto'!$C$12,M235='[7]Tabla Impacto'!$D$12),"Menor",IF(OR(M235='[7]Tabla Impacto'!$C$13,M235='[7]Tabla Impacto'!$D$13),"Moderado",IF(OR(M235='[7]Tabla Impacto'!$C$14,M235='[7]Tabla Impacto'!$D$14),"Mayor",IF(OR(M235='[7]Tabla Impacto'!$C$15,M235='[7]Tabla Impacto'!$D$15),"Catastrófico","")))))</f>
        <v>Menor</v>
      </c>
      <c r="O235" s="277">
        <f>IF(N235="","",IF(N235="Leve",0.2,IF(N235="Menor",0.4,IF(N235="Moderado",0.6,IF(N235="Mayor",0.8,IF(N235="Catastrófico",1,))))))</f>
        <v>0.4</v>
      </c>
      <c r="P235" s="279" t="str">
        <f>IF(OR(AND(J235="Muy Baja",N235="Leve"),AND(J235="Muy Baja",N235="Menor"),AND(J235="Baja",N235="Leve")),"Bajo",IF(OR(AND(J235="Muy baja",N235="Moderado"),AND(J235="Baja",N235="Menor"),AND(J235="Baja",N235="Moderado"),AND(J235="Media",N235="Leve"),AND(J235="Media",N235="Menor"),AND(J235="Media",N235="Moderado"),AND(J235="Alta",N235="Leve"),AND(J235="Alta",N235="Menor")),"Moderado",IF(OR(AND(J235="Muy Baja",N235="Mayor"),AND(J235="Baja",N235="Mayor"),AND(J235="Media",N235="Mayor"),AND(J235="Alta",N235="Moderado"),AND(J235="Alta",N235="Mayor"),AND(J235="Muy Alta",N235="Leve"),AND(J235="Muy Alta",N235="Menor"),AND(J235="Muy Alta",N235="Moderado"),AND(J235="Muy Alta",N235="Mayor")),"Alto",IF(OR(AND(J235="Muy Baja",N235="Catastrófico"),AND(J235="Baja",N235="Catastrófico"),AND(J235="Media",N235="Catastrófico"),AND(J235="Alta",N235="Catastrófico"),AND(J235="Muy Alta",N235="Catastrófico")),"Extremo",""))))</f>
        <v>Moderado</v>
      </c>
      <c r="Q235" s="201">
        <v>1</v>
      </c>
      <c r="R235" s="112" t="s">
        <v>668</v>
      </c>
      <c r="S235" s="201" t="str">
        <f>IF(OR(T235="Preventivo",T235="Detectivo"),"Probabilidad",IF(T235="Correctivo","Impacto",""))</f>
        <v>Probabilidad</v>
      </c>
      <c r="T235" s="113" t="s">
        <v>14</v>
      </c>
      <c r="U235" s="113" t="s">
        <v>9</v>
      </c>
      <c r="V235" s="167" t="str">
        <f>IF(AND(T235="Preventivo",U235="Automático"),"50%",IF(AND(T235="Preventivo",U235="Manual"),"40%",IF(AND(T235="Detectivo",U235="Automático"),"40%",IF(AND(T235="Detectivo",U235="Manual"),"30%",IF(AND(T235="Correctivo",U235="Automático"),"35%",IF(AND(T235="Correctivo",U235="Manual"),"25%",""))))))</f>
        <v>40%</v>
      </c>
      <c r="W235" s="113" t="s">
        <v>19</v>
      </c>
      <c r="X235" s="113" t="s">
        <v>22</v>
      </c>
      <c r="Y235" s="113" t="s">
        <v>117</v>
      </c>
      <c r="Z235" s="165">
        <f>IFERROR(IF(S235="Probabilidad",(K235-(+K235*V235)),IF(S235="Impacto",K235,"")),"")</f>
        <v>0.36</v>
      </c>
      <c r="AA235" s="166" t="str">
        <f>IFERROR(IF(Z235="","",IF(Z235&lt;=0.2,"Muy Baja",IF(Z235&lt;=0.4,"Baja",IF(Z235&lt;=0.6,"Media",IF(Z235&lt;=0.8,"Alta","Muy Alta"))))),"")</f>
        <v>Baja</v>
      </c>
      <c r="AB235" s="167">
        <f>+Z235</f>
        <v>0.36</v>
      </c>
      <c r="AC235" s="166" t="str">
        <f t="shared" si="96"/>
        <v>Menor</v>
      </c>
      <c r="AD235" s="167">
        <f>IFERROR(IF(S235="Impacto",(O235-(+O235*V235)),IF(S235="Probabilidad",O235,"")),"")</f>
        <v>0.4</v>
      </c>
      <c r="AE235" s="168" t="str">
        <f>IFERROR(IF(OR(AND(AA235="Muy Baja",AC235="Leve"),AND(AA235="Muy Baja",AC235="Menor"),AND(AA235="Baja",AC235="Leve")),"Bajo",IF(OR(AND(AA235="Muy baja",AC235="Moderado"),AND(AA235="Baja",AC235="Menor"),AND(AA235="Baja",AC235="Moderado"),AND(AA235="Media",AC235="Leve"),AND(AA235="Media",AC235="Menor"),AND(AA235="Media",AC235="Moderado"),AND(AA235="Alta",AC235="Leve"),AND(AA235="Alta",AC235="Menor")),"Moderado",IF(OR(AND(AA235="Muy Baja",AC235="Mayor"),AND(AA235="Baja",AC235="Mayor"),AND(AA235="Media",AC235="Mayor"),AND(AA235="Alta",AC235="Moderado"),AND(AA235="Alta",AC235="Mayor"),AND(AA235="Muy Alta",AC235="Leve"),AND(AA235="Muy Alta",AC235="Menor"),AND(AA235="Muy Alta",AC235="Moderado"),AND(AA235="Muy Alta",AC235="Mayor")),"Alto",IF(OR(AND(AA235="Muy Baja",AC235="Catastrófico"),AND(AA235="Baja",AC235="Catastrófico"),AND(AA235="Media",AC235="Catastrófico"),AND(AA235="Alta",AC235="Catastrófico"),AND(AA235="Muy Alta",AC235="Catastrófico")),"Extremo","")))),"")</f>
        <v>Moderado</v>
      </c>
      <c r="AF235" s="113" t="s">
        <v>31</v>
      </c>
      <c r="AG235" s="191"/>
      <c r="AH235" s="192"/>
      <c r="AI235" s="114"/>
      <c r="AJ235" s="114"/>
      <c r="AK235" s="191"/>
      <c r="AL235" s="192"/>
      <c r="AM235" s="155"/>
      <c r="AN235" s="155"/>
      <c r="AO235" s="155"/>
      <c r="AP235" s="155"/>
      <c r="AQ235" s="155"/>
      <c r="AR235" s="155"/>
      <c r="AS235" s="155"/>
      <c r="AT235" s="155"/>
      <c r="AU235" s="155"/>
      <c r="AV235" s="155"/>
      <c r="AW235" s="155"/>
      <c r="AX235" s="155"/>
      <c r="AY235" s="155"/>
      <c r="AZ235" s="155"/>
      <c r="BA235" s="155"/>
      <c r="BB235" s="155"/>
      <c r="BC235" s="155"/>
      <c r="BD235" s="155"/>
      <c r="BE235" s="155"/>
      <c r="BF235" s="155"/>
      <c r="BG235" s="155"/>
      <c r="BH235" s="155"/>
      <c r="BI235" s="155"/>
      <c r="BJ235" s="155"/>
      <c r="BK235" s="155"/>
      <c r="BL235" s="155"/>
      <c r="BM235" s="155"/>
      <c r="BN235" s="155"/>
      <c r="BO235" s="155"/>
      <c r="BP235" s="155"/>
      <c r="BQ235" s="155"/>
      <c r="BR235" s="155"/>
    </row>
    <row r="236" spans="1:70" s="156" customFormat="1" ht="36.75" hidden="1" customHeight="1" x14ac:dyDescent="0.25">
      <c r="A236" s="266"/>
      <c r="B236" s="268"/>
      <c r="C236" s="268"/>
      <c r="D236" s="271"/>
      <c r="E236" s="271"/>
      <c r="F236" s="271"/>
      <c r="G236" s="363"/>
      <c r="H236" s="271"/>
      <c r="I236" s="266"/>
      <c r="J236" s="276"/>
      <c r="K236" s="278"/>
      <c r="L236" s="274"/>
      <c r="M236" s="278">
        <f ca="1">IF(NOT(ISERROR(MATCH(L236,_xlfn.ANCHORARRAY(G253),0))),K255&amp;"Por favor no seleccionar los criterios de impacto",L236)</f>
        <v>0</v>
      </c>
      <c r="N236" s="276"/>
      <c r="O236" s="278"/>
      <c r="P236" s="280"/>
      <c r="Q236" s="201">
        <v>2</v>
      </c>
      <c r="R236" s="112"/>
      <c r="S236" s="201" t="str">
        <f t="shared" ref="S236:S241" si="100">IF(OR(T236="Preventivo",T236="Detectivo"),"Probabilidad",IF(T236="Correctivo","Impacto",""))</f>
        <v/>
      </c>
      <c r="T236" s="113"/>
      <c r="U236" s="113"/>
      <c r="V236" s="167"/>
      <c r="W236" s="113"/>
      <c r="X236" s="113"/>
      <c r="Y236" s="113"/>
      <c r="Z236" s="165" t="str">
        <f>IFERROR(IF(S236="Probabilidad",(K235-(+K235*V236)),IF(S236="Impacto",K235,"")),"")</f>
        <v/>
      </c>
      <c r="AA236" s="166" t="str">
        <f t="shared" ref="AA236:AA241" si="101">IFERROR(IF(Z236="","",IF(Z236&lt;=0.2,"Muy Baja",IF(Z236&lt;=0.4,"Baja",IF(Z236&lt;=0.6,"Media",IF(Z236&lt;=0.8,"Alta","Muy Alta"))))),"")</f>
        <v/>
      </c>
      <c r="AB236" s="167" t="str">
        <f t="shared" ref="AB236:AB247" si="102">+Z236</f>
        <v/>
      </c>
      <c r="AC236" s="166" t="str">
        <f t="shared" ref="AC236:AC241" si="103">IFERROR(IF(AD236="","",IF(AD236&lt;=0.2,"Leve",IF(AD236&lt;=0.4,"Menor",IF(AD236&lt;=0.6,"Moderado",IF(AD236&lt;=0.8,"Mayor","Catastrófico"))))),"")</f>
        <v/>
      </c>
      <c r="AD236" s="167" t="str">
        <f>IFERROR(IF(S236="Impacto",(O235-(+O235*V236)),IF(S236="Probabilidad",O235,"")),"")</f>
        <v/>
      </c>
      <c r="AE236" s="168" t="str">
        <f t="shared" ref="AE236:AE241" si="104">IFERROR(IF(OR(AND(AA236="Muy Baja",AC236="Leve"),AND(AA236="Muy Baja",AC236="Menor"),AND(AA236="Baja",AC236="Leve")),"Bajo",IF(OR(AND(AA236="Muy baja",AC236="Moderado"),AND(AA236="Baja",AC236="Menor"),AND(AA236="Baja",AC236="Moderado"),AND(AA236="Media",AC236="Leve"),AND(AA236="Media",AC236="Menor"),AND(AA236="Media",AC236="Moderado"),AND(AA236="Alta",AC236="Leve"),AND(AA236="Alta",AC236="Menor")),"Moderado",IF(OR(AND(AA236="Muy Baja",AC236="Mayor"),AND(AA236="Baja",AC236="Mayor"),AND(AA236="Media",AC236="Mayor"),AND(AA236="Alta",AC236="Moderado"),AND(AA236="Alta",AC236="Mayor"),AND(AA236="Muy Alta",AC236="Leve"),AND(AA236="Muy Alta",AC236="Menor"),AND(AA236="Muy Alta",AC236="Moderado"),AND(AA236="Muy Alta",AC236="Mayor")),"Alto",IF(OR(AND(AA236="Muy Baja",AC236="Catastrófico"),AND(AA236="Baja",AC236="Catastrófico"),AND(AA236="Media",AC236="Catastrófico"),AND(AA236="Alta",AC236="Catastrófico"),AND(AA236="Muy Alta",AC236="Catastrófico")),"Extremo","")))),"")</f>
        <v/>
      </c>
      <c r="AF236" s="113" t="s">
        <v>31</v>
      </c>
      <c r="AG236" s="191"/>
      <c r="AH236" s="192"/>
      <c r="AI236" s="114"/>
      <c r="AJ236" s="114"/>
      <c r="AK236" s="191"/>
      <c r="AL236" s="192"/>
      <c r="AM236" s="155"/>
      <c r="AN236" s="155"/>
      <c r="AO236" s="155"/>
      <c r="AP236" s="155"/>
      <c r="AQ236" s="155"/>
      <c r="AR236" s="155"/>
      <c r="AS236" s="155"/>
      <c r="AT236" s="155"/>
      <c r="AU236" s="155"/>
      <c r="AV236" s="155"/>
      <c r="AW236" s="155"/>
      <c r="AX236" s="155"/>
      <c r="AY236" s="155"/>
      <c r="AZ236" s="155"/>
      <c r="BA236" s="155"/>
      <c r="BB236" s="155"/>
      <c r="BC236" s="155"/>
      <c r="BD236" s="155"/>
      <c r="BE236" s="155"/>
      <c r="BF236" s="155"/>
      <c r="BG236" s="155"/>
      <c r="BH236" s="155"/>
      <c r="BI236" s="155"/>
      <c r="BJ236" s="155"/>
      <c r="BK236" s="155"/>
      <c r="BL236" s="155"/>
      <c r="BM236" s="155"/>
      <c r="BN236" s="155"/>
      <c r="BO236" s="155"/>
      <c r="BP236" s="155"/>
      <c r="BQ236" s="155"/>
      <c r="BR236" s="155"/>
    </row>
    <row r="237" spans="1:70" s="156" customFormat="1" ht="36.75" hidden="1" customHeight="1" x14ac:dyDescent="0.25">
      <c r="A237" s="266"/>
      <c r="B237" s="268"/>
      <c r="C237" s="268"/>
      <c r="D237" s="271"/>
      <c r="E237" s="271"/>
      <c r="F237" s="271"/>
      <c r="G237" s="363"/>
      <c r="H237" s="271"/>
      <c r="I237" s="266"/>
      <c r="J237" s="276"/>
      <c r="K237" s="278"/>
      <c r="L237" s="274"/>
      <c r="M237" s="278">
        <f ca="1">IF(NOT(ISERROR(MATCH(L237,_xlfn.ANCHORARRAY(G254),0))),K256&amp;"Por favor no seleccionar los criterios de impacto",L237)</f>
        <v>0</v>
      </c>
      <c r="N237" s="276"/>
      <c r="O237" s="278"/>
      <c r="P237" s="280"/>
      <c r="Q237" s="201">
        <v>3</v>
      </c>
      <c r="R237" s="112"/>
      <c r="S237" s="201" t="str">
        <f t="shared" si="100"/>
        <v/>
      </c>
      <c r="T237" s="113"/>
      <c r="U237" s="113"/>
      <c r="V237" s="167"/>
      <c r="W237" s="113"/>
      <c r="X237" s="113"/>
      <c r="Y237" s="113"/>
      <c r="Z237" s="165" t="str">
        <f>IFERROR(IF(S237="Probabilidad",(K235-(+K235*V237)),IF(S237="Impacto",K235,"")),"")</f>
        <v/>
      </c>
      <c r="AA237" s="166" t="str">
        <f t="shared" si="101"/>
        <v/>
      </c>
      <c r="AB237" s="167" t="str">
        <f t="shared" si="102"/>
        <v/>
      </c>
      <c r="AC237" s="166" t="str">
        <f t="shared" si="103"/>
        <v/>
      </c>
      <c r="AD237" s="167" t="str">
        <f t="shared" ref="AD237:AD241" si="105">IFERROR(IF(S237="Impacto",(O237-(+O237*V237)),IF(S237="Probabilidad",O237,"")),"")</f>
        <v/>
      </c>
      <c r="AE237" s="168" t="str">
        <f t="shared" si="104"/>
        <v/>
      </c>
      <c r="AF237" s="113" t="s">
        <v>31</v>
      </c>
      <c r="AG237" s="191"/>
      <c r="AH237" s="192"/>
      <c r="AI237" s="114"/>
      <c r="AJ237" s="114"/>
      <c r="AK237" s="191"/>
      <c r="AL237" s="192"/>
      <c r="AM237" s="155"/>
      <c r="AN237" s="155"/>
      <c r="AO237" s="155"/>
      <c r="AP237" s="155"/>
      <c r="AQ237" s="155"/>
      <c r="AR237" s="155"/>
      <c r="AS237" s="155"/>
      <c r="AT237" s="155"/>
      <c r="AU237" s="155"/>
      <c r="AV237" s="155"/>
      <c r="AW237" s="155"/>
      <c r="AX237" s="155"/>
      <c r="AY237" s="155"/>
      <c r="AZ237" s="155"/>
      <c r="BA237" s="155"/>
      <c r="BB237" s="155"/>
      <c r="BC237" s="155"/>
      <c r="BD237" s="155"/>
      <c r="BE237" s="155"/>
      <c r="BF237" s="155"/>
      <c r="BG237" s="155"/>
      <c r="BH237" s="155"/>
      <c r="BI237" s="155"/>
      <c r="BJ237" s="155"/>
      <c r="BK237" s="155"/>
      <c r="BL237" s="155"/>
      <c r="BM237" s="155"/>
      <c r="BN237" s="155"/>
      <c r="BO237" s="155"/>
      <c r="BP237" s="155"/>
      <c r="BQ237" s="155"/>
      <c r="BR237" s="155"/>
    </row>
    <row r="238" spans="1:70" s="156" customFormat="1" ht="36.75" hidden="1" customHeight="1" x14ac:dyDescent="0.25">
      <c r="A238" s="266"/>
      <c r="B238" s="268"/>
      <c r="C238" s="268"/>
      <c r="D238" s="271"/>
      <c r="E238" s="271"/>
      <c r="F238" s="271"/>
      <c r="G238" s="363"/>
      <c r="H238" s="271"/>
      <c r="I238" s="266"/>
      <c r="J238" s="276"/>
      <c r="K238" s="278"/>
      <c r="L238" s="274"/>
      <c r="M238" s="278">
        <f ca="1">IF(NOT(ISERROR(MATCH(L238,_xlfn.ANCHORARRAY(G255),0))),K257&amp;"Por favor no seleccionar los criterios de impacto",L238)</f>
        <v>0</v>
      </c>
      <c r="N238" s="276"/>
      <c r="O238" s="278"/>
      <c r="P238" s="280"/>
      <c r="Q238" s="201">
        <v>4</v>
      </c>
      <c r="R238" s="112"/>
      <c r="S238" s="201" t="str">
        <f t="shared" si="100"/>
        <v/>
      </c>
      <c r="T238" s="113"/>
      <c r="U238" s="113"/>
      <c r="V238" s="167" t="str">
        <f t="shared" ref="V238:V307" si="106">IF(AND(T238="Preventivo",U238="Automático"),"50%",IF(AND(T238="Preventivo",U238="Manual"),"40%",IF(AND(T238="Detectivo",U238="Automático"),"40%",IF(AND(T238="Detectivo",U238="Manual"),"30%",IF(AND(T238="Correctivo",U238="Automático"),"35%",IF(AND(T238="Correctivo",U238="Manual"),"25%",""))))))</f>
        <v/>
      </c>
      <c r="W238" s="113"/>
      <c r="X238" s="113"/>
      <c r="Y238" s="113"/>
      <c r="Z238" s="165" t="str">
        <f>IFERROR(IF(S238="Probabilidad",(K235-(+K235*V238)),IF(S238="Impacto",K235,"")),"")</f>
        <v/>
      </c>
      <c r="AA238" s="166" t="str">
        <f t="shared" si="101"/>
        <v/>
      </c>
      <c r="AB238" s="167" t="str">
        <f t="shared" si="102"/>
        <v/>
      </c>
      <c r="AC238" s="166" t="str">
        <f t="shared" si="103"/>
        <v/>
      </c>
      <c r="AD238" s="167" t="str">
        <f t="shared" si="105"/>
        <v/>
      </c>
      <c r="AE238" s="168" t="str">
        <f t="shared" si="104"/>
        <v/>
      </c>
      <c r="AF238" s="113" t="s">
        <v>31</v>
      </c>
      <c r="AG238" s="191"/>
      <c r="AH238" s="192"/>
      <c r="AI238" s="114"/>
      <c r="AJ238" s="114"/>
      <c r="AK238" s="191"/>
      <c r="AL238" s="192"/>
      <c r="AM238" s="155"/>
      <c r="AN238" s="155"/>
      <c r="AO238" s="155"/>
      <c r="AP238" s="155"/>
      <c r="AQ238" s="155"/>
      <c r="AR238" s="155"/>
      <c r="AS238" s="155"/>
      <c r="AT238" s="155"/>
      <c r="AU238" s="155"/>
      <c r="AV238" s="155"/>
      <c r="AW238" s="155"/>
      <c r="AX238" s="155"/>
      <c r="AY238" s="155"/>
      <c r="AZ238" s="155"/>
      <c r="BA238" s="155"/>
      <c r="BB238" s="155"/>
      <c r="BC238" s="155"/>
      <c r="BD238" s="155"/>
      <c r="BE238" s="155"/>
      <c r="BF238" s="155"/>
      <c r="BG238" s="155"/>
      <c r="BH238" s="155"/>
      <c r="BI238" s="155"/>
      <c r="BJ238" s="155"/>
      <c r="BK238" s="155"/>
      <c r="BL238" s="155"/>
      <c r="BM238" s="155"/>
      <c r="BN238" s="155"/>
      <c r="BO238" s="155"/>
      <c r="BP238" s="155"/>
      <c r="BQ238" s="155"/>
      <c r="BR238" s="155"/>
    </row>
    <row r="239" spans="1:70" s="156" customFormat="1" ht="36.75" hidden="1" customHeight="1" x14ac:dyDescent="0.25">
      <c r="A239" s="266"/>
      <c r="B239" s="268"/>
      <c r="C239" s="268"/>
      <c r="D239" s="271"/>
      <c r="E239" s="271"/>
      <c r="F239" s="271"/>
      <c r="G239" s="363"/>
      <c r="H239" s="271"/>
      <c r="I239" s="266"/>
      <c r="J239" s="276"/>
      <c r="K239" s="278"/>
      <c r="L239" s="274"/>
      <c r="M239" s="278">
        <f ca="1">IF(NOT(ISERROR(MATCH(L239,_xlfn.ANCHORARRAY(G256),0))),K258&amp;"Por favor no seleccionar los criterios de impacto",L239)</f>
        <v>0</v>
      </c>
      <c r="N239" s="276"/>
      <c r="O239" s="278"/>
      <c r="P239" s="280"/>
      <c r="Q239" s="201">
        <v>5</v>
      </c>
      <c r="R239" s="112"/>
      <c r="S239" s="201" t="str">
        <f t="shared" si="100"/>
        <v/>
      </c>
      <c r="T239" s="113"/>
      <c r="U239" s="113"/>
      <c r="V239" s="167" t="str">
        <f t="shared" si="106"/>
        <v/>
      </c>
      <c r="W239" s="113"/>
      <c r="X239" s="113"/>
      <c r="Y239" s="113"/>
      <c r="Z239" s="165" t="str">
        <f>IFERROR(IF(S239="Probabilidad",(K235-(+K235*V239)),IF(S239="Impacto",K235,"")),"")</f>
        <v/>
      </c>
      <c r="AA239" s="166" t="str">
        <f t="shared" si="101"/>
        <v/>
      </c>
      <c r="AB239" s="167" t="str">
        <f t="shared" si="102"/>
        <v/>
      </c>
      <c r="AC239" s="166" t="str">
        <f t="shared" si="103"/>
        <v/>
      </c>
      <c r="AD239" s="167" t="str">
        <f t="shared" si="105"/>
        <v/>
      </c>
      <c r="AE239" s="168" t="str">
        <f t="shared" si="104"/>
        <v/>
      </c>
      <c r="AF239" s="113" t="s">
        <v>31</v>
      </c>
      <c r="AG239" s="191"/>
      <c r="AH239" s="192"/>
      <c r="AI239" s="114"/>
      <c r="AJ239" s="114"/>
      <c r="AK239" s="191"/>
      <c r="AL239" s="192"/>
      <c r="AM239" s="155"/>
      <c r="AN239" s="155"/>
      <c r="AO239" s="155"/>
      <c r="AP239" s="155"/>
      <c r="AQ239" s="155"/>
      <c r="AR239" s="155"/>
      <c r="AS239" s="155"/>
      <c r="AT239" s="155"/>
      <c r="AU239" s="155"/>
      <c r="AV239" s="155"/>
      <c r="AW239" s="155"/>
      <c r="AX239" s="155"/>
      <c r="AY239" s="155"/>
      <c r="AZ239" s="155"/>
      <c r="BA239" s="155"/>
      <c r="BB239" s="155"/>
      <c r="BC239" s="155"/>
      <c r="BD239" s="155"/>
      <c r="BE239" s="155"/>
      <c r="BF239" s="155"/>
      <c r="BG239" s="155"/>
      <c r="BH239" s="155"/>
      <c r="BI239" s="155"/>
      <c r="BJ239" s="155"/>
      <c r="BK239" s="155"/>
      <c r="BL239" s="155"/>
      <c r="BM239" s="155"/>
      <c r="BN239" s="155"/>
      <c r="BO239" s="155"/>
      <c r="BP239" s="155"/>
      <c r="BQ239" s="155"/>
      <c r="BR239" s="155"/>
    </row>
    <row r="240" spans="1:70" s="156" customFormat="1" ht="36.75" hidden="1" customHeight="1" x14ac:dyDescent="0.25">
      <c r="A240" s="266"/>
      <c r="B240" s="269"/>
      <c r="C240" s="269"/>
      <c r="D240" s="271"/>
      <c r="E240" s="271"/>
      <c r="F240" s="271"/>
      <c r="G240" s="363"/>
      <c r="H240" s="271"/>
      <c r="I240" s="266"/>
      <c r="J240" s="276"/>
      <c r="K240" s="278"/>
      <c r="L240" s="274"/>
      <c r="M240" s="278">
        <f ca="1">IF(NOT(ISERROR(MATCH(L240,_xlfn.ANCHORARRAY(G257),0))),K259&amp;"Por favor no seleccionar los criterios de impacto",L240)</f>
        <v>0</v>
      </c>
      <c r="N240" s="276"/>
      <c r="O240" s="278"/>
      <c r="P240" s="280"/>
      <c r="Q240" s="201">
        <v>6</v>
      </c>
      <c r="R240" s="112"/>
      <c r="S240" s="201" t="str">
        <f t="shared" si="100"/>
        <v/>
      </c>
      <c r="T240" s="113"/>
      <c r="U240" s="113"/>
      <c r="V240" s="167" t="str">
        <f t="shared" si="106"/>
        <v/>
      </c>
      <c r="W240" s="113"/>
      <c r="X240" s="113"/>
      <c r="Y240" s="113"/>
      <c r="Z240" s="165" t="str">
        <f>IFERROR(IF(S239="Probabilidad",(K235-(+K235*V240)),IF(S240="Impacto",K235,"")),"")</f>
        <v/>
      </c>
      <c r="AA240" s="166" t="str">
        <f t="shared" si="101"/>
        <v/>
      </c>
      <c r="AB240" s="167" t="str">
        <f t="shared" si="102"/>
        <v/>
      </c>
      <c r="AC240" s="166" t="str">
        <f t="shared" si="103"/>
        <v/>
      </c>
      <c r="AD240" s="167" t="str">
        <f t="shared" si="105"/>
        <v/>
      </c>
      <c r="AE240" s="168" t="str">
        <f t="shared" si="104"/>
        <v/>
      </c>
      <c r="AF240" s="113" t="s">
        <v>31</v>
      </c>
      <c r="AG240" s="191"/>
      <c r="AH240" s="192"/>
      <c r="AI240" s="114"/>
      <c r="AJ240" s="114"/>
      <c r="AK240" s="191"/>
      <c r="AL240" s="192"/>
      <c r="AM240" s="155"/>
      <c r="AN240" s="155"/>
      <c r="AO240" s="155"/>
      <c r="AP240" s="155"/>
      <c r="AQ240" s="155"/>
      <c r="AR240" s="155"/>
      <c r="AS240" s="155"/>
      <c r="AT240" s="155"/>
      <c r="AU240" s="155"/>
      <c r="AV240" s="155"/>
      <c r="AW240" s="155"/>
      <c r="AX240" s="155"/>
      <c r="AY240" s="155"/>
      <c r="AZ240" s="155"/>
      <c r="BA240" s="155"/>
      <c r="BB240" s="155"/>
      <c r="BC240" s="155"/>
      <c r="BD240" s="155"/>
      <c r="BE240" s="155"/>
      <c r="BF240" s="155"/>
      <c r="BG240" s="155"/>
      <c r="BH240" s="155"/>
      <c r="BI240" s="155"/>
      <c r="BJ240" s="155"/>
      <c r="BK240" s="155"/>
      <c r="BL240" s="155"/>
      <c r="BM240" s="155"/>
      <c r="BN240" s="155"/>
      <c r="BO240" s="155"/>
      <c r="BP240" s="155"/>
      <c r="BQ240" s="155"/>
      <c r="BR240" s="155"/>
    </row>
    <row r="241" spans="1:70" s="156" customFormat="1" ht="105.75" customHeight="1" x14ac:dyDescent="0.25">
      <c r="A241" s="266">
        <v>39</v>
      </c>
      <c r="B241" s="267" t="s">
        <v>214</v>
      </c>
      <c r="C241" s="267" t="s">
        <v>665</v>
      </c>
      <c r="D241" s="270" t="s">
        <v>130</v>
      </c>
      <c r="E241" s="270" t="s">
        <v>639</v>
      </c>
      <c r="F241" s="270" t="s">
        <v>666</v>
      </c>
      <c r="G241" s="362" t="s">
        <v>667</v>
      </c>
      <c r="H241" s="270" t="s">
        <v>437</v>
      </c>
      <c r="I241" s="281">
        <v>366</v>
      </c>
      <c r="J241" s="275" t="str">
        <f>IF(I241&lt;=0,"",IF(I241&lt;=2,"Muy Baja",IF(I241&lt;=24,"Baja",IF(I241&lt;=500,"Media",IF(I241&lt;=5000,"Alta","Muy Alta")))))</f>
        <v>Media</v>
      </c>
      <c r="K241" s="277">
        <f>IF(J241="","",IF(J241="Muy Baja",0.2,IF(J241="Baja",0.4,IF(J241="Media",0.6,IF(J241="Alta",0.8,IF(J241="Muy Alta",1,))))))</f>
        <v>0.6</v>
      </c>
      <c r="L241" s="273" t="s">
        <v>96</v>
      </c>
      <c r="M241" s="277" t="str">
        <f>IF(NOT(ISERROR(MATCH(L241,'[7]Tabla Impacto'!$B$221:$B$223,0))),'[7]Tabla Impacto'!$F$223&amp;"Por favor no seleccionar los criterios de impacto(Afectación Económica o presupuestal y Pérdida Reputacional)",L241)</f>
        <v>El riesgo afecta la imagen de la entidad internamente, de conocimiento general, nivel interno, de junta dircetiva y accionistas y/o de provedores</v>
      </c>
      <c r="N241" s="275" t="str">
        <f>+IF(OR(M241='[7]Tabla Impacto'!$C$11,M241='[7]Tabla Impacto'!$D$11),"Leve",IF(OR(M241='[7]Tabla Impacto'!$C$12,M241='[7]Tabla Impacto'!$D$12),"Menor",IF(OR(M241='[7]Tabla Impacto'!$C$13,M241='[7]Tabla Impacto'!$D$13),"Moderado",IF(OR(M241='[7]Tabla Impacto'!$C$14,M241='[7]Tabla Impacto'!$D$14),"Mayor",IF(OR(M241='[7]Tabla Impacto'!$C$15,M241='[7]Tabla Impacto'!$D$15),"Catastrófico","")))))</f>
        <v>Menor</v>
      </c>
      <c r="O241" s="277">
        <f>IF(N241="","",IF(N241="Leve",0.2,IF(N241="Menor",0.4,IF(N241="Moderado",0.6,IF(N241="Mayor",0.8,IF(N241="Catastrófico",1,))))))</f>
        <v>0.4</v>
      </c>
      <c r="P241" s="279" t="str">
        <f>IF(OR(AND(J241="Muy Baja",N241="Leve"),AND(J241="Muy Baja",N241="Menor"),AND(J241="Baja",N241="Leve")),"Bajo",IF(OR(AND(J241="Muy baja",N241="Moderado"),AND(J241="Baja",N241="Menor"),AND(J241="Baja",N241="Moderado"),AND(J241="Media",N241="Leve"),AND(J241="Media",N241="Menor"),AND(J241="Media",N241="Moderado"),AND(J241="Alta",N241="Leve"),AND(J241="Alta",N241="Menor")),"Moderado",IF(OR(AND(J241="Muy Baja",N241="Mayor"),AND(J241="Baja",N241="Mayor"),AND(J241="Media",N241="Mayor"),AND(J241="Alta",N241="Moderado"),AND(J241="Alta",N241="Mayor"),AND(J241="Muy Alta",N241="Leve"),AND(J241="Muy Alta",N241="Menor"),AND(J241="Muy Alta",N241="Moderado"),AND(J241="Muy Alta",N241="Mayor")),"Alto",IF(OR(AND(J241="Muy Baja",N241="Catastrófico"),AND(J241="Baja",N241="Catastrófico"),AND(J241="Media",N241="Catastrófico"),AND(J241="Alta",N241="Catastrófico"),AND(J241="Muy Alta",N241="Catastrófico")),"Extremo",""))))</f>
        <v>Moderado</v>
      </c>
      <c r="Q241" s="201">
        <v>1</v>
      </c>
      <c r="R241" s="112" t="s">
        <v>668</v>
      </c>
      <c r="S241" s="201" t="str">
        <f t="shared" si="100"/>
        <v>Probabilidad</v>
      </c>
      <c r="T241" s="113" t="s">
        <v>14</v>
      </c>
      <c r="U241" s="113" t="s">
        <v>9</v>
      </c>
      <c r="V241" s="167" t="str">
        <f t="shared" si="106"/>
        <v>40%</v>
      </c>
      <c r="W241" s="113" t="s">
        <v>19</v>
      </c>
      <c r="X241" s="113" t="s">
        <v>22</v>
      </c>
      <c r="Y241" s="113" t="s">
        <v>117</v>
      </c>
      <c r="Z241" s="165">
        <f t="shared" ref="Z241:Z252" si="107">IFERROR(IF(S241="Probabilidad",(K241-(+K241*V241)),IF(S241="Impacto",K241,"")),"")</f>
        <v>0.36</v>
      </c>
      <c r="AA241" s="166" t="str">
        <f t="shared" si="101"/>
        <v>Baja</v>
      </c>
      <c r="AB241" s="167">
        <f t="shared" si="102"/>
        <v>0.36</v>
      </c>
      <c r="AC241" s="166" t="str">
        <f t="shared" si="103"/>
        <v>Menor</v>
      </c>
      <c r="AD241" s="167">
        <f t="shared" si="105"/>
        <v>0.4</v>
      </c>
      <c r="AE241" s="168" t="str">
        <f t="shared" si="104"/>
        <v>Moderado</v>
      </c>
      <c r="AF241" s="113" t="s">
        <v>31</v>
      </c>
      <c r="AG241" s="191"/>
      <c r="AH241" s="192"/>
      <c r="AI241" s="114"/>
      <c r="AJ241" s="114"/>
      <c r="AK241" s="191"/>
      <c r="AL241" s="192"/>
      <c r="AM241" s="155"/>
      <c r="AN241" s="155"/>
      <c r="AO241" s="155"/>
      <c r="AP241" s="155"/>
      <c r="AQ241" s="155"/>
      <c r="AR241" s="155"/>
      <c r="AS241" s="155"/>
      <c r="AT241" s="155"/>
      <c r="AU241" s="155"/>
      <c r="AV241" s="155"/>
      <c r="AW241" s="155"/>
      <c r="AX241" s="155"/>
      <c r="AY241" s="155"/>
      <c r="AZ241" s="155"/>
      <c r="BA241" s="155"/>
      <c r="BB241" s="155"/>
      <c r="BC241" s="155"/>
      <c r="BD241" s="155"/>
      <c r="BE241" s="155"/>
      <c r="BF241" s="155"/>
      <c r="BG241" s="155"/>
      <c r="BH241" s="155"/>
      <c r="BI241" s="155"/>
      <c r="BJ241" s="155"/>
      <c r="BK241" s="155"/>
      <c r="BL241" s="155"/>
      <c r="BM241" s="155"/>
      <c r="BN241" s="155"/>
      <c r="BO241" s="155"/>
      <c r="BP241" s="155"/>
      <c r="BQ241" s="155"/>
      <c r="BR241" s="155"/>
    </row>
    <row r="242" spans="1:70" s="156" customFormat="1" hidden="1" x14ac:dyDescent="0.25">
      <c r="A242" s="266"/>
      <c r="B242" s="268"/>
      <c r="C242" s="268"/>
      <c r="D242" s="271"/>
      <c r="E242" s="271"/>
      <c r="F242" s="271"/>
      <c r="G242" s="363"/>
      <c r="H242" s="271"/>
      <c r="I242" s="266"/>
      <c r="J242" s="276"/>
      <c r="K242" s="278"/>
      <c r="L242" s="274"/>
      <c r="M242" s="278">
        <f ca="1">IF(NOT(ISERROR(MATCH(L242,_xlfn.ANCHORARRAY(G259),0))),K261&amp;"Por favor no seleccionar los criterios de impacto",L242)</f>
        <v>0</v>
      </c>
      <c r="N242" s="276"/>
      <c r="O242" s="278"/>
      <c r="P242" s="280"/>
      <c r="Q242" s="201">
        <v>2</v>
      </c>
      <c r="R242" s="112"/>
      <c r="S242" s="205" t="str">
        <f t="shared" ref="S242:S252" si="108">IF(OR(T242="Preventivo",T242="Detectivo"),"Probabilidad",IF(T242="Correctivo","Impacto",""))</f>
        <v/>
      </c>
      <c r="T242" s="113"/>
      <c r="U242" s="113"/>
      <c r="V242" s="167" t="str">
        <f t="shared" ref="V242:V252" si="109">IF(AND(T242="Preventivo",U242="Automático"),"50%",IF(AND(T242="Preventivo",U242="Manual"),"40%",IF(AND(T242="Detectivo",U242="Automático"),"40%",IF(AND(T242="Detectivo",U242="Manual"),"30%",IF(AND(T242="Correctivo",U242="Automático"),"35%",IF(AND(T242="Correctivo",U242="Manual"),"25%",""))))))</f>
        <v/>
      </c>
      <c r="W242" s="113"/>
      <c r="X242" s="113"/>
      <c r="Y242" s="113"/>
      <c r="Z242" s="165" t="str">
        <f t="shared" si="107"/>
        <v/>
      </c>
      <c r="AA242" s="166" t="str">
        <f t="shared" ref="AA242:AA252" si="110">IFERROR(IF(Z242="","",IF(Z242&lt;=0.2,"Muy Baja",IF(Z242&lt;=0.4,"Baja",IF(Z242&lt;=0.6,"Media",IF(Z242&lt;=0.8,"Alta","Muy Alta"))))),"")</f>
        <v/>
      </c>
      <c r="AB242" s="167" t="str">
        <f t="shared" si="102"/>
        <v/>
      </c>
      <c r="AC242" s="166" t="str">
        <f t="shared" ref="AC242:AC252" si="111">IFERROR(IF(AD242="","",IF(AD242&lt;=0.2,"Leve",IF(AD242&lt;=0.4,"Menor",IF(AD242&lt;=0.6,"Moderado",IF(AD242&lt;=0.8,"Mayor","Catastrófico"))))),"")</f>
        <v/>
      </c>
      <c r="AD242" s="167" t="str">
        <f t="shared" ref="AD242:AD252" si="112">IFERROR(IF(S242="Impacto",(O242-(+O242*V242)),IF(S242="Probabilidad",O242,"")),"")</f>
        <v/>
      </c>
      <c r="AE242" s="168" t="str">
        <f t="shared" ref="AE242:AE252" si="113">IFERROR(IF(OR(AND(AA242="Muy Baja",AC242="Leve"),AND(AA242="Muy Baja",AC242="Menor"),AND(AA242="Baja",AC242="Leve")),"Bajo",IF(OR(AND(AA242="Muy baja",AC242="Moderado"),AND(AA242="Baja",AC242="Menor"),AND(AA242="Baja",AC242="Moderado"),AND(AA242="Media",AC242="Leve"),AND(AA242="Media",AC242="Menor"),AND(AA242="Media",AC242="Moderado"),AND(AA242="Alta",AC242="Leve"),AND(AA242="Alta",AC242="Menor")),"Moderado",IF(OR(AND(AA242="Muy Baja",AC242="Mayor"),AND(AA242="Baja",AC242="Mayor"),AND(AA242="Media",AC242="Mayor"),AND(AA242="Alta",AC242="Moderado"),AND(AA242="Alta",AC242="Mayor"),AND(AA242="Muy Alta",AC242="Leve"),AND(AA242="Muy Alta",AC242="Menor"),AND(AA242="Muy Alta",AC242="Moderado"),AND(AA242="Muy Alta",AC242="Mayor")),"Alto",IF(OR(AND(AA242="Muy Baja",AC242="Catastrófico"),AND(AA242="Baja",AC242="Catastrófico"),AND(AA242="Media",AC242="Catastrófico"),AND(AA242="Alta",AC242="Catastrófico"),AND(AA242="Muy Alta",AC242="Catastrófico")),"Extremo","")))),"")</f>
        <v/>
      </c>
      <c r="AF242" s="113"/>
      <c r="AG242" s="191"/>
      <c r="AH242" s="192"/>
      <c r="AI242" s="114"/>
      <c r="AJ242" s="114"/>
      <c r="AK242" s="191"/>
      <c r="AL242" s="192"/>
      <c r="AM242" s="155"/>
      <c r="AN242" s="155"/>
      <c r="AO242" s="155"/>
      <c r="AP242" s="155"/>
      <c r="AQ242" s="155"/>
      <c r="AR242" s="155"/>
      <c r="AS242" s="155"/>
      <c r="AT242" s="155"/>
      <c r="AU242" s="155"/>
      <c r="AV242" s="155"/>
      <c r="AW242" s="155"/>
      <c r="AX242" s="155"/>
      <c r="AY242" s="155"/>
      <c r="AZ242" s="155"/>
      <c r="BA242" s="155"/>
      <c r="BB242" s="155"/>
      <c r="BC242" s="155"/>
      <c r="BD242" s="155"/>
      <c r="BE242" s="155"/>
      <c r="BF242" s="155"/>
      <c r="BG242" s="155"/>
      <c r="BH242" s="155"/>
      <c r="BI242" s="155"/>
      <c r="BJ242" s="155"/>
      <c r="BK242" s="155"/>
      <c r="BL242" s="155"/>
      <c r="BM242" s="155"/>
      <c r="BN242" s="155"/>
      <c r="BO242" s="155"/>
      <c r="BP242" s="155"/>
      <c r="BQ242" s="155"/>
      <c r="BR242" s="155"/>
    </row>
    <row r="243" spans="1:70" s="156" customFormat="1" hidden="1" x14ac:dyDescent="0.25">
      <c r="A243" s="266"/>
      <c r="B243" s="268"/>
      <c r="C243" s="268"/>
      <c r="D243" s="271"/>
      <c r="E243" s="271"/>
      <c r="F243" s="271"/>
      <c r="G243" s="363"/>
      <c r="H243" s="271"/>
      <c r="I243" s="266"/>
      <c r="J243" s="276"/>
      <c r="K243" s="278"/>
      <c r="L243" s="274"/>
      <c r="M243" s="278">
        <f ca="1">IF(NOT(ISERROR(MATCH(L243,_xlfn.ANCHORARRAY(G260),0))),K262&amp;"Por favor no seleccionar los criterios de impacto",L243)</f>
        <v>0</v>
      </c>
      <c r="N243" s="276"/>
      <c r="O243" s="278"/>
      <c r="P243" s="280"/>
      <c r="Q243" s="201">
        <v>3</v>
      </c>
      <c r="R243" s="112"/>
      <c r="S243" s="205" t="str">
        <f t="shared" si="108"/>
        <v/>
      </c>
      <c r="T243" s="113"/>
      <c r="U243" s="113"/>
      <c r="V243" s="167" t="str">
        <f t="shared" si="109"/>
        <v/>
      </c>
      <c r="W243" s="113"/>
      <c r="X243" s="113"/>
      <c r="Y243" s="113"/>
      <c r="Z243" s="165" t="str">
        <f t="shared" si="107"/>
        <v/>
      </c>
      <c r="AA243" s="166" t="str">
        <f t="shared" si="110"/>
        <v/>
      </c>
      <c r="AB243" s="167" t="str">
        <f t="shared" si="102"/>
        <v/>
      </c>
      <c r="AC243" s="166" t="str">
        <f t="shared" si="111"/>
        <v/>
      </c>
      <c r="AD243" s="167" t="str">
        <f t="shared" si="112"/>
        <v/>
      </c>
      <c r="AE243" s="168" t="str">
        <f t="shared" si="113"/>
        <v/>
      </c>
      <c r="AF243" s="113"/>
      <c r="AG243" s="191"/>
      <c r="AH243" s="192"/>
      <c r="AI243" s="114"/>
      <c r="AJ243" s="114"/>
      <c r="AK243" s="191"/>
      <c r="AL243" s="192"/>
      <c r="AM243" s="155"/>
      <c r="AN243" s="155"/>
      <c r="AO243" s="155"/>
      <c r="AP243" s="155"/>
      <c r="AQ243" s="155"/>
      <c r="AR243" s="155"/>
      <c r="AS243" s="155"/>
      <c r="AT243" s="155"/>
      <c r="AU243" s="155"/>
      <c r="AV243" s="155"/>
      <c r="AW243" s="155"/>
      <c r="AX243" s="155"/>
      <c r="AY243" s="155"/>
      <c r="AZ243" s="155"/>
      <c r="BA243" s="155"/>
      <c r="BB243" s="155"/>
      <c r="BC243" s="155"/>
      <c r="BD243" s="155"/>
      <c r="BE243" s="155"/>
      <c r="BF243" s="155"/>
      <c r="BG243" s="155"/>
      <c r="BH243" s="155"/>
      <c r="BI243" s="155"/>
      <c r="BJ243" s="155"/>
      <c r="BK243" s="155"/>
      <c r="BL243" s="155"/>
      <c r="BM243" s="155"/>
      <c r="BN243" s="155"/>
      <c r="BO243" s="155"/>
      <c r="BP243" s="155"/>
      <c r="BQ243" s="155"/>
      <c r="BR243" s="155"/>
    </row>
    <row r="244" spans="1:70" s="156" customFormat="1" hidden="1" x14ac:dyDescent="0.25">
      <c r="A244" s="266"/>
      <c r="B244" s="268"/>
      <c r="C244" s="268"/>
      <c r="D244" s="271"/>
      <c r="E244" s="271"/>
      <c r="F244" s="271"/>
      <c r="G244" s="363"/>
      <c r="H244" s="271"/>
      <c r="I244" s="266"/>
      <c r="J244" s="276"/>
      <c r="K244" s="278"/>
      <c r="L244" s="274"/>
      <c r="M244" s="278">
        <f ca="1">IF(NOT(ISERROR(MATCH(L244,_xlfn.ANCHORARRAY(G261),0))),K263&amp;"Por favor no seleccionar los criterios de impacto",L244)</f>
        <v>0</v>
      </c>
      <c r="N244" s="276"/>
      <c r="O244" s="278"/>
      <c r="P244" s="280"/>
      <c r="Q244" s="201">
        <v>4</v>
      </c>
      <c r="R244" s="112"/>
      <c r="S244" s="205" t="str">
        <f t="shared" si="108"/>
        <v/>
      </c>
      <c r="T244" s="113"/>
      <c r="U244" s="113"/>
      <c r="V244" s="167" t="str">
        <f t="shared" si="109"/>
        <v/>
      </c>
      <c r="W244" s="113"/>
      <c r="X244" s="113"/>
      <c r="Y244" s="113"/>
      <c r="Z244" s="165" t="str">
        <f t="shared" si="107"/>
        <v/>
      </c>
      <c r="AA244" s="166" t="str">
        <f t="shared" si="110"/>
        <v/>
      </c>
      <c r="AB244" s="167" t="str">
        <f t="shared" si="102"/>
        <v/>
      </c>
      <c r="AC244" s="166" t="str">
        <f t="shared" si="111"/>
        <v/>
      </c>
      <c r="AD244" s="167" t="str">
        <f t="shared" si="112"/>
        <v/>
      </c>
      <c r="AE244" s="168" t="str">
        <f t="shared" si="113"/>
        <v/>
      </c>
      <c r="AF244" s="113"/>
      <c r="AG244" s="191"/>
      <c r="AH244" s="192"/>
      <c r="AI244" s="114"/>
      <c r="AJ244" s="114"/>
      <c r="AK244" s="191"/>
      <c r="AL244" s="192"/>
      <c r="AM244" s="155"/>
      <c r="AN244" s="155"/>
      <c r="AO244" s="155"/>
      <c r="AP244" s="155"/>
      <c r="AQ244" s="155"/>
      <c r="AR244" s="155"/>
      <c r="AS244" s="155"/>
      <c r="AT244" s="155"/>
      <c r="AU244" s="155"/>
      <c r="AV244" s="155"/>
      <c r="AW244" s="155"/>
      <c r="AX244" s="155"/>
      <c r="AY244" s="155"/>
      <c r="AZ244" s="155"/>
      <c r="BA244" s="155"/>
      <c r="BB244" s="155"/>
      <c r="BC244" s="155"/>
      <c r="BD244" s="155"/>
      <c r="BE244" s="155"/>
      <c r="BF244" s="155"/>
      <c r="BG244" s="155"/>
      <c r="BH244" s="155"/>
      <c r="BI244" s="155"/>
      <c r="BJ244" s="155"/>
      <c r="BK244" s="155"/>
      <c r="BL244" s="155"/>
      <c r="BM244" s="155"/>
      <c r="BN244" s="155"/>
      <c r="BO244" s="155"/>
      <c r="BP244" s="155"/>
      <c r="BQ244" s="155"/>
      <c r="BR244" s="155"/>
    </row>
    <row r="245" spans="1:70" s="156" customFormat="1" hidden="1" x14ac:dyDescent="0.25">
      <c r="A245" s="266"/>
      <c r="B245" s="268"/>
      <c r="C245" s="268"/>
      <c r="D245" s="271"/>
      <c r="E245" s="271"/>
      <c r="F245" s="271"/>
      <c r="G245" s="363"/>
      <c r="H245" s="271"/>
      <c r="I245" s="266"/>
      <c r="J245" s="276"/>
      <c r="K245" s="278"/>
      <c r="L245" s="274"/>
      <c r="M245" s="278">
        <f ca="1">IF(NOT(ISERROR(MATCH(L245,_xlfn.ANCHORARRAY(G262),0))),K264&amp;"Por favor no seleccionar los criterios de impacto",L245)</f>
        <v>0</v>
      </c>
      <c r="N245" s="276"/>
      <c r="O245" s="278"/>
      <c r="P245" s="280"/>
      <c r="Q245" s="201">
        <v>5</v>
      </c>
      <c r="R245" s="112"/>
      <c r="S245" s="205" t="str">
        <f t="shared" si="108"/>
        <v/>
      </c>
      <c r="T245" s="113"/>
      <c r="U245" s="113"/>
      <c r="V245" s="167" t="str">
        <f t="shared" si="109"/>
        <v/>
      </c>
      <c r="W245" s="113"/>
      <c r="X245" s="113"/>
      <c r="Y245" s="113"/>
      <c r="Z245" s="165" t="str">
        <f t="shared" si="107"/>
        <v/>
      </c>
      <c r="AA245" s="166" t="str">
        <f t="shared" si="110"/>
        <v/>
      </c>
      <c r="AB245" s="167" t="str">
        <f t="shared" si="102"/>
        <v/>
      </c>
      <c r="AC245" s="166" t="str">
        <f t="shared" si="111"/>
        <v/>
      </c>
      <c r="AD245" s="167" t="str">
        <f t="shared" si="112"/>
        <v/>
      </c>
      <c r="AE245" s="168" t="str">
        <f t="shared" si="113"/>
        <v/>
      </c>
      <c r="AF245" s="113"/>
      <c r="AG245" s="191"/>
      <c r="AH245" s="192"/>
      <c r="AI245" s="114"/>
      <c r="AJ245" s="114"/>
      <c r="AK245" s="191"/>
      <c r="AL245" s="192"/>
      <c r="AM245" s="155"/>
      <c r="AN245" s="155"/>
      <c r="AO245" s="155"/>
      <c r="AP245" s="155"/>
      <c r="AQ245" s="155"/>
      <c r="AR245" s="155"/>
      <c r="AS245" s="155"/>
      <c r="AT245" s="155"/>
      <c r="AU245" s="155"/>
      <c r="AV245" s="155"/>
      <c r="AW245" s="155"/>
      <c r="AX245" s="155"/>
      <c r="AY245" s="155"/>
      <c r="AZ245" s="155"/>
      <c r="BA245" s="155"/>
      <c r="BB245" s="155"/>
      <c r="BC245" s="155"/>
      <c r="BD245" s="155"/>
      <c r="BE245" s="155"/>
      <c r="BF245" s="155"/>
      <c r="BG245" s="155"/>
      <c r="BH245" s="155"/>
      <c r="BI245" s="155"/>
      <c r="BJ245" s="155"/>
      <c r="BK245" s="155"/>
      <c r="BL245" s="155"/>
      <c r="BM245" s="155"/>
      <c r="BN245" s="155"/>
      <c r="BO245" s="155"/>
      <c r="BP245" s="155"/>
      <c r="BQ245" s="155"/>
      <c r="BR245" s="155"/>
    </row>
    <row r="246" spans="1:70" s="156" customFormat="1" hidden="1" x14ac:dyDescent="0.25">
      <c r="A246" s="266"/>
      <c r="B246" s="269"/>
      <c r="C246" s="269"/>
      <c r="D246" s="271"/>
      <c r="E246" s="271"/>
      <c r="F246" s="271"/>
      <c r="G246" s="363"/>
      <c r="H246" s="271"/>
      <c r="I246" s="266"/>
      <c r="J246" s="276"/>
      <c r="K246" s="278"/>
      <c r="L246" s="274"/>
      <c r="M246" s="278">
        <f ca="1">IF(NOT(ISERROR(MATCH(L246,_xlfn.ANCHORARRAY(G263),0))),K265&amp;"Por favor no seleccionar los criterios de impacto",L246)</f>
        <v>0</v>
      </c>
      <c r="N246" s="276"/>
      <c r="O246" s="278"/>
      <c r="P246" s="280"/>
      <c r="Q246" s="201">
        <v>6</v>
      </c>
      <c r="R246" s="112"/>
      <c r="S246" s="205" t="str">
        <f t="shared" si="108"/>
        <v/>
      </c>
      <c r="T246" s="113"/>
      <c r="U246" s="113"/>
      <c r="V246" s="167" t="str">
        <f t="shared" si="109"/>
        <v/>
      </c>
      <c r="W246" s="113"/>
      <c r="X246" s="113"/>
      <c r="Y246" s="113"/>
      <c r="Z246" s="165" t="str">
        <f t="shared" si="107"/>
        <v/>
      </c>
      <c r="AA246" s="166" t="str">
        <f t="shared" si="110"/>
        <v/>
      </c>
      <c r="AB246" s="167" t="str">
        <f t="shared" si="102"/>
        <v/>
      </c>
      <c r="AC246" s="166" t="str">
        <f t="shared" si="111"/>
        <v/>
      </c>
      <c r="AD246" s="167" t="str">
        <f t="shared" si="112"/>
        <v/>
      </c>
      <c r="AE246" s="168" t="str">
        <f t="shared" si="113"/>
        <v/>
      </c>
      <c r="AF246" s="113"/>
      <c r="AG246" s="191"/>
      <c r="AH246" s="192"/>
      <c r="AI246" s="114"/>
      <c r="AJ246" s="114"/>
      <c r="AK246" s="191"/>
      <c r="AL246" s="192"/>
      <c r="AM246" s="155"/>
      <c r="AN246" s="155"/>
      <c r="AO246" s="155"/>
      <c r="AP246" s="155"/>
      <c r="AQ246" s="155"/>
      <c r="AR246" s="155"/>
      <c r="AS246" s="155"/>
      <c r="AT246" s="155"/>
      <c r="AU246" s="155"/>
      <c r="AV246" s="155"/>
      <c r="AW246" s="155"/>
      <c r="AX246" s="155"/>
      <c r="AY246" s="155"/>
      <c r="AZ246" s="155"/>
      <c r="BA246" s="155"/>
      <c r="BB246" s="155"/>
      <c r="BC246" s="155"/>
      <c r="BD246" s="155"/>
      <c r="BE246" s="155"/>
      <c r="BF246" s="155"/>
      <c r="BG246" s="155"/>
      <c r="BH246" s="155"/>
      <c r="BI246" s="155"/>
      <c r="BJ246" s="155"/>
      <c r="BK246" s="155"/>
      <c r="BL246" s="155"/>
      <c r="BM246" s="155"/>
      <c r="BN246" s="155"/>
      <c r="BO246" s="155"/>
      <c r="BP246" s="155"/>
      <c r="BQ246" s="155"/>
      <c r="BR246" s="155"/>
    </row>
    <row r="247" spans="1:70" s="156" customFormat="1" ht="151.5" customHeight="1" x14ac:dyDescent="0.25">
      <c r="A247" s="266">
        <v>40</v>
      </c>
      <c r="B247" s="267" t="s">
        <v>214</v>
      </c>
      <c r="C247" s="267" t="s">
        <v>951</v>
      </c>
      <c r="D247" s="270" t="s">
        <v>132</v>
      </c>
      <c r="E247" s="282" t="s">
        <v>629</v>
      </c>
      <c r="F247" s="282" t="s">
        <v>954</v>
      </c>
      <c r="G247" s="283" t="s">
        <v>955</v>
      </c>
      <c r="H247" s="270" t="s">
        <v>437</v>
      </c>
      <c r="I247" s="281">
        <v>6000</v>
      </c>
      <c r="J247" s="275" t="str">
        <f>IF(I247&lt;=0,"",IF(I247&lt;=2,"Muy Baja",IF(I247&lt;=24,"Baja",IF(I247&lt;=500,"Media",IF(I247&lt;=5000,"Alta","Muy Alta")))))</f>
        <v>Muy Alta</v>
      </c>
      <c r="K247" s="277">
        <f>IF(J247="","",IF(J247="Muy Baja",0.2,IF(J247="Baja",0.4,IF(J247="Media",0.6,IF(J247="Alta",0.8,IF(J247="Muy Alta",1,))))))</f>
        <v>1</v>
      </c>
      <c r="L247" s="273" t="s">
        <v>96</v>
      </c>
      <c r="M247" s="272" t="str">
        <f>L247</f>
        <v>El riesgo afecta la imagen de la entidad internamente, de conocimiento general, nivel interno, de junta dircetiva y accionistas y/o de provedores</v>
      </c>
      <c r="N247" s="275" t="str">
        <f>+IF(OR(M247='[7]Tabla Impacto'!$C$11,M247='[7]Tabla Impacto'!$D$11),"Leve",IF(OR(M247='[7]Tabla Impacto'!$C$12,M247='[7]Tabla Impacto'!$D$12),"Menor",IF(OR(M247='[7]Tabla Impacto'!$C$13,M247='[7]Tabla Impacto'!$D$13),"Moderado",IF(OR(M247='[7]Tabla Impacto'!$C$14,M247='[7]Tabla Impacto'!$D$14),"Mayor",IF(OR(M247='[7]Tabla Impacto'!$C$15,M247='[7]Tabla Impacto'!$D$15),"Catastrófico","")))))</f>
        <v>Menor</v>
      </c>
      <c r="O247" s="277">
        <f>IF(N247="","",IF(N247="Leve",0.2,IF(N247="Menor",0.4,IF(N247="Moderado",0.6,IF(N247="Mayor",0.8,IF(N247="Catastrófico",1,))))))</f>
        <v>0.4</v>
      </c>
      <c r="P247" s="279" t="str">
        <f>IF(OR(AND(J247="Muy Baja",N247="Leve"),AND(J247="Muy Baja",N247="Menor"),AND(J247="Baja",N247="Leve")),"Bajo",IF(OR(AND(J247="Muy baja",N247="Moderado"),AND(J247="Baja",N247="Menor"),AND(J247="Baja",N247="Moderado"),AND(J247="Media",N247="Leve"),AND(J247="Media",N247="Menor"),AND(J247="Media",N247="Moderado"),AND(J247="Alta",N247="Leve"),AND(J247="Alta",N247="Menor")),"Moderado",IF(OR(AND(J247="Muy Baja",N247="Mayor"),AND(J247="Baja",N247="Mayor"),AND(J247="Media",N247="Mayor"),AND(J247="Alta",N247="Moderado"),AND(J247="Alta",N247="Mayor"),AND(J247="Muy Alta",N247="Leve"),AND(J247="Muy Alta",N247="Menor"),AND(J247="Muy Alta",N247="Moderado"),AND(J247="Muy Alta",N247="Mayor")),"Alto",IF(OR(AND(J247="Muy Baja",N247="Catastrófico"),AND(J247="Baja",N247="Catastrófico"),AND(J247="Media",N247="Catastrófico"),AND(J247="Alta",N247="Catastrófico"),AND(J247="Muy Alta",N247="Catastrófico")),"Extremo",""))))</f>
        <v>Alto</v>
      </c>
      <c r="Q247" s="205">
        <v>1</v>
      </c>
      <c r="R247" s="195" t="s">
        <v>952</v>
      </c>
      <c r="S247" s="205" t="str">
        <f t="shared" si="108"/>
        <v>Probabilidad</v>
      </c>
      <c r="T247" s="113" t="s">
        <v>14</v>
      </c>
      <c r="U247" s="113" t="s">
        <v>9</v>
      </c>
      <c r="V247" s="167" t="str">
        <f t="shared" si="109"/>
        <v>40%</v>
      </c>
      <c r="W247" s="113" t="s">
        <v>19</v>
      </c>
      <c r="X247" s="113" t="s">
        <v>22</v>
      </c>
      <c r="Y247" s="113" t="s">
        <v>117</v>
      </c>
      <c r="Z247" s="165">
        <f t="shared" si="107"/>
        <v>0.6</v>
      </c>
      <c r="AA247" s="166" t="str">
        <f t="shared" si="110"/>
        <v>Media</v>
      </c>
      <c r="AB247" s="167">
        <f t="shared" si="102"/>
        <v>0.6</v>
      </c>
      <c r="AC247" s="166" t="str">
        <f t="shared" si="111"/>
        <v>Menor</v>
      </c>
      <c r="AD247" s="167">
        <f t="shared" si="112"/>
        <v>0.4</v>
      </c>
      <c r="AE247" s="168" t="str">
        <f t="shared" si="113"/>
        <v>Moderado</v>
      </c>
      <c r="AF247" s="113" t="s">
        <v>31</v>
      </c>
      <c r="AG247" s="207"/>
      <c r="AH247" s="206"/>
      <c r="AI247" s="114"/>
      <c r="AJ247" s="114"/>
      <c r="AK247" s="207"/>
      <c r="AL247" s="206"/>
      <c r="AM247" s="155"/>
      <c r="AN247" s="155"/>
      <c r="AO247" s="155"/>
      <c r="AP247" s="155"/>
      <c r="AQ247" s="155"/>
      <c r="AR247" s="155"/>
      <c r="AS247" s="155"/>
      <c r="AT247" s="155"/>
      <c r="AU247" s="155"/>
      <c r="AV247" s="155"/>
      <c r="AW247" s="155"/>
      <c r="AX247" s="155"/>
      <c r="AY247" s="155"/>
      <c r="AZ247" s="155"/>
      <c r="BA247" s="155"/>
      <c r="BB247" s="155"/>
      <c r="BC247" s="155"/>
      <c r="BD247" s="155"/>
      <c r="BE247" s="155"/>
      <c r="BF247" s="155"/>
      <c r="BG247" s="155"/>
      <c r="BH247" s="155"/>
      <c r="BI247" s="155"/>
      <c r="BJ247" s="155"/>
      <c r="BK247" s="155"/>
      <c r="BL247" s="155"/>
      <c r="BM247" s="155"/>
      <c r="BN247" s="155"/>
      <c r="BO247" s="155"/>
      <c r="BP247" s="155"/>
      <c r="BQ247" s="155"/>
      <c r="BR247" s="155"/>
    </row>
    <row r="248" spans="1:70" s="156" customFormat="1" ht="111.75" customHeight="1" x14ac:dyDescent="0.25">
      <c r="A248" s="266"/>
      <c r="B248" s="268"/>
      <c r="C248" s="268"/>
      <c r="D248" s="271"/>
      <c r="E248" s="282"/>
      <c r="F248" s="282"/>
      <c r="G248" s="283"/>
      <c r="H248" s="271"/>
      <c r="I248" s="266"/>
      <c r="J248" s="276"/>
      <c r="K248" s="278"/>
      <c r="L248" s="274"/>
      <c r="M248" s="260"/>
      <c r="N248" s="276"/>
      <c r="O248" s="278"/>
      <c r="P248" s="280"/>
      <c r="Q248" s="205">
        <v>2</v>
      </c>
      <c r="R248" s="195" t="s">
        <v>953</v>
      </c>
      <c r="S248" s="205" t="str">
        <f t="shared" si="108"/>
        <v>Probabilidad</v>
      </c>
      <c r="T248" s="113" t="s">
        <v>14</v>
      </c>
      <c r="U248" s="113" t="s">
        <v>9</v>
      </c>
      <c r="V248" s="167" t="str">
        <f t="shared" si="109"/>
        <v>40%</v>
      </c>
      <c r="W248" s="113" t="s">
        <v>19</v>
      </c>
      <c r="X248" s="113" t="s">
        <v>22</v>
      </c>
      <c r="Y248" s="113" t="s">
        <v>117</v>
      </c>
      <c r="Z248" s="165">
        <f>IFERROR(IF(S248="Probabilidad",(K247-(+K247*V248)),IF(S248="Impacto",K247,"")),"")</f>
        <v>0.6</v>
      </c>
      <c r="AA248" s="166" t="str">
        <f t="shared" si="110"/>
        <v>Media</v>
      </c>
      <c r="AB248" s="167">
        <f t="shared" ref="AB248:AB252" si="114">+Z248</f>
        <v>0.6</v>
      </c>
      <c r="AC248" s="166" t="str">
        <f t="shared" si="111"/>
        <v>Menor</v>
      </c>
      <c r="AD248" s="167">
        <f>IFERROR(IF(S248="Impacto",(O247-(+O247*V248)),IF(S248="Probabilidad",O247,"")),"")</f>
        <v>0.4</v>
      </c>
      <c r="AE248" s="168" t="str">
        <f t="shared" si="113"/>
        <v>Moderado</v>
      </c>
      <c r="AF248" s="113" t="s">
        <v>31</v>
      </c>
      <c r="AG248" s="207"/>
      <c r="AH248" s="206"/>
      <c r="AI248" s="114"/>
      <c r="AJ248" s="114"/>
      <c r="AK248" s="207"/>
      <c r="AL248" s="206"/>
      <c r="AM248" s="155"/>
      <c r="AN248" s="155"/>
      <c r="AO248" s="155"/>
      <c r="AP248" s="155"/>
      <c r="AQ248" s="155"/>
      <c r="AR248" s="155"/>
      <c r="AS248" s="155"/>
      <c r="AT248" s="155"/>
      <c r="AU248" s="155"/>
      <c r="AV248" s="155"/>
      <c r="AW248" s="155"/>
      <c r="AX248" s="155"/>
      <c r="AY248" s="155"/>
      <c r="AZ248" s="155"/>
      <c r="BA248" s="155"/>
      <c r="BB248" s="155"/>
      <c r="BC248" s="155"/>
      <c r="BD248" s="155"/>
      <c r="BE248" s="155"/>
      <c r="BF248" s="155"/>
      <c r="BG248" s="155"/>
      <c r="BH248" s="155"/>
      <c r="BI248" s="155"/>
      <c r="BJ248" s="155"/>
      <c r="BK248" s="155"/>
      <c r="BL248" s="155"/>
      <c r="BM248" s="155"/>
      <c r="BN248" s="155"/>
      <c r="BO248" s="155"/>
      <c r="BP248" s="155"/>
      <c r="BQ248" s="155"/>
      <c r="BR248" s="155"/>
    </row>
    <row r="249" spans="1:70" s="156" customFormat="1" ht="16.5" hidden="1" customHeight="1" x14ac:dyDescent="0.25">
      <c r="A249" s="266"/>
      <c r="B249" s="268"/>
      <c r="C249" s="268"/>
      <c r="D249" s="271"/>
      <c r="E249" s="282"/>
      <c r="F249" s="282"/>
      <c r="G249" s="283"/>
      <c r="H249" s="271"/>
      <c r="I249" s="266"/>
      <c r="J249" s="276"/>
      <c r="K249" s="278"/>
      <c r="L249" s="274"/>
      <c r="M249" s="260"/>
      <c r="N249" s="276"/>
      <c r="O249" s="278"/>
      <c r="P249" s="280"/>
      <c r="Q249" s="205">
        <v>3</v>
      </c>
      <c r="R249" s="112"/>
      <c r="S249" s="205" t="str">
        <f t="shared" si="108"/>
        <v/>
      </c>
      <c r="T249" s="113"/>
      <c r="U249" s="113"/>
      <c r="V249" s="167" t="str">
        <f t="shared" si="109"/>
        <v/>
      </c>
      <c r="W249" s="113"/>
      <c r="X249" s="113"/>
      <c r="Y249" s="113"/>
      <c r="Z249" s="165" t="str">
        <f t="shared" si="107"/>
        <v/>
      </c>
      <c r="AA249" s="166" t="str">
        <f t="shared" si="110"/>
        <v/>
      </c>
      <c r="AB249" s="167" t="str">
        <f t="shared" si="114"/>
        <v/>
      </c>
      <c r="AC249" s="166" t="str">
        <f t="shared" si="111"/>
        <v/>
      </c>
      <c r="AD249" s="167" t="str">
        <f t="shared" si="112"/>
        <v/>
      </c>
      <c r="AE249" s="168" t="str">
        <f t="shared" si="113"/>
        <v/>
      </c>
      <c r="AF249" s="113"/>
      <c r="AG249" s="207"/>
      <c r="AH249" s="206"/>
      <c r="AI249" s="114"/>
      <c r="AJ249" s="114"/>
      <c r="AK249" s="207"/>
      <c r="AL249" s="206"/>
      <c r="AM249" s="155"/>
      <c r="AN249" s="155"/>
      <c r="AO249" s="155"/>
      <c r="AP249" s="155"/>
      <c r="AQ249" s="155"/>
      <c r="AR249" s="155"/>
      <c r="AS249" s="155"/>
      <c r="AT249" s="155"/>
      <c r="AU249" s="155"/>
      <c r="AV249" s="155"/>
      <c r="AW249" s="155"/>
      <c r="AX249" s="155"/>
      <c r="AY249" s="155"/>
      <c r="AZ249" s="155"/>
      <c r="BA249" s="155"/>
      <c r="BB249" s="155"/>
      <c r="BC249" s="155"/>
      <c r="BD249" s="155"/>
      <c r="BE249" s="155"/>
      <c r="BF249" s="155"/>
      <c r="BG249" s="155"/>
      <c r="BH249" s="155"/>
      <c r="BI249" s="155"/>
      <c r="BJ249" s="155"/>
      <c r="BK249" s="155"/>
      <c r="BL249" s="155"/>
      <c r="BM249" s="155"/>
      <c r="BN249" s="155"/>
      <c r="BO249" s="155"/>
      <c r="BP249" s="155"/>
      <c r="BQ249" s="155"/>
      <c r="BR249" s="155"/>
    </row>
    <row r="250" spans="1:70" s="156" customFormat="1" ht="16.5" hidden="1" customHeight="1" x14ac:dyDescent="0.25">
      <c r="A250" s="266"/>
      <c r="B250" s="268"/>
      <c r="C250" s="268"/>
      <c r="D250" s="271"/>
      <c r="E250" s="282"/>
      <c r="F250" s="282"/>
      <c r="G250" s="283"/>
      <c r="H250" s="271"/>
      <c r="I250" s="266"/>
      <c r="J250" s="276"/>
      <c r="K250" s="278"/>
      <c r="L250" s="274"/>
      <c r="M250" s="260"/>
      <c r="N250" s="276"/>
      <c r="O250" s="278"/>
      <c r="P250" s="280"/>
      <c r="Q250" s="205">
        <v>4</v>
      </c>
      <c r="R250" s="112"/>
      <c r="S250" s="205" t="str">
        <f t="shared" si="108"/>
        <v/>
      </c>
      <c r="T250" s="113"/>
      <c r="U250" s="113"/>
      <c r="V250" s="167" t="str">
        <f t="shared" si="109"/>
        <v/>
      </c>
      <c r="W250" s="113"/>
      <c r="X250" s="113"/>
      <c r="Y250" s="113"/>
      <c r="Z250" s="165" t="str">
        <f t="shared" si="107"/>
        <v/>
      </c>
      <c r="AA250" s="166" t="str">
        <f t="shared" si="110"/>
        <v/>
      </c>
      <c r="AB250" s="167" t="str">
        <f t="shared" si="114"/>
        <v/>
      </c>
      <c r="AC250" s="166" t="str">
        <f t="shared" si="111"/>
        <v/>
      </c>
      <c r="AD250" s="167" t="str">
        <f t="shared" si="112"/>
        <v/>
      </c>
      <c r="AE250" s="168" t="str">
        <f t="shared" si="113"/>
        <v/>
      </c>
      <c r="AF250" s="113"/>
      <c r="AG250" s="207"/>
      <c r="AH250" s="206"/>
      <c r="AI250" s="114"/>
      <c r="AJ250" s="114"/>
      <c r="AK250" s="207"/>
      <c r="AL250" s="206"/>
      <c r="AM250" s="155"/>
      <c r="AN250" s="155"/>
      <c r="AO250" s="155"/>
      <c r="AP250" s="155"/>
      <c r="AQ250" s="155"/>
      <c r="AR250" s="155"/>
      <c r="AS250" s="155"/>
      <c r="AT250" s="155"/>
      <c r="AU250" s="155"/>
      <c r="AV250" s="155"/>
      <c r="AW250" s="155"/>
      <c r="AX250" s="155"/>
      <c r="AY250" s="155"/>
      <c r="AZ250" s="155"/>
      <c r="BA250" s="155"/>
      <c r="BB250" s="155"/>
      <c r="BC250" s="155"/>
      <c r="BD250" s="155"/>
      <c r="BE250" s="155"/>
      <c r="BF250" s="155"/>
      <c r="BG250" s="155"/>
      <c r="BH250" s="155"/>
      <c r="BI250" s="155"/>
      <c r="BJ250" s="155"/>
      <c r="BK250" s="155"/>
      <c r="BL250" s="155"/>
      <c r="BM250" s="155"/>
      <c r="BN250" s="155"/>
      <c r="BO250" s="155"/>
      <c r="BP250" s="155"/>
      <c r="BQ250" s="155"/>
      <c r="BR250" s="155"/>
    </row>
    <row r="251" spans="1:70" s="156" customFormat="1" ht="16.5" hidden="1" customHeight="1" x14ac:dyDescent="0.25">
      <c r="A251" s="266"/>
      <c r="B251" s="268"/>
      <c r="C251" s="268"/>
      <c r="D251" s="271"/>
      <c r="E251" s="282"/>
      <c r="F251" s="282"/>
      <c r="G251" s="283"/>
      <c r="H251" s="271"/>
      <c r="I251" s="266"/>
      <c r="J251" s="276"/>
      <c r="K251" s="278"/>
      <c r="L251" s="274"/>
      <c r="M251" s="260"/>
      <c r="N251" s="276"/>
      <c r="O251" s="278"/>
      <c r="P251" s="280"/>
      <c r="Q251" s="205">
        <v>5</v>
      </c>
      <c r="R251" s="112"/>
      <c r="S251" s="205" t="str">
        <f t="shared" si="108"/>
        <v/>
      </c>
      <c r="T251" s="113"/>
      <c r="U251" s="113"/>
      <c r="V251" s="167" t="str">
        <f t="shared" si="109"/>
        <v/>
      </c>
      <c r="W251" s="113"/>
      <c r="X251" s="113"/>
      <c r="Y251" s="113"/>
      <c r="Z251" s="165" t="str">
        <f t="shared" si="107"/>
        <v/>
      </c>
      <c r="AA251" s="166" t="str">
        <f t="shared" si="110"/>
        <v/>
      </c>
      <c r="AB251" s="167" t="str">
        <f t="shared" si="114"/>
        <v/>
      </c>
      <c r="AC251" s="166" t="str">
        <f t="shared" si="111"/>
        <v/>
      </c>
      <c r="AD251" s="167" t="str">
        <f t="shared" si="112"/>
        <v/>
      </c>
      <c r="AE251" s="168" t="str">
        <f t="shared" si="113"/>
        <v/>
      </c>
      <c r="AF251" s="113"/>
      <c r="AG251" s="207"/>
      <c r="AH251" s="206"/>
      <c r="AI251" s="114"/>
      <c r="AJ251" s="114"/>
      <c r="AK251" s="207"/>
      <c r="AL251" s="206"/>
      <c r="AM251" s="155"/>
      <c r="AN251" s="155"/>
      <c r="AO251" s="155"/>
      <c r="AP251" s="155"/>
      <c r="AQ251" s="155"/>
      <c r="AR251" s="155"/>
      <c r="AS251" s="155"/>
      <c r="AT251" s="155"/>
      <c r="AU251" s="155"/>
      <c r="AV251" s="155"/>
      <c r="AW251" s="155"/>
      <c r="AX251" s="155"/>
      <c r="AY251" s="155"/>
      <c r="AZ251" s="155"/>
      <c r="BA251" s="155"/>
      <c r="BB251" s="155"/>
      <c r="BC251" s="155"/>
      <c r="BD251" s="155"/>
      <c r="BE251" s="155"/>
      <c r="BF251" s="155"/>
      <c r="BG251" s="155"/>
      <c r="BH251" s="155"/>
      <c r="BI251" s="155"/>
      <c r="BJ251" s="155"/>
      <c r="BK251" s="155"/>
      <c r="BL251" s="155"/>
      <c r="BM251" s="155"/>
      <c r="BN251" s="155"/>
      <c r="BO251" s="155"/>
      <c r="BP251" s="155"/>
      <c r="BQ251" s="155"/>
      <c r="BR251" s="155"/>
    </row>
    <row r="252" spans="1:70" s="156" customFormat="1" ht="16.5" hidden="1" customHeight="1" x14ac:dyDescent="0.25">
      <c r="A252" s="266"/>
      <c r="B252" s="269"/>
      <c r="C252" s="269"/>
      <c r="D252" s="271"/>
      <c r="E252" s="282"/>
      <c r="F252" s="282"/>
      <c r="G252" s="283"/>
      <c r="H252" s="271"/>
      <c r="I252" s="266"/>
      <c r="J252" s="276"/>
      <c r="K252" s="278"/>
      <c r="L252" s="274"/>
      <c r="M252" s="261"/>
      <c r="N252" s="276"/>
      <c r="O252" s="278"/>
      <c r="P252" s="280"/>
      <c r="Q252" s="205">
        <v>6</v>
      </c>
      <c r="R252" s="112"/>
      <c r="S252" s="205" t="str">
        <f t="shared" si="108"/>
        <v/>
      </c>
      <c r="T252" s="113"/>
      <c r="U252" s="113"/>
      <c r="V252" s="167" t="str">
        <f t="shared" si="109"/>
        <v/>
      </c>
      <c r="W252" s="113"/>
      <c r="X252" s="113"/>
      <c r="Y252" s="113"/>
      <c r="Z252" s="165" t="str">
        <f t="shared" si="107"/>
        <v/>
      </c>
      <c r="AA252" s="166" t="str">
        <f t="shared" si="110"/>
        <v/>
      </c>
      <c r="AB252" s="167" t="str">
        <f t="shared" si="114"/>
        <v/>
      </c>
      <c r="AC252" s="166" t="str">
        <f t="shared" si="111"/>
        <v/>
      </c>
      <c r="AD252" s="167" t="str">
        <f t="shared" si="112"/>
        <v/>
      </c>
      <c r="AE252" s="168" t="str">
        <f t="shared" si="113"/>
        <v/>
      </c>
      <c r="AF252" s="113"/>
      <c r="AG252" s="207"/>
      <c r="AH252" s="206"/>
      <c r="AI252" s="114"/>
      <c r="AJ252" s="114"/>
      <c r="AK252" s="207"/>
      <c r="AL252" s="206"/>
      <c r="AM252" s="155"/>
      <c r="AN252" s="155"/>
      <c r="AO252" s="155"/>
      <c r="AP252" s="155"/>
      <c r="AQ252" s="155"/>
      <c r="AR252" s="155"/>
      <c r="AS252" s="155"/>
      <c r="AT252" s="155"/>
      <c r="AU252" s="155"/>
      <c r="AV252" s="155"/>
      <c r="AW252" s="155"/>
      <c r="AX252" s="155"/>
      <c r="AY252" s="155"/>
      <c r="AZ252" s="155"/>
      <c r="BA252" s="155"/>
      <c r="BB252" s="155"/>
      <c r="BC252" s="155"/>
      <c r="BD252" s="155"/>
      <c r="BE252" s="155"/>
      <c r="BF252" s="155"/>
      <c r="BG252" s="155"/>
      <c r="BH252" s="155"/>
      <c r="BI252" s="155"/>
      <c r="BJ252" s="155"/>
      <c r="BK252" s="155"/>
      <c r="BL252" s="155"/>
      <c r="BM252" s="155"/>
      <c r="BN252" s="155"/>
      <c r="BO252" s="155"/>
      <c r="BP252" s="155"/>
      <c r="BQ252" s="155"/>
      <c r="BR252" s="155"/>
    </row>
    <row r="253" spans="1:70" s="156" customFormat="1" ht="160.5" customHeight="1" x14ac:dyDescent="0.25">
      <c r="A253" s="266">
        <v>41</v>
      </c>
      <c r="B253" s="267" t="s">
        <v>215</v>
      </c>
      <c r="C253" s="267" t="s">
        <v>669</v>
      </c>
      <c r="D253" s="270" t="s">
        <v>132</v>
      </c>
      <c r="E253" s="270" t="s">
        <v>670</v>
      </c>
      <c r="F253" s="270" t="s">
        <v>671</v>
      </c>
      <c r="G253" s="362" t="s">
        <v>672</v>
      </c>
      <c r="H253" s="270" t="s">
        <v>437</v>
      </c>
      <c r="I253" s="281">
        <v>11</v>
      </c>
      <c r="J253" s="275" t="str">
        <f>IF(I253&lt;=0,"",IF(I253&lt;=2,"Muy Baja",IF(I253&lt;=24,"Baja",IF(I253&lt;=500,"Media",IF(I253&lt;=5000,"Alta","Muy Alta")))))</f>
        <v>Baja</v>
      </c>
      <c r="K253" s="277">
        <f>IF(J253="","",IF(J253="Muy Baja",0.2,IF(J253="Baja",0.4,IF(J253="Media",0.6,IF(J253="Alta",0.8,IF(J253="Muy Alta",1,))))))</f>
        <v>0.4</v>
      </c>
      <c r="L253" s="273" t="s">
        <v>98</v>
      </c>
      <c r="M253" s="277" t="str">
        <f>IF(NOT(ISERROR(MATCH(L253,'[8]Tabla Impacto'!$B$221:$B$223,0))),'[8]Tabla Impacto'!$F$223&amp;"Por favor no seleccionar los criterios de impacto(Afectación Económica o presupuestal y Pérdida Reputacional)",L253)</f>
        <v>El riesgo afecta la imagen de la entidad con algunos usuarios de relevancia frente al logro de los objetivos</v>
      </c>
      <c r="N253" s="275" t="str">
        <f>+IF(OR(M253='[8]Tabla Impacto'!$C$11,M253='[8]Tabla Impacto'!$D$11),"Leve",IF(OR(M253='[8]Tabla Impacto'!$C$12,M253='[8]Tabla Impacto'!$D$12),"Menor",IF(OR(M253='[8]Tabla Impacto'!$C$13,M253='[8]Tabla Impacto'!$D$13),"Moderado",IF(OR(M253='[8]Tabla Impacto'!$C$14,M253='[8]Tabla Impacto'!$D$14),"Mayor",IF(OR(M253='[8]Tabla Impacto'!$C$15,M253='[8]Tabla Impacto'!$D$15),"Catastrófico","")))))</f>
        <v>Moderado</v>
      </c>
      <c r="O253" s="277">
        <f>IF(N253="","",IF(N253="Leve",0.2,IF(N253="Menor",0.4,IF(N253="Moderado",0.6,IF(N253="Mayor",0.8,IF(N253="Catastrófico",1,))))))</f>
        <v>0.6</v>
      </c>
      <c r="P253" s="279" t="str">
        <f>IF(OR(AND(J253="Muy Baja",N253="Leve"),AND(J253="Muy Baja",N253="Menor"),AND(J253="Baja",N253="Leve")),"Bajo",IF(OR(AND(J253="Muy baja",N253="Moderado"),AND(J253="Baja",N253="Menor"),AND(J253="Baja",N253="Moderado"),AND(J253="Media",N253="Leve"),AND(J253="Media",N253="Menor"),AND(J253="Media",N253="Moderado"),AND(J253="Alta",N253="Leve"),AND(J253="Alta",N253="Menor")),"Moderado",IF(OR(AND(J253="Muy Baja",N253="Mayor"),AND(J253="Baja",N253="Mayor"),AND(J253="Media",N253="Mayor"),AND(J253="Alta",N253="Moderado"),AND(J253="Alta",N253="Mayor"),AND(J253="Muy Alta",N253="Leve"),AND(J253="Muy Alta",N253="Menor"),AND(J253="Muy Alta",N253="Moderado"),AND(J253="Muy Alta",N253="Mayor")),"Alto",IF(OR(AND(J253="Muy Baja",N253="Catastrófico"),AND(J253="Baja",N253="Catastrófico"),AND(J253="Media",N253="Catastrófico"),AND(J253="Alta",N253="Catastrófico"),AND(J253="Muy Alta",N253="Catastrófico")),"Extremo",""))))</f>
        <v>Moderado</v>
      </c>
      <c r="Q253" s="201">
        <v>1</v>
      </c>
      <c r="R253" s="112" t="s">
        <v>684</v>
      </c>
      <c r="S253" s="201" t="str">
        <f>IF(OR(T253="Preventivo",T253="Detectivo"),"Probabilidad",IF(T253="Correctivo","Impacto",""))</f>
        <v>Probabilidad</v>
      </c>
      <c r="T253" s="113" t="s">
        <v>14</v>
      </c>
      <c r="U253" s="113" t="s">
        <v>9</v>
      </c>
      <c r="V253" s="167" t="str">
        <f t="shared" si="106"/>
        <v>40%</v>
      </c>
      <c r="W253" s="113" t="s">
        <v>19</v>
      </c>
      <c r="X253" s="113" t="s">
        <v>22</v>
      </c>
      <c r="Y253" s="113" t="s">
        <v>117</v>
      </c>
      <c r="Z253" s="165">
        <f>IFERROR(IF(S253="Probabilidad",(K253-(+K253*V253)),IF(S253="Impacto",K253,"")),"")</f>
        <v>0.24</v>
      </c>
      <c r="AA253" s="166" t="str">
        <f>IFERROR(IF(Z253="","",IF(Z253&lt;=0.2,"Muy Baja",IF(Z253&lt;=0.4,"Baja",IF(Z253&lt;=0.6,"Media",IF(Z253&lt;=0.8,"Alta","Muy Alta"))))),"")</f>
        <v>Baja</v>
      </c>
      <c r="AB253" s="167">
        <f>+Z253</f>
        <v>0.24</v>
      </c>
      <c r="AC253" s="166" t="str">
        <f>IFERROR(IF(AD253="","",IF(AD253&lt;=0.2,"Leve",IF(AD253&lt;=0.4,"Menor",IF(AD253&lt;=0.6,"Moderado",IF(AD253&lt;=0.8,"Mayor","Catastrófico"))))),"")</f>
        <v>Moderado</v>
      </c>
      <c r="AD253" s="167">
        <f>IFERROR(IF(S253="Impacto",(O253-(+O253*V253)),IF(S253="Probabilidad",O253,"")),"")</f>
        <v>0.6</v>
      </c>
      <c r="AE253" s="168" t="str">
        <f>IFERROR(IF(OR(AND(AA253="Muy Baja",AC253="Leve"),AND(AA253="Muy Baja",AC253="Menor"),AND(AA253="Baja",AC253="Leve")),"Bajo",IF(OR(AND(AA253="Muy baja",AC253="Moderado"),AND(AA253="Baja",AC253="Menor"),AND(AA253="Baja",AC253="Moderado"),AND(AA253="Media",AC253="Leve"),AND(AA253="Media",AC253="Menor"),AND(AA253="Media",AC253="Moderado"),AND(AA253="Alta",AC253="Leve"),AND(AA253="Alta",AC253="Menor")),"Moderado",IF(OR(AND(AA253="Muy Baja",AC253="Mayor"),AND(AA253="Baja",AC253="Mayor"),AND(AA253="Media",AC253="Mayor"),AND(AA253="Alta",AC253="Moderado"),AND(AA253="Alta",AC253="Mayor"),AND(AA253="Muy Alta",AC253="Leve"),AND(AA253="Muy Alta",AC253="Menor"),AND(AA253="Muy Alta",AC253="Moderado"),AND(AA253="Muy Alta",AC253="Mayor")),"Alto",IF(OR(AND(AA253="Muy Baja",AC253="Catastrófico"),AND(AA253="Baja",AC253="Catastrófico"),AND(AA253="Media",AC253="Catastrófico"),AND(AA253="Alta",AC253="Catastrófico"),AND(AA253="Muy Alta",AC253="Catastrófico")),"Extremo","")))),"")</f>
        <v>Moderado</v>
      </c>
      <c r="AF253" s="113" t="s">
        <v>31</v>
      </c>
      <c r="AG253" s="191"/>
      <c r="AH253" s="192"/>
      <c r="AI253" s="114"/>
      <c r="AJ253" s="114"/>
      <c r="AK253" s="191"/>
      <c r="AL253" s="192"/>
      <c r="AM253" s="155"/>
      <c r="AN253" s="155"/>
      <c r="AO253" s="155"/>
      <c r="AP253" s="155"/>
      <c r="AQ253" s="155"/>
      <c r="AR253" s="155"/>
      <c r="AS253" s="155"/>
      <c r="AT253" s="155"/>
      <c r="AU253" s="155"/>
      <c r="AV253" s="155"/>
      <c r="AW253" s="155"/>
      <c r="AX253" s="155"/>
      <c r="AY253" s="155"/>
      <c r="AZ253" s="155"/>
      <c r="BA253" s="155"/>
      <c r="BB253" s="155"/>
      <c r="BC253" s="155"/>
      <c r="BD253" s="155"/>
      <c r="BE253" s="155"/>
      <c r="BF253" s="155"/>
      <c r="BG253" s="155"/>
      <c r="BH253" s="155"/>
      <c r="BI253" s="155"/>
      <c r="BJ253" s="155"/>
      <c r="BK253" s="155"/>
      <c r="BL253" s="155"/>
      <c r="BM253" s="155"/>
      <c r="BN253" s="155"/>
      <c r="BO253" s="155"/>
      <c r="BP253" s="155"/>
      <c r="BQ253" s="155"/>
      <c r="BR253" s="155"/>
    </row>
    <row r="254" spans="1:70" s="156" customFormat="1" hidden="1" x14ac:dyDescent="0.25">
      <c r="A254" s="266"/>
      <c r="B254" s="268"/>
      <c r="C254" s="268"/>
      <c r="D254" s="271"/>
      <c r="E254" s="271"/>
      <c r="F254" s="271"/>
      <c r="G254" s="363"/>
      <c r="H254" s="271"/>
      <c r="I254" s="266"/>
      <c r="J254" s="276"/>
      <c r="K254" s="278"/>
      <c r="L254" s="274"/>
      <c r="M254" s="278">
        <f ca="1">IF(NOT(ISERROR(MATCH(L254,_xlfn.ANCHORARRAY(G265),0))),K267&amp;"Por favor no seleccionar los criterios de impacto",L254)</f>
        <v>0</v>
      </c>
      <c r="N254" s="276"/>
      <c r="O254" s="278"/>
      <c r="P254" s="280"/>
      <c r="Q254" s="201">
        <v>2</v>
      </c>
      <c r="R254" s="112"/>
      <c r="S254" s="201" t="str">
        <f t="shared" ref="S254:S276" si="115">IF(OR(T254="Preventivo",T254="Detectivo"),"Probabilidad",IF(T254="Correctivo","Impacto",""))</f>
        <v/>
      </c>
      <c r="T254" s="113"/>
      <c r="U254" s="113"/>
      <c r="V254" s="167" t="str">
        <f t="shared" si="106"/>
        <v/>
      </c>
      <c r="W254" s="113"/>
      <c r="X254" s="113"/>
      <c r="Y254" s="113"/>
      <c r="Z254" s="165" t="str">
        <f>IFERROR(IF(S254="Probabilidad",(K253-(+K253*V254)),IF(S254="Impacto",K253,"")),"")</f>
        <v/>
      </c>
      <c r="AA254" s="166" t="str">
        <f t="shared" ref="AA254:AA276" si="116">IFERROR(IF(Z254="","",IF(Z254&lt;=0.2,"Muy Baja",IF(Z254&lt;=0.4,"Baja",IF(Z254&lt;=0.6,"Media",IF(Z254&lt;=0.8,"Alta","Muy Alta"))))),"")</f>
        <v/>
      </c>
      <c r="AB254" s="167" t="str">
        <f t="shared" ref="AB254:AB276" si="117">+Z254</f>
        <v/>
      </c>
      <c r="AC254" s="166" t="str">
        <f t="shared" ref="AC254:AC276" si="118">IFERROR(IF(AD254="","",IF(AD254&lt;=0.2,"Leve",IF(AD254&lt;=0.4,"Menor",IF(AD254&lt;=0.6,"Moderado",IF(AD254&lt;=0.8,"Mayor","Catastrófico"))))),"")</f>
        <v/>
      </c>
      <c r="AD254" s="167" t="str">
        <f>IFERROR(IF(S254="Impacto",(O253-(+O253*V254)),IF(S254="Probabilidad",O253,"")),"")</f>
        <v/>
      </c>
      <c r="AE254" s="168" t="str">
        <f t="shared" ref="AE254:AE276" si="119">IFERROR(IF(OR(AND(AA254="Muy Baja",AC254="Leve"),AND(AA254="Muy Baja",AC254="Menor"),AND(AA254="Baja",AC254="Leve")),"Bajo",IF(OR(AND(AA254="Muy baja",AC254="Moderado"),AND(AA254="Baja",AC254="Menor"),AND(AA254="Baja",AC254="Moderado"),AND(AA254="Media",AC254="Leve"),AND(AA254="Media",AC254="Menor"),AND(AA254="Media",AC254="Moderado"),AND(AA254="Alta",AC254="Leve"),AND(AA254="Alta",AC254="Menor")),"Moderado",IF(OR(AND(AA254="Muy Baja",AC254="Mayor"),AND(AA254="Baja",AC254="Mayor"),AND(AA254="Media",AC254="Mayor"),AND(AA254="Alta",AC254="Moderado"),AND(AA254="Alta",AC254="Mayor"),AND(AA254="Muy Alta",AC254="Leve"),AND(AA254="Muy Alta",AC254="Menor"),AND(AA254="Muy Alta",AC254="Moderado"),AND(AA254="Muy Alta",AC254="Mayor")),"Alto",IF(OR(AND(AA254="Muy Baja",AC254="Catastrófico"),AND(AA254="Baja",AC254="Catastrófico"),AND(AA254="Media",AC254="Catastrófico"),AND(AA254="Alta",AC254="Catastrófico"),AND(AA254="Muy Alta",AC254="Catastrófico")),"Extremo","")))),"")</f>
        <v/>
      </c>
      <c r="AF254" s="113"/>
      <c r="AG254" s="191"/>
      <c r="AH254" s="192"/>
      <c r="AI254" s="114"/>
      <c r="AJ254" s="114"/>
      <c r="AK254" s="191"/>
      <c r="AL254" s="192"/>
      <c r="AM254" s="155"/>
      <c r="AN254" s="155"/>
      <c r="AO254" s="155"/>
      <c r="AP254" s="155"/>
      <c r="AQ254" s="155"/>
      <c r="AR254" s="155"/>
      <c r="AS254" s="155"/>
      <c r="AT254" s="155"/>
      <c r="AU254" s="155"/>
      <c r="AV254" s="155"/>
      <c r="AW254" s="155"/>
      <c r="AX254" s="155"/>
      <c r="AY254" s="155"/>
      <c r="AZ254" s="155"/>
      <c r="BA254" s="155"/>
      <c r="BB254" s="155"/>
      <c r="BC254" s="155"/>
      <c r="BD254" s="155"/>
      <c r="BE254" s="155"/>
      <c r="BF254" s="155"/>
      <c r="BG254" s="155"/>
      <c r="BH254" s="155"/>
      <c r="BI254" s="155"/>
      <c r="BJ254" s="155"/>
      <c r="BK254" s="155"/>
      <c r="BL254" s="155"/>
      <c r="BM254" s="155"/>
      <c r="BN254" s="155"/>
      <c r="BO254" s="155"/>
      <c r="BP254" s="155"/>
      <c r="BQ254" s="155"/>
      <c r="BR254" s="155"/>
    </row>
    <row r="255" spans="1:70" s="156" customFormat="1" hidden="1" x14ac:dyDescent="0.25">
      <c r="A255" s="266"/>
      <c r="B255" s="268"/>
      <c r="C255" s="268"/>
      <c r="D255" s="271"/>
      <c r="E255" s="271"/>
      <c r="F255" s="271"/>
      <c r="G255" s="363"/>
      <c r="H255" s="271"/>
      <c r="I255" s="266"/>
      <c r="J255" s="276"/>
      <c r="K255" s="278"/>
      <c r="L255" s="274"/>
      <c r="M255" s="278">
        <f ca="1">IF(NOT(ISERROR(MATCH(L255,_xlfn.ANCHORARRAY(G266),0))),K268&amp;"Por favor no seleccionar los criterios de impacto",L255)</f>
        <v>0</v>
      </c>
      <c r="N255" s="276"/>
      <c r="O255" s="278"/>
      <c r="P255" s="280"/>
      <c r="Q255" s="201">
        <v>3</v>
      </c>
      <c r="R255" s="112"/>
      <c r="S255" s="201" t="str">
        <f t="shared" si="115"/>
        <v/>
      </c>
      <c r="T255" s="113"/>
      <c r="U255" s="113"/>
      <c r="V255" s="167" t="str">
        <f t="shared" si="106"/>
        <v/>
      </c>
      <c r="W255" s="113"/>
      <c r="X255" s="113"/>
      <c r="Y255" s="113"/>
      <c r="Z255" s="165" t="str">
        <f>IFERROR(IF(S255="Probabilidad",(K253-(+K253*V255)),IF(S255="Impacto",K253,"")),"")</f>
        <v/>
      </c>
      <c r="AA255" s="166" t="str">
        <f t="shared" si="116"/>
        <v/>
      </c>
      <c r="AB255" s="167" t="str">
        <f t="shared" si="117"/>
        <v/>
      </c>
      <c r="AC255" s="166" t="str">
        <f t="shared" si="118"/>
        <v/>
      </c>
      <c r="AD255" s="167" t="str">
        <f t="shared" ref="AD255:AD276" si="120">IFERROR(IF(S255="Impacto",(O255-(+O255*V255)),IF(S255="Probabilidad",O255,"")),"")</f>
        <v/>
      </c>
      <c r="AE255" s="168" t="str">
        <f t="shared" si="119"/>
        <v/>
      </c>
      <c r="AF255" s="113"/>
      <c r="AG255" s="191"/>
      <c r="AH255" s="192"/>
      <c r="AI255" s="114"/>
      <c r="AJ255" s="114"/>
      <c r="AK255" s="191"/>
      <c r="AL255" s="192"/>
      <c r="AM255" s="155"/>
      <c r="AN255" s="155"/>
      <c r="AO255" s="155"/>
      <c r="AP255" s="155"/>
      <c r="AQ255" s="155"/>
      <c r="AR255" s="155"/>
      <c r="AS255" s="155"/>
      <c r="AT255" s="155"/>
      <c r="AU255" s="155"/>
      <c r="AV255" s="155"/>
      <c r="AW255" s="155"/>
      <c r="AX255" s="155"/>
      <c r="AY255" s="155"/>
      <c r="AZ255" s="155"/>
      <c r="BA255" s="155"/>
      <c r="BB255" s="155"/>
      <c r="BC255" s="155"/>
      <c r="BD255" s="155"/>
      <c r="BE255" s="155"/>
      <c r="BF255" s="155"/>
      <c r="BG255" s="155"/>
      <c r="BH255" s="155"/>
      <c r="BI255" s="155"/>
      <c r="BJ255" s="155"/>
      <c r="BK255" s="155"/>
      <c r="BL255" s="155"/>
      <c r="BM255" s="155"/>
      <c r="BN255" s="155"/>
      <c r="BO255" s="155"/>
      <c r="BP255" s="155"/>
      <c r="BQ255" s="155"/>
      <c r="BR255" s="155"/>
    </row>
    <row r="256" spans="1:70" s="156" customFormat="1" hidden="1" x14ac:dyDescent="0.25">
      <c r="A256" s="266"/>
      <c r="B256" s="268"/>
      <c r="C256" s="268"/>
      <c r="D256" s="271"/>
      <c r="E256" s="271"/>
      <c r="F256" s="271"/>
      <c r="G256" s="363"/>
      <c r="H256" s="271"/>
      <c r="I256" s="266"/>
      <c r="J256" s="276"/>
      <c r="K256" s="278"/>
      <c r="L256" s="274"/>
      <c r="M256" s="278">
        <f ca="1">IF(NOT(ISERROR(MATCH(L256,_xlfn.ANCHORARRAY(G267),0))),K269&amp;"Por favor no seleccionar los criterios de impacto",L256)</f>
        <v>0</v>
      </c>
      <c r="N256" s="276"/>
      <c r="O256" s="278"/>
      <c r="P256" s="280"/>
      <c r="Q256" s="201">
        <v>4</v>
      </c>
      <c r="R256" s="112"/>
      <c r="S256" s="201" t="str">
        <f t="shared" si="115"/>
        <v/>
      </c>
      <c r="T256" s="113"/>
      <c r="U256" s="113"/>
      <c r="V256" s="167" t="str">
        <f t="shared" si="106"/>
        <v/>
      </c>
      <c r="W256" s="113"/>
      <c r="X256" s="113"/>
      <c r="Y256" s="113"/>
      <c r="Z256" s="165" t="str">
        <f>IFERROR(IF(S256="Probabilidad",(K253-(+K253*V256)),IF(S256="Impacto",K253,"")),"")</f>
        <v/>
      </c>
      <c r="AA256" s="166" t="str">
        <f t="shared" si="116"/>
        <v/>
      </c>
      <c r="AB256" s="167" t="str">
        <f t="shared" si="117"/>
        <v/>
      </c>
      <c r="AC256" s="166" t="str">
        <f t="shared" si="118"/>
        <v/>
      </c>
      <c r="AD256" s="167" t="str">
        <f t="shared" si="120"/>
        <v/>
      </c>
      <c r="AE256" s="168" t="str">
        <f t="shared" si="119"/>
        <v/>
      </c>
      <c r="AF256" s="113"/>
      <c r="AG256" s="191"/>
      <c r="AH256" s="192"/>
      <c r="AI256" s="114"/>
      <c r="AJ256" s="114"/>
      <c r="AK256" s="191"/>
      <c r="AL256" s="192"/>
      <c r="AM256" s="155"/>
      <c r="AN256" s="155"/>
      <c r="AO256" s="155"/>
      <c r="AP256" s="155"/>
      <c r="AQ256" s="155"/>
      <c r="AR256" s="155"/>
      <c r="AS256" s="155"/>
      <c r="AT256" s="155"/>
      <c r="AU256" s="155"/>
      <c r="AV256" s="155"/>
      <c r="AW256" s="155"/>
      <c r="AX256" s="155"/>
      <c r="AY256" s="155"/>
      <c r="AZ256" s="155"/>
      <c r="BA256" s="155"/>
      <c r="BB256" s="155"/>
      <c r="BC256" s="155"/>
      <c r="BD256" s="155"/>
      <c r="BE256" s="155"/>
      <c r="BF256" s="155"/>
      <c r="BG256" s="155"/>
      <c r="BH256" s="155"/>
      <c r="BI256" s="155"/>
      <c r="BJ256" s="155"/>
      <c r="BK256" s="155"/>
      <c r="BL256" s="155"/>
      <c r="BM256" s="155"/>
      <c r="BN256" s="155"/>
      <c r="BO256" s="155"/>
      <c r="BP256" s="155"/>
      <c r="BQ256" s="155"/>
      <c r="BR256" s="155"/>
    </row>
    <row r="257" spans="1:70" s="156" customFormat="1" hidden="1" x14ac:dyDescent="0.25">
      <c r="A257" s="266"/>
      <c r="B257" s="268"/>
      <c r="C257" s="268"/>
      <c r="D257" s="271"/>
      <c r="E257" s="271"/>
      <c r="F257" s="271"/>
      <c r="G257" s="363"/>
      <c r="H257" s="271"/>
      <c r="I257" s="266"/>
      <c r="J257" s="276"/>
      <c r="K257" s="278"/>
      <c r="L257" s="274"/>
      <c r="M257" s="278">
        <f ca="1">IF(NOT(ISERROR(MATCH(L257,_xlfn.ANCHORARRAY(G268),0))),K270&amp;"Por favor no seleccionar los criterios de impacto",L257)</f>
        <v>0</v>
      </c>
      <c r="N257" s="276"/>
      <c r="O257" s="278"/>
      <c r="P257" s="280"/>
      <c r="Q257" s="201">
        <v>5</v>
      </c>
      <c r="R257" s="112"/>
      <c r="S257" s="201" t="str">
        <f t="shared" si="115"/>
        <v/>
      </c>
      <c r="T257" s="113"/>
      <c r="U257" s="113"/>
      <c r="V257" s="167" t="str">
        <f t="shared" si="106"/>
        <v/>
      </c>
      <c r="W257" s="113"/>
      <c r="X257" s="113"/>
      <c r="Y257" s="113"/>
      <c r="Z257" s="165" t="str">
        <f>IFERROR(IF(S257="Probabilidad",(K253-(+K253*V257)),IF(S257="Impacto",K253,"")),"")</f>
        <v/>
      </c>
      <c r="AA257" s="166" t="str">
        <f t="shared" si="116"/>
        <v/>
      </c>
      <c r="AB257" s="167" t="str">
        <f t="shared" si="117"/>
        <v/>
      </c>
      <c r="AC257" s="166" t="str">
        <f t="shared" si="118"/>
        <v/>
      </c>
      <c r="AD257" s="167" t="str">
        <f t="shared" si="120"/>
        <v/>
      </c>
      <c r="AE257" s="168" t="str">
        <f t="shared" si="119"/>
        <v/>
      </c>
      <c r="AF257" s="113"/>
      <c r="AG257" s="191"/>
      <c r="AH257" s="192"/>
      <c r="AI257" s="114"/>
      <c r="AJ257" s="114"/>
      <c r="AK257" s="191"/>
      <c r="AL257" s="192"/>
      <c r="AM257" s="155"/>
      <c r="AN257" s="155"/>
      <c r="AO257" s="155"/>
      <c r="AP257" s="155"/>
      <c r="AQ257" s="155"/>
      <c r="AR257" s="155"/>
      <c r="AS257" s="155"/>
      <c r="AT257" s="155"/>
      <c r="AU257" s="155"/>
      <c r="AV257" s="155"/>
      <c r="AW257" s="155"/>
      <c r="AX257" s="155"/>
      <c r="AY257" s="155"/>
      <c r="AZ257" s="155"/>
      <c r="BA257" s="155"/>
      <c r="BB257" s="155"/>
      <c r="BC257" s="155"/>
      <c r="BD257" s="155"/>
      <c r="BE257" s="155"/>
      <c r="BF257" s="155"/>
      <c r="BG257" s="155"/>
      <c r="BH257" s="155"/>
      <c r="BI257" s="155"/>
      <c r="BJ257" s="155"/>
      <c r="BK257" s="155"/>
      <c r="BL257" s="155"/>
      <c r="BM257" s="155"/>
      <c r="BN257" s="155"/>
      <c r="BO257" s="155"/>
      <c r="BP257" s="155"/>
      <c r="BQ257" s="155"/>
      <c r="BR257" s="155"/>
    </row>
    <row r="258" spans="1:70" s="156" customFormat="1" hidden="1" x14ac:dyDescent="0.25">
      <c r="A258" s="266"/>
      <c r="B258" s="269"/>
      <c r="C258" s="269"/>
      <c r="D258" s="271"/>
      <c r="E258" s="271"/>
      <c r="F258" s="271"/>
      <c r="G258" s="363"/>
      <c r="H258" s="271"/>
      <c r="I258" s="266"/>
      <c r="J258" s="276"/>
      <c r="K258" s="278"/>
      <c r="L258" s="274"/>
      <c r="M258" s="278">
        <f ca="1">IF(NOT(ISERROR(MATCH(L258,_xlfn.ANCHORARRAY(G269),0))),K271&amp;"Por favor no seleccionar los criterios de impacto",L258)</f>
        <v>0</v>
      </c>
      <c r="N258" s="276"/>
      <c r="O258" s="278"/>
      <c r="P258" s="280"/>
      <c r="Q258" s="201">
        <v>6</v>
      </c>
      <c r="R258" s="112"/>
      <c r="S258" s="201" t="str">
        <f t="shared" si="115"/>
        <v/>
      </c>
      <c r="T258" s="113"/>
      <c r="U258" s="113"/>
      <c r="V258" s="167" t="str">
        <f t="shared" si="106"/>
        <v/>
      </c>
      <c r="W258" s="113"/>
      <c r="X258" s="113"/>
      <c r="Y258" s="113"/>
      <c r="Z258" s="165" t="str">
        <f>IFERROR(IF(S257="Probabilidad",(K253-(+K253*V258)),IF(S258="Impacto",K253,"")),"")</f>
        <v/>
      </c>
      <c r="AA258" s="166" t="str">
        <f t="shared" si="116"/>
        <v/>
      </c>
      <c r="AB258" s="167" t="str">
        <f t="shared" si="117"/>
        <v/>
      </c>
      <c r="AC258" s="166" t="str">
        <f t="shared" si="118"/>
        <v/>
      </c>
      <c r="AD258" s="167" t="str">
        <f t="shared" si="120"/>
        <v/>
      </c>
      <c r="AE258" s="168" t="str">
        <f t="shared" si="119"/>
        <v/>
      </c>
      <c r="AF258" s="113"/>
      <c r="AG258" s="191"/>
      <c r="AH258" s="192"/>
      <c r="AI258" s="114"/>
      <c r="AJ258" s="114"/>
      <c r="AK258" s="191"/>
      <c r="AL258" s="192"/>
      <c r="AM258" s="155"/>
      <c r="AN258" s="155"/>
      <c r="AO258" s="155"/>
      <c r="AP258" s="155"/>
      <c r="AQ258" s="155"/>
      <c r="AR258" s="155"/>
      <c r="AS258" s="155"/>
      <c r="AT258" s="155"/>
      <c r="AU258" s="155"/>
      <c r="AV258" s="155"/>
      <c r="AW258" s="155"/>
      <c r="AX258" s="155"/>
      <c r="AY258" s="155"/>
      <c r="AZ258" s="155"/>
      <c r="BA258" s="155"/>
      <c r="BB258" s="155"/>
      <c r="BC258" s="155"/>
      <c r="BD258" s="155"/>
      <c r="BE258" s="155"/>
      <c r="BF258" s="155"/>
      <c r="BG258" s="155"/>
      <c r="BH258" s="155"/>
      <c r="BI258" s="155"/>
      <c r="BJ258" s="155"/>
      <c r="BK258" s="155"/>
      <c r="BL258" s="155"/>
      <c r="BM258" s="155"/>
      <c r="BN258" s="155"/>
      <c r="BO258" s="155"/>
      <c r="BP258" s="155"/>
      <c r="BQ258" s="155"/>
      <c r="BR258" s="155"/>
    </row>
    <row r="259" spans="1:70" s="156" customFormat="1" ht="80.25" customHeight="1" x14ac:dyDescent="0.25">
      <c r="A259" s="266">
        <v>42</v>
      </c>
      <c r="B259" s="267" t="s">
        <v>215</v>
      </c>
      <c r="C259" s="267" t="s">
        <v>669</v>
      </c>
      <c r="D259" s="270" t="s">
        <v>131</v>
      </c>
      <c r="E259" s="270" t="s">
        <v>673</v>
      </c>
      <c r="F259" s="270" t="s">
        <v>674</v>
      </c>
      <c r="G259" s="362" t="s">
        <v>675</v>
      </c>
      <c r="H259" s="270" t="s">
        <v>126</v>
      </c>
      <c r="I259" s="281">
        <v>4</v>
      </c>
      <c r="J259" s="275" t="str">
        <f>IF(I259&lt;=0,"",IF(I259&lt;=2,"Muy Baja",IF(I259&lt;=24,"Baja",IF(I259&lt;=500,"Media",IF(I259&lt;=5000,"Alta","Muy Alta")))))</f>
        <v>Baja</v>
      </c>
      <c r="K259" s="277">
        <f>IF(J259="","",IF(J259="Muy Baja",0.2,IF(J259="Baja",0.4,IF(J259="Media",0.6,IF(J259="Alta",0.8,IF(J259="Muy Alta",1,))))))</f>
        <v>0.4</v>
      </c>
      <c r="L259" s="273" t="s">
        <v>92</v>
      </c>
      <c r="M259" s="277" t="str">
        <f>IF(NOT(ISERROR(MATCH(L259,'[8]Tabla Impacto'!$B$221:$B$223,0))),'[8]Tabla Impacto'!$F$223&amp;"Por favor no seleccionar los criterios de impacto(Afectación Económica o presupuestal y Pérdida Reputacional)",L259)</f>
        <v xml:space="preserve">Entre 50 y 100 SMLMV </v>
      </c>
      <c r="N259" s="275" t="str">
        <f>+IF(OR(M259='[8]Tabla Impacto'!$C$11,M259='[8]Tabla Impacto'!$D$11),"Leve",IF(OR(M259='[8]Tabla Impacto'!$C$12,M259='[8]Tabla Impacto'!$D$12),"Menor",IF(OR(M259='[8]Tabla Impacto'!$C$13,M259='[8]Tabla Impacto'!$D$13),"Moderado",IF(OR(M259='[8]Tabla Impacto'!$C$14,M259='[8]Tabla Impacto'!$D$14),"Mayor",IF(OR(M259='[8]Tabla Impacto'!$C$15,M259='[8]Tabla Impacto'!$D$15),"Catastrófico","")))))</f>
        <v>Moderado</v>
      </c>
      <c r="O259" s="277">
        <f>IF(N259="","",IF(N259="Leve",0.2,IF(N259="Menor",0.4,IF(N259="Moderado",0.6,IF(N259="Mayor",0.8,IF(N259="Catastrófico",1,))))))</f>
        <v>0.6</v>
      </c>
      <c r="P259" s="279" t="str">
        <f>IF(OR(AND(J259="Muy Baja",N259="Leve"),AND(J259="Muy Baja",N259="Menor"),AND(J259="Baja",N259="Leve")),"Bajo",IF(OR(AND(J259="Muy baja",N259="Moderado"),AND(J259="Baja",N259="Menor"),AND(J259="Baja",N259="Moderado"),AND(J259="Media",N259="Leve"),AND(J259="Media",N259="Menor"),AND(J259="Media",N259="Moderado"),AND(J259="Alta",N259="Leve"),AND(J259="Alta",N259="Menor")),"Moderado",IF(OR(AND(J259="Muy Baja",N259="Mayor"),AND(J259="Baja",N259="Mayor"),AND(J259="Media",N259="Mayor"),AND(J259="Alta",N259="Moderado"),AND(J259="Alta",N259="Mayor"),AND(J259="Muy Alta",N259="Leve"),AND(J259="Muy Alta",N259="Menor"),AND(J259="Muy Alta",N259="Moderado"),AND(J259="Muy Alta",N259="Mayor")),"Alto",IF(OR(AND(J259="Muy Baja",N259="Catastrófico"),AND(J259="Baja",N259="Catastrófico"),AND(J259="Media",N259="Catastrófico"),AND(J259="Alta",N259="Catastrófico"),AND(J259="Muy Alta",N259="Catastrófico")),"Extremo",""))))</f>
        <v>Moderado</v>
      </c>
      <c r="Q259" s="201">
        <v>1</v>
      </c>
      <c r="R259" s="112" t="s">
        <v>685</v>
      </c>
      <c r="S259" s="201" t="str">
        <f t="shared" si="115"/>
        <v>Probabilidad</v>
      </c>
      <c r="T259" s="113" t="s">
        <v>14</v>
      </c>
      <c r="U259" s="113" t="s">
        <v>9</v>
      </c>
      <c r="V259" s="167" t="str">
        <f t="shared" si="106"/>
        <v>40%</v>
      </c>
      <c r="W259" s="113" t="s">
        <v>19</v>
      </c>
      <c r="X259" s="113" t="s">
        <v>22</v>
      </c>
      <c r="Y259" s="113" t="s">
        <v>117</v>
      </c>
      <c r="Z259" s="165">
        <f t="shared" ref="Z259:Z271" si="121">IFERROR(IF(S259="Probabilidad",(K259-(+K259*V259)),IF(S259="Impacto",K259,"")),"")</f>
        <v>0.24</v>
      </c>
      <c r="AA259" s="166" t="str">
        <f t="shared" si="116"/>
        <v>Baja</v>
      </c>
      <c r="AB259" s="167">
        <f t="shared" si="117"/>
        <v>0.24</v>
      </c>
      <c r="AC259" s="166" t="str">
        <f t="shared" si="118"/>
        <v>Moderado</v>
      </c>
      <c r="AD259" s="167">
        <f t="shared" si="120"/>
        <v>0.6</v>
      </c>
      <c r="AE259" s="168" t="str">
        <f t="shared" si="119"/>
        <v>Moderado</v>
      </c>
      <c r="AF259" s="113" t="s">
        <v>31</v>
      </c>
      <c r="AG259" s="191"/>
      <c r="AH259" s="192"/>
      <c r="AI259" s="114"/>
      <c r="AJ259" s="114"/>
      <c r="AK259" s="191"/>
      <c r="AL259" s="192"/>
      <c r="AM259" s="155"/>
      <c r="AN259" s="155"/>
      <c r="AO259" s="155"/>
      <c r="AP259" s="155"/>
      <c r="AQ259" s="155"/>
      <c r="AR259" s="155"/>
      <c r="AS259" s="155"/>
      <c r="AT259" s="155"/>
      <c r="AU259" s="155"/>
      <c r="AV259" s="155"/>
      <c r="AW259" s="155"/>
      <c r="AX259" s="155"/>
      <c r="AY259" s="155"/>
      <c r="AZ259" s="155"/>
      <c r="BA259" s="155"/>
      <c r="BB259" s="155"/>
      <c r="BC259" s="155"/>
      <c r="BD259" s="155"/>
      <c r="BE259" s="155"/>
      <c r="BF259" s="155"/>
      <c r="BG259" s="155"/>
      <c r="BH259" s="155"/>
      <c r="BI259" s="155"/>
      <c r="BJ259" s="155"/>
      <c r="BK259" s="155"/>
      <c r="BL259" s="155"/>
      <c r="BM259" s="155"/>
      <c r="BN259" s="155"/>
      <c r="BO259" s="155"/>
      <c r="BP259" s="155"/>
      <c r="BQ259" s="155"/>
      <c r="BR259" s="155"/>
    </row>
    <row r="260" spans="1:70" s="156" customFormat="1" ht="80.25" customHeight="1" x14ac:dyDescent="0.25">
      <c r="A260" s="266"/>
      <c r="B260" s="294"/>
      <c r="C260" s="294"/>
      <c r="D260" s="270"/>
      <c r="E260" s="270"/>
      <c r="F260" s="270"/>
      <c r="G260" s="362"/>
      <c r="H260" s="270"/>
      <c r="I260" s="281"/>
      <c r="J260" s="275"/>
      <c r="K260" s="277"/>
      <c r="L260" s="273"/>
      <c r="M260" s="277">
        <f ca="1">IF(NOT(ISERROR(MATCH(L260,_xlfn.ANCHORARRAY(G271),0))),K273&amp;"Por favor no seleccionar los criterios de impacto",L260)</f>
        <v>0</v>
      </c>
      <c r="N260" s="275"/>
      <c r="O260" s="277"/>
      <c r="P260" s="279"/>
      <c r="Q260" s="201">
        <v>2</v>
      </c>
      <c r="R260" s="112" t="s">
        <v>686</v>
      </c>
      <c r="S260" s="201" t="str">
        <f t="shared" si="115"/>
        <v>Probabilidad</v>
      </c>
      <c r="T260" s="113" t="s">
        <v>14</v>
      </c>
      <c r="U260" s="113" t="s">
        <v>9</v>
      </c>
      <c r="V260" s="167" t="str">
        <f t="shared" si="106"/>
        <v>40%</v>
      </c>
      <c r="W260" s="113" t="s">
        <v>19</v>
      </c>
      <c r="X260" s="113" t="s">
        <v>22</v>
      </c>
      <c r="Y260" s="113" t="s">
        <v>117</v>
      </c>
      <c r="Z260" s="165">
        <f>IFERROR(IF(S260="Probabilidad",(K259-(+K259*V260)),IF(S260="Impacto",K259,"")),"")</f>
        <v>0.24</v>
      </c>
      <c r="AA260" s="166" t="str">
        <f t="shared" si="116"/>
        <v>Baja</v>
      </c>
      <c r="AB260" s="167">
        <f t="shared" si="117"/>
        <v>0.24</v>
      </c>
      <c r="AC260" s="166" t="str">
        <f t="shared" si="118"/>
        <v>Moderado</v>
      </c>
      <c r="AD260" s="167">
        <f>IFERROR(IF(S260="Impacto",(O259-(+O259*V260)),IF(S260="Probabilidad",O259,"")),"")</f>
        <v>0.6</v>
      </c>
      <c r="AE260" s="168" t="str">
        <f t="shared" si="119"/>
        <v>Moderado</v>
      </c>
      <c r="AF260" s="113" t="s">
        <v>31</v>
      </c>
      <c r="AG260" s="191"/>
      <c r="AH260" s="192"/>
      <c r="AI260" s="114"/>
      <c r="AJ260" s="114"/>
      <c r="AK260" s="191"/>
      <c r="AL260" s="192"/>
      <c r="AM260" s="155"/>
      <c r="AN260" s="155"/>
      <c r="AO260" s="155"/>
      <c r="AP260" s="155"/>
      <c r="AQ260" s="155"/>
      <c r="AR260" s="155"/>
      <c r="AS260" s="155"/>
      <c r="AT260" s="155"/>
      <c r="AU260" s="155"/>
      <c r="AV260" s="155"/>
      <c r="AW260" s="155"/>
      <c r="AX260" s="155"/>
      <c r="AY260" s="155"/>
      <c r="AZ260" s="155"/>
      <c r="BA260" s="155"/>
      <c r="BB260" s="155"/>
      <c r="BC260" s="155"/>
      <c r="BD260" s="155"/>
      <c r="BE260" s="155"/>
      <c r="BF260" s="155"/>
      <c r="BG260" s="155"/>
      <c r="BH260" s="155"/>
      <c r="BI260" s="155"/>
      <c r="BJ260" s="155"/>
      <c r="BK260" s="155"/>
      <c r="BL260" s="155"/>
      <c r="BM260" s="155"/>
      <c r="BN260" s="155"/>
      <c r="BO260" s="155"/>
      <c r="BP260" s="155"/>
      <c r="BQ260" s="155"/>
      <c r="BR260" s="155"/>
    </row>
    <row r="261" spans="1:70" s="156" customFormat="1" ht="36.75" hidden="1" customHeight="1" x14ac:dyDescent="0.25">
      <c r="A261" s="266"/>
      <c r="B261" s="268"/>
      <c r="C261" s="268"/>
      <c r="D261" s="271"/>
      <c r="E261" s="271"/>
      <c r="F261" s="271"/>
      <c r="G261" s="363"/>
      <c r="H261" s="271"/>
      <c r="I261" s="266"/>
      <c r="J261" s="276"/>
      <c r="K261" s="278"/>
      <c r="L261" s="274"/>
      <c r="M261" s="278">
        <f ca="1">IF(NOT(ISERROR(MATCH(L261,_xlfn.ANCHORARRAY(G272),0))),K274&amp;"Por favor no seleccionar los criterios de impacto",L261)</f>
        <v>0</v>
      </c>
      <c r="N261" s="276"/>
      <c r="O261" s="278"/>
      <c r="P261" s="280"/>
      <c r="Q261" s="201">
        <v>3</v>
      </c>
      <c r="R261" s="112"/>
      <c r="S261" s="201" t="str">
        <f t="shared" si="115"/>
        <v/>
      </c>
      <c r="T261" s="113"/>
      <c r="U261" s="113"/>
      <c r="V261" s="167" t="str">
        <f t="shared" si="106"/>
        <v/>
      </c>
      <c r="W261" s="113"/>
      <c r="X261" s="113"/>
      <c r="Y261" s="113"/>
      <c r="Z261" s="165" t="str">
        <f>IFERROR(IF(S261="Probabilidad",(K259-(+K259*V261)),IF(S261="Impacto",K259,"")),"")</f>
        <v/>
      </c>
      <c r="AA261" s="166" t="str">
        <f t="shared" si="116"/>
        <v/>
      </c>
      <c r="AB261" s="167" t="str">
        <f t="shared" si="117"/>
        <v/>
      </c>
      <c r="AC261" s="166" t="str">
        <f t="shared" si="118"/>
        <v/>
      </c>
      <c r="AD261" s="167" t="str">
        <f t="shared" si="120"/>
        <v/>
      </c>
      <c r="AE261" s="168" t="str">
        <f t="shared" si="119"/>
        <v/>
      </c>
      <c r="AF261" s="113" t="s">
        <v>31</v>
      </c>
      <c r="AG261" s="191"/>
      <c r="AH261" s="192"/>
      <c r="AI261" s="114"/>
      <c r="AJ261" s="114"/>
      <c r="AK261" s="191"/>
      <c r="AL261" s="192"/>
      <c r="AM261" s="155"/>
      <c r="AN261" s="155"/>
      <c r="AO261" s="155"/>
      <c r="AP261" s="155"/>
      <c r="AQ261" s="155"/>
      <c r="AR261" s="155"/>
      <c r="AS261" s="155"/>
      <c r="AT261" s="155"/>
      <c r="AU261" s="155"/>
      <c r="AV261" s="155"/>
      <c r="AW261" s="155"/>
      <c r="AX261" s="155"/>
      <c r="AY261" s="155"/>
      <c r="AZ261" s="155"/>
      <c r="BA261" s="155"/>
      <c r="BB261" s="155"/>
      <c r="BC261" s="155"/>
      <c r="BD261" s="155"/>
      <c r="BE261" s="155"/>
      <c r="BF261" s="155"/>
      <c r="BG261" s="155"/>
      <c r="BH261" s="155"/>
      <c r="BI261" s="155"/>
      <c r="BJ261" s="155"/>
      <c r="BK261" s="155"/>
      <c r="BL261" s="155"/>
      <c r="BM261" s="155"/>
      <c r="BN261" s="155"/>
      <c r="BO261" s="155"/>
      <c r="BP261" s="155"/>
      <c r="BQ261" s="155"/>
      <c r="BR261" s="155"/>
    </row>
    <row r="262" spans="1:70" s="156" customFormat="1" ht="36.75" hidden="1" customHeight="1" x14ac:dyDescent="0.25">
      <c r="A262" s="266"/>
      <c r="B262" s="268"/>
      <c r="C262" s="268"/>
      <c r="D262" s="271"/>
      <c r="E262" s="271"/>
      <c r="F262" s="271"/>
      <c r="G262" s="363"/>
      <c r="H262" s="271"/>
      <c r="I262" s="266"/>
      <c r="J262" s="276"/>
      <c r="K262" s="278"/>
      <c r="L262" s="274"/>
      <c r="M262" s="278">
        <f ca="1">IF(NOT(ISERROR(MATCH(L262,_xlfn.ANCHORARRAY(G273),0))),K275&amp;"Por favor no seleccionar los criterios de impacto",L262)</f>
        <v>0</v>
      </c>
      <c r="N262" s="276"/>
      <c r="O262" s="278"/>
      <c r="P262" s="280"/>
      <c r="Q262" s="201">
        <v>4</v>
      </c>
      <c r="R262" s="112"/>
      <c r="S262" s="201" t="str">
        <f t="shared" si="115"/>
        <v/>
      </c>
      <c r="T262" s="113"/>
      <c r="U262" s="113"/>
      <c r="V262" s="167" t="str">
        <f t="shared" si="106"/>
        <v/>
      </c>
      <c r="W262" s="113"/>
      <c r="X262" s="113"/>
      <c r="Y262" s="113"/>
      <c r="Z262" s="165" t="str">
        <f>IFERROR(IF(S262="Probabilidad",(K259-(+K259*V262)),IF(S262="Impacto",K259,"")),"")</f>
        <v/>
      </c>
      <c r="AA262" s="166" t="str">
        <f t="shared" si="116"/>
        <v/>
      </c>
      <c r="AB262" s="167" t="str">
        <f t="shared" si="117"/>
        <v/>
      </c>
      <c r="AC262" s="166" t="str">
        <f t="shared" si="118"/>
        <v/>
      </c>
      <c r="AD262" s="167" t="str">
        <f t="shared" si="120"/>
        <v/>
      </c>
      <c r="AE262" s="168" t="str">
        <f t="shared" si="119"/>
        <v/>
      </c>
      <c r="AF262" s="113" t="s">
        <v>31</v>
      </c>
      <c r="AG262" s="191"/>
      <c r="AH262" s="192"/>
      <c r="AI262" s="114"/>
      <c r="AJ262" s="114"/>
      <c r="AK262" s="191"/>
      <c r="AL262" s="192"/>
      <c r="AM262" s="155"/>
      <c r="AN262" s="155"/>
      <c r="AO262" s="155"/>
      <c r="AP262" s="155"/>
      <c r="AQ262" s="155"/>
      <c r="AR262" s="155"/>
      <c r="AS262" s="155"/>
      <c r="AT262" s="155"/>
      <c r="AU262" s="155"/>
      <c r="AV262" s="155"/>
      <c r="AW262" s="155"/>
      <c r="AX262" s="155"/>
      <c r="AY262" s="155"/>
      <c r="AZ262" s="155"/>
      <c r="BA262" s="155"/>
      <c r="BB262" s="155"/>
      <c r="BC262" s="155"/>
      <c r="BD262" s="155"/>
      <c r="BE262" s="155"/>
      <c r="BF262" s="155"/>
      <c r="BG262" s="155"/>
      <c r="BH262" s="155"/>
      <c r="BI262" s="155"/>
      <c r="BJ262" s="155"/>
      <c r="BK262" s="155"/>
      <c r="BL262" s="155"/>
      <c r="BM262" s="155"/>
      <c r="BN262" s="155"/>
      <c r="BO262" s="155"/>
      <c r="BP262" s="155"/>
      <c r="BQ262" s="155"/>
      <c r="BR262" s="155"/>
    </row>
    <row r="263" spans="1:70" s="156" customFormat="1" ht="36.75" hidden="1" customHeight="1" x14ac:dyDescent="0.25">
      <c r="A263" s="266"/>
      <c r="B263" s="268"/>
      <c r="C263" s="268"/>
      <c r="D263" s="271"/>
      <c r="E263" s="271"/>
      <c r="F263" s="271"/>
      <c r="G263" s="363"/>
      <c r="H263" s="271"/>
      <c r="I263" s="266"/>
      <c r="J263" s="276"/>
      <c r="K263" s="278"/>
      <c r="L263" s="274"/>
      <c r="M263" s="278">
        <f ca="1">IF(NOT(ISERROR(MATCH(L263,_xlfn.ANCHORARRAY(G274),0))),K276&amp;"Por favor no seleccionar los criterios de impacto",L263)</f>
        <v>0</v>
      </c>
      <c r="N263" s="276"/>
      <c r="O263" s="278"/>
      <c r="P263" s="280"/>
      <c r="Q263" s="201">
        <v>5</v>
      </c>
      <c r="R263" s="112"/>
      <c r="S263" s="201" t="str">
        <f t="shared" si="115"/>
        <v/>
      </c>
      <c r="T263" s="113"/>
      <c r="U263" s="113"/>
      <c r="V263" s="167" t="str">
        <f t="shared" si="106"/>
        <v/>
      </c>
      <c r="W263" s="113"/>
      <c r="X263" s="113"/>
      <c r="Y263" s="113"/>
      <c r="Z263" s="165" t="str">
        <f>IFERROR(IF(S263="Probabilidad",(K259-(+K259*V263)),IF(S263="Impacto",K259,"")),"")</f>
        <v/>
      </c>
      <c r="AA263" s="166" t="str">
        <f t="shared" si="116"/>
        <v/>
      </c>
      <c r="AB263" s="167" t="str">
        <f t="shared" si="117"/>
        <v/>
      </c>
      <c r="AC263" s="166" t="str">
        <f t="shared" si="118"/>
        <v/>
      </c>
      <c r="AD263" s="167" t="str">
        <f t="shared" si="120"/>
        <v/>
      </c>
      <c r="AE263" s="168" t="str">
        <f t="shared" si="119"/>
        <v/>
      </c>
      <c r="AF263" s="113" t="s">
        <v>31</v>
      </c>
      <c r="AG263" s="191"/>
      <c r="AH263" s="192"/>
      <c r="AI263" s="114"/>
      <c r="AJ263" s="114"/>
      <c r="AK263" s="191"/>
      <c r="AL263" s="192"/>
      <c r="AM263" s="155"/>
      <c r="AN263" s="155"/>
      <c r="AO263" s="155"/>
      <c r="AP263" s="155"/>
      <c r="AQ263" s="155"/>
      <c r="AR263" s="155"/>
      <c r="AS263" s="155"/>
      <c r="AT263" s="155"/>
      <c r="AU263" s="155"/>
      <c r="AV263" s="155"/>
      <c r="AW263" s="155"/>
      <c r="AX263" s="155"/>
      <c r="AY263" s="155"/>
      <c r="AZ263" s="155"/>
      <c r="BA263" s="155"/>
      <c r="BB263" s="155"/>
      <c r="BC263" s="155"/>
      <c r="BD263" s="155"/>
      <c r="BE263" s="155"/>
      <c r="BF263" s="155"/>
      <c r="BG263" s="155"/>
      <c r="BH263" s="155"/>
      <c r="BI263" s="155"/>
      <c r="BJ263" s="155"/>
      <c r="BK263" s="155"/>
      <c r="BL263" s="155"/>
      <c r="BM263" s="155"/>
      <c r="BN263" s="155"/>
      <c r="BO263" s="155"/>
      <c r="BP263" s="155"/>
      <c r="BQ263" s="155"/>
      <c r="BR263" s="155"/>
    </row>
    <row r="264" spans="1:70" s="156" customFormat="1" ht="36.75" hidden="1" customHeight="1" x14ac:dyDescent="0.25">
      <c r="A264" s="266"/>
      <c r="B264" s="269"/>
      <c r="C264" s="269"/>
      <c r="D264" s="271"/>
      <c r="E264" s="271"/>
      <c r="F264" s="271"/>
      <c r="G264" s="363"/>
      <c r="H264" s="271"/>
      <c r="I264" s="266"/>
      <c r="J264" s="276"/>
      <c r="K264" s="278"/>
      <c r="L264" s="274"/>
      <c r="M264" s="278">
        <f ca="1">IF(NOT(ISERROR(MATCH(L264,_xlfn.ANCHORARRAY(G275),0))),K277&amp;"Por favor no seleccionar los criterios de impacto",L264)</f>
        <v>0</v>
      </c>
      <c r="N264" s="276"/>
      <c r="O264" s="278"/>
      <c r="P264" s="280"/>
      <c r="Q264" s="201">
        <v>6</v>
      </c>
      <c r="R264" s="112"/>
      <c r="S264" s="201" t="str">
        <f t="shared" si="115"/>
        <v/>
      </c>
      <c r="T264" s="113"/>
      <c r="U264" s="113"/>
      <c r="V264" s="167" t="str">
        <f t="shared" si="106"/>
        <v/>
      </c>
      <c r="W264" s="113"/>
      <c r="X264" s="113"/>
      <c r="Y264" s="113"/>
      <c r="Z264" s="165" t="str">
        <f>IFERROR(IF(S264="Probabilidad",(K259-(+K259*V264)),IF(S264="Impacto",K259,"")),"")</f>
        <v/>
      </c>
      <c r="AA264" s="166" t="str">
        <f t="shared" si="116"/>
        <v/>
      </c>
      <c r="AB264" s="167" t="str">
        <f t="shared" si="117"/>
        <v/>
      </c>
      <c r="AC264" s="166" t="str">
        <f t="shared" si="118"/>
        <v/>
      </c>
      <c r="AD264" s="167" t="str">
        <f t="shared" si="120"/>
        <v/>
      </c>
      <c r="AE264" s="168" t="str">
        <f t="shared" si="119"/>
        <v/>
      </c>
      <c r="AF264" s="113" t="s">
        <v>31</v>
      </c>
      <c r="AG264" s="191"/>
      <c r="AH264" s="192"/>
      <c r="AI264" s="114"/>
      <c r="AJ264" s="114"/>
      <c r="AK264" s="191"/>
      <c r="AL264" s="192"/>
      <c r="AM264" s="155"/>
      <c r="AN264" s="155"/>
      <c r="AO264" s="155"/>
      <c r="AP264" s="155"/>
      <c r="AQ264" s="155"/>
      <c r="AR264" s="155"/>
      <c r="AS264" s="155"/>
      <c r="AT264" s="155"/>
      <c r="AU264" s="155"/>
      <c r="AV264" s="155"/>
      <c r="AW264" s="155"/>
      <c r="AX264" s="155"/>
      <c r="AY264" s="155"/>
      <c r="AZ264" s="155"/>
      <c r="BA264" s="155"/>
      <c r="BB264" s="155"/>
      <c r="BC264" s="155"/>
      <c r="BD264" s="155"/>
      <c r="BE264" s="155"/>
      <c r="BF264" s="155"/>
      <c r="BG264" s="155"/>
      <c r="BH264" s="155"/>
      <c r="BI264" s="155"/>
      <c r="BJ264" s="155"/>
      <c r="BK264" s="155"/>
      <c r="BL264" s="155"/>
      <c r="BM264" s="155"/>
      <c r="BN264" s="155"/>
      <c r="BO264" s="155"/>
      <c r="BP264" s="155"/>
      <c r="BQ264" s="155"/>
      <c r="BR264" s="155"/>
    </row>
    <row r="265" spans="1:70" s="156" customFormat="1" ht="87.75" customHeight="1" x14ac:dyDescent="0.25">
      <c r="A265" s="266">
        <v>43</v>
      </c>
      <c r="B265" s="267" t="s">
        <v>215</v>
      </c>
      <c r="C265" s="267" t="s">
        <v>676</v>
      </c>
      <c r="D265" s="270" t="s">
        <v>130</v>
      </c>
      <c r="E265" s="270" t="s">
        <v>677</v>
      </c>
      <c r="F265" s="270" t="s">
        <v>678</v>
      </c>
      <c r="G265" s="362" t="s">
        <v>679</v>
      </c>
      <c r="H265" s="270" t="s">
        <v>437</v>
      </c>
      <c r="I265" s="281">
        <v>4</v>
      </c>
      <c r="J265" s="275" t="str">
        <f>IF(I265&lt;=0,"",IF(I265&lt;=2,"Muy Baja",IF(I265&lt;=24,"Baja",IF(I265&lt;=500,"Media",IF(I265&lt;=5000,"Alta","Muy Alta")))))</f>
        <v>Baja</v>
      </c>
      <c r="K265" s="277">
        <f>IF(J265="","",IF(J265="Muy Baja",0.2,IF(J265="Baja",0.4,IF(J265="Media",0.6,IF(J265="Alta",0.8,IF(J265="Muy Alta",1,))))))</f>
        <v>0.4</v>
      </c>
      <c r="L265" s="273" t="s">
        <v>98</v>
      </c>
      <c r="M265" s="277" t="str">
        <f>IF(NOT(ISERROR(MATCH(L265,'[8]Tabla Impacto'!$B$221:$B$223,0))),'[8]Tabla Impacto'!$F$223&amp;"Por favor no seleccionar los criterios de impacto(Afectación Económica o presupuestal y Pérdida Reputacional)",L265)</f>
        <v>El riesgo afecta la imagen de la entidad con algunos usuarios de relevancia frente al logro de los objetivos</v>
      </c>
      <c r="N265" s="275" t="str">
        <f>+IF(OR(M265='[8]Tabla Impacto'!$C$11,M265='[8]Tabla Impacto'!$D$11),"Leve",IF(OR(M265='[8]Tabla Impacto'!$C$12,M265='[8]Tabla Impacto'!$D$12),"Menor",IF(OR(M265='[8]Tabla Impacto'!$C$13,M265='[8]Tabla Impacto'!$D$13),"Moderado",IF(OR(M265='[8]Tabla Impacto'!$C$14,M265='[8]Tabla Impacto'!$D$14),"Mayor",IF(OR(M265='[8]Tabla Impacto'!$C$15,M265='[8]Tabla Impacto'!$D$15),"Catastrófico","")))))</f>
        <v>Moderado</v>
      </c>
      <c r="O265" s="277">
        <f>IF(N265="","",IF(N265="Leve",0.2,IF(N265="Menor",0.4,IF(N265="Moderado",0.6,IF(N265="Mayor",0.8,IF(N265="Catastrófico",1,))))))</f>
        <v>0.6</v>
      </c>
      <c r="P265" s="279" t="str">
        <f>IF(OR(AND(J265="Muy Baja",N265="Leve"),AND(J265="Muy Baja",N265="Menor"),AND(J265="Baja",N265="Leve")),"Bajo",IF(OR(AND(J265="Muy baja",N265="Moderado"),AND(J265="Baja",N265="Menor"),AND(J265="Baja",N265="Moderado"),AND(J265="Media",N265="Leve"),AND(J265="Media",N265="Menor"),AND(J265="Media",N265="Moderado"),AND(J265="Alta",N265="Leve"),AND(J265="Alta",N265="Menor")),"Moderado",IF(OR(AND(J265="Muy Baja",N265="Mayor"),AND(J265="Baja",N265="Mayor"),AND(J265="Media",N265="Mayor"),AND(J265="Alta",N265="Moderado"),AND(J265="Alta",N265="Mayor"),AND(J265="Muy Alta",N265="Leve"),AND(J265="Muy Alta",N265="Menor"),AND(J265="Muy Alta",N265="Moderado"),AND(J265="Muy Alta",N265="Mayor")),"Alto",IF(OR(AND(J265="Muy Baja",N265="Catastrófico"),AND(J265="Baja",N265="Catastrófico"),AND(J265="Media",N265="Catastrófico"),AND(J265="Alta",N265="Catastrófico"),AND(J265="Muy Alta",N265="Catastrófico")),"Extremo",""))))</f>
        <v>Moderado</v>
      </c>
      <c r="Q265" s="201">
        <v>1</v>
      </c>
      <c r="R265" s="112" t="s">
        <v>687</v>
      </c>
      <c r="S265" s="201" t="str">
        <f t="shared" si="115"/>
        <v>Probabilidad</v>
      </c>
      <c r="T265" s="113" t="s">
        <v>14</v>
      </c>
      <c r="U265" s="113" t="s">
        <v>9</v>
      </c>
      <c r="V265" s="167" t="str">
        <f t="shared" si="106"/>
        <v>40%</v>
      </c>
      <c r="W265" s="113" t="s">
        <v>19</v>
      </c>
      <c r="X265" s="113" t="s">
        <v>22</v>
      </c>
      <c r="Y265" s="113" t="s">
        <v>117</v>
      </c>
      <c r="Z265" s="165">
        <f t="shared" si="121"/>
        <v>0.24</v>
      </c>
      <c r="AA265" s="166" t="str">
        <f t="shared" si="116"/>
        <v>Baja</v>
      </c>
      <c r="AB265" s="167">
        <f t="shared" si="117"/>
        <v>0.24</v>
      </c>
      <c r="AC265" s="166" t="str">
        <f t="shared" si="118"/>
        <v>Moderado</v>
      </c>
      <c r="AD265" s="167">
        <f t="shared" si="120"/>
        <v>0.6</v>
      </c>
      <c r="AE265" s="168" t="str">
        <f t="shared" si="119"/>
        <v>Moderado</v>
      </c>
      <c r="AF265" s="113" t="s">
        <v>31</v>
      </c>
      <c r="AG265" s="191"/>
      <c r="AH265" s="192"/>
      <c r="AI265" s="114"/>
      <c r="AJ265" s="114"/>
      <c r="AK265" s="191"/>
      <c r="AL265" s="192"/>
      <c r="AM265" s="155"/>
      <c r="AN265" s="155"/>
      <c r="AO265" s="155"/>
      <c r="AP265" s="155"/>
      <c r="AQ265" s="155"/>
      <c r="AR265" s="155"/>
      <c r="AS265" s="155"/>
      <c r="AT265" s="155"/>
      <c r="AU265" s="155"/>
      <c r="AV265" s="155"/>
      <c r="AW265" s="155"/>
      <c r="AX265" s="155"/>
      <c r="AY265" s="155"/>
      <c r="AZ265" s="155"/>
      <c r="BA265" s="155"/>
      <c r="BB265" s="155"/>
      <c r="BC265" s="155"/>
      <c r="BD265" s="155"/>
      <c r="BE265" s="155"/>
      <c r="BF265" s="155"/>
      <c r="BG265" s="155"/>
      <c r="BH265" s="155"/>
      <c r="BI265" s="155"/>
      <c r="BJ265" s="155"/>
      <c r="BK265" s="155"/>
      <c r="BL265" s="155"/>
      <c r="BM265" s="155"/>
      <c r="BN265" s="155"/>
      <c r="BO265" s="155"/>
      <c r="BP265" s="155"/>
      <c r="BQ265" s="155"/>
      <c r="BR265" s="155"/>
    </row>
    <row r="266" spans="1:70" s="156" customFormat="1" ht="87.75" customHeight="1" x14ac:dyDescent="0.25">
      <c r="A266" s="266"/>
      <c r="B266" s="294"/>
      <c r="C266" s="294"/>
      <c r="D266" s="270"/>
      <c r="E266" s="270"/>
      <c r="F266" s="270"/>
      <c r="G266" s="362"/>
      <c r="H266" s="270"/>
      <c r="I266" s="281"/>
      <c r="J266" s="275"/>
      <c r="K266" s="277"/>
      <c r="L266" s="273"/>
      <c r="M266" s="277">
        <f ca="1">IF(NOT(ISERROR(MATCH(L266,_xlfn.ANCHORARRAY(G277),0))),K279&amp;"Por favor no seleccionar los criterios de impacto",L266)</f>
        <v>0</v>
      </c>
      <c r="N266" s="275"/>
      <c r="O266" s="277"/>
      <c r="P266" s="279"/>
      <c r="Q266" s="201">
        <v>2</v>
      </c>
      <c r="R266" s="112" t="s">
        <v>688</v>
      </c>
      <c r="S266" s="201" t="str">
        <f t="shared" si="115"/>
        <v>Probabilidad</v>
      </c>
      <c r="T266" s="113" t="s">
        <v>14</v>
      </c>
      <c r="U266" s="113" t="s">
        <v>9</v>
      </c>
      <c r="V266" s="167" t="str">
        <f t="shared" si="106"/>
        <v>40%</v>
      </c>
      <c r="W266" s="113" t="s">
        <v>19</v>
      </c>
      <c r="X266" s="113" t="s">
        <v>22</v>
      </c>
      <c r="Y266" s="113" t="s">
        <v>117</v>
      </c>
      <c r="Z266" s="165">
        <f>IFERROR(IF(S266="Probabilidad",(K265-(+K265*V266)),IF(S266="Impacto",K265,"")),"")</f>
        <v>0.24</v>
      </c>
      <c r="AA266" s="166" t="str">
        <f t="shared" si="116"/>
        <v>Baja</v>
      </c>
      <c r="AB266" s="167">
        <f t="shared" si="117"/>
        <v>0.24</v>
      </c>
      <c r="AC266" s="166" t="str">
        <f t="shared" si="118"/>
        <v>Moderado</v>
      </c>
      <c r="AD266" s="167">
        <f>IFERROR(IF(S266="Impacto",(O265-(+O265*V266)),IF(S266="Probabilidad",O265,"")),"")</f>
        <v>0.6</v>
      </c>
      <c r="AE266" s="168" t="str">
        <f t="shared" si="119"/>
        <v>Moderado</v>
      </c>
      <c r="AF266" s="113" t="s">
        <v>31</v>
      </c>
      <c r="AG266" s="191"/>
      <c r="AH266" s="192"/>
      <c r="AI266" s="114"/>
      <c r="AJ266" s="114"/>
      <c r="AK266" s="191"/>
      <c r="AL266" s="192"/>
      <c r="AM266" s="155"/>
      <c r="AN266" s="155"/>
      <c r="AO266" s="155"/>
      <c r="AP266" s="155"/>
      <c r="AQ266" s="155"/>
      <c r="AR266" s="155"/>
      <c r="AS266" s="155"/>
      <c r="AT266" s="155"/>
      <c r="AU266" s="155"/>
      <c r="AV266" s="155"/>
      <c r="AW266" s="155"/>
      <c r="AX266" s="155"/>
      <c r="AY266" s="155"/>
      <c r="AZ266" s="155"/>
      <c r="BA266" s="155"/>
      <c r="BB266" s="155"/>
      <c r="BC266" s="155"/>
      <c r="BD266" s="155"/>
      <c r="BE266" s="155"/>
      <c r="BF266" s="155"/>
      <c r="BG266" s="155"/>
      <c r="BH266" s="155"/>
      <c r="BI266" s="155"/>
      <c r="BJ266" s="155"/>
      <c r="BK266" s="155"/>
      <c r="BL266" s="155"/>
      <c r="BM266" s="155"/>
      <c r="BN266" s="155"/>
      <c r="BO266" s="155"/>
      <c r="BP266" s="155"/>
      <c r="BQ266" s="155"/>
      <c r="BR266" s="155"/>
    </row>
    <row r="267" spans="1:70" s="156" customFormat="1" ht="36.75" hidden="1" customHeight="1" x14ac:dyDescent="0.25">
      <c r="A267" s="266"/>
      <c r="B267" s="268"/>
      <c r="C267" s="268"/>
      <c r="D267" s="271"/>
      <c r="E267" s="271"/>
      <c r="F267" s="271"/>
      <c r="G267" s="363"/>
      <c r="H267" s="271"/>
      <c r="I267" s="266"/>
      <c r="J267" s="276"/>
      <c r="K267" s="278"/>
      <c r="L267" s="274"/>
      <c r="M267" s="278">
        <f ca="1">IF(NOT(ISERROR(MATCH(L267,_xlfn.ANCHORARRAY(G278),0))),K280&amp;"Por favor no seleccionar los criterios de impacto",L267)</f>
        <v>0</v>
      </c>
      <c r="N267" s="276"/>
      <c r="O267" s="278"/>
      <c r="P267" s="280"/>
      <c r="Q267" s="201">
        <v>3</v>
      </c>
      <c r="R267" s="112"/>
      <c r="S267" s="201" t="str">
        <f t="shared" si="115"/>
        <v/>
      </c>
      <c r="T267" s="113"/>
      <c r="U267" s="113"/>
      <c r="V267" s="167" t="str">
        <f t="shared" si="106"/>
        <v/>
      </c>
      <c r="W267" s="113"/>
      <c r="X267" s="113"/>
      <c r="Y267" s="113"/>
      <c r="Z267" s="165" t="str">
        <f>IFERROR(IF(S267="Probabilidad",(K265-(+K265*V267)),IF(S267="Impacto",K265,"")),"")</f>
        <v/>
      </c>
      <c r="AA267" s="166" t="str">
        <f t="shared" si="116"/>
        <v/>
      </c>
      <c r="AB267" s="167" t="str">
        <f t="shared" si="117"/>
        <v/>
      </c>
      <c r="AC267" s="166" t="str">
        <f t="shared" si="118"/>
        <v/>
      </c>
      <c r="AD267" s="167" t="str">
        <f t="shared" si="120"/>
        <v/>
      </c>
      <c r="AE267" s="168" t="str">
        <f t="shared" si="119"/>
        <v/>
      </c>
      <c r="AF267" s="113" t="s">
        <v>31</v>
      </c>
      <c r="AG267" s="191"/>
      <c r="AH267" s="192"/>
      <c r="AI267" s="114"/>
      <c r="AJ267" s="114"/>
      <c r="AK267" s="191"/>
      <c r="AL267" s="192"/>
      <c r="AM267" s="155"/>
      <c r="AN267" s="155"/>
      <c r="AO267" s="155"/>
      <c r="AP267" s="155"/>
      <c r="AQ267" s="155"/>
      <c r="AR267" s="155"/>
      <c r="AS267" s="155"/>
      <c r="AT267" s="155"/>
      <c r="AU267" s="155"/>
      <c r="AV267" s="155"/>
      <c r="AW267" s="155"/>
      <c r="AX267" s="155"/>
      <c r="AY267" s="155"/>
      <c r="AZ267" s="155"/>
      <c r="BA267" s="155"/>
      <c r="BB267" s="155"/>
      <c r="BC267" s="155"/>
      <c r="BD267" s="155"/>
      <c r="BE267" s="155"/>
      <c r="BF267" s="155"/>
      <c r="BG267" s="155"/>
      <c r="BH267" s="155"/>
      <c r="BI267" s="155"/>
      <c r="BJ267" s="155"/>
      <c r="BK267" s="155"/>
      <c r="BL267" s="155"/>
      <c r="BM267" s="155"/>
      <c r="BN267" s="155"/>
      <c r="BO267" s="155"/>
      <c r="BP267" s="155"/>
      <c r="BQ267" s="155"/>
      <c r="BR267" s="155"/>
    </row>
    <row r="268" spans="1:70" s="156" customFormat="1" ht="36.75" hidden="1" customHeight="1" x14ac:dyDescent="0.25">
      <c r="A268" s="266"/>
      <c r="B268" s="268"/>
      <c r="C268" s="268"/>
      <c r="D268" s="271"/>
      <c r="E268" s="271"/>
      <c r="F268" s="271"/>
      <c r="G268" s="363"/>
      <c r="H268" s="271"/>
      <c r="I268" s="266"/>
      <c r="J268" s="276"/>
      <c r="K268" s="278"/>
      <c r="L268" s="274"/>
      <c r="M268" s="278">
        <f ca="1">IF(NOT(ISERROR(MATCH(L268,_xlfn.ANCHORARRAY(G279),0))),K281&amp;"Por favor no seleccionar los criterios de impacto",L268)</f>
        <v>0</v>
      </c>
      <c r="N268" s="276"/>
      <c r="O268" s="278"/>
      <c r="P268" s="280"/>
      <c r="Q268" s="201">
        <v>4</v>
      </c>
      <c r="R268" s="112"/>
      <c r="S268" s="201" t="str">
        <f t="shared" si="115"/>
        <v/>
      </c>
      <c r="T268" s="113"/>
      <c r="U268" s="113"/>
      <c r="V268" s="167" t="str">
        <f t="shared" si="106"/>
        <v/>
      </c>
      <c r="W268" s="113"/>
      <c r="X268" s="113"/>
      <c r="Y268" s="113"/>
      <c r="Z268" s="165" t="str">
        <f>IFERROR(IF(S268="Probabilidad",(K265-(+K265*V268)),IF(S268="Impacto",K265,"")),"")</f>
        <v/>
      </c>
      <c r="AA268" s="166" t="str">
        <f t="shared" si="116"/>
        <v/>
      </c>
      <c r="AB268" s="167" t="str">
        <f t="shared" si="117"/>
        <v/>
      </c>
      <c r="AC268" s="166" t="str">
        <f t="shared" si="118"/>
        <v/>
      </c>
      <c r="AD268" s="167" t="str">
        <f t="shared" si="120"/>
        <v/>
      </c>
      <c r="AE268" s="168" t="str">
        <f t="shared" si="119"/>
        <v/>
      </c>
      <c r="AF268" s="113" t="s">
        <v>31</v>
      </c>
      <c r="AG268" s="191"/>
      <c r="AH268" s="192"/>
      <c r="AI268" s="114"/>
      <c r="AJ268" s="114"/>
      <c r="AK268" s="191"/>
      <c r="AL268" s="192"/>
      <c r="AM268" s="155"/>
      <c r="AN268" s="155"/>
      <c r="AO268" s="155"/>
      <c r="AP268" s="155"/>
      <c r="AQ268" s="155"/>
      <c r="AR268" s="155"/>
      <c r="AS268" s="155"/>
      <c r="AT268" s="155"/>
      <c r="AU268" s="155"/>
      <c r="AV268" s="155"/>
      <c r="AW268" s="155"/>
      <c r="AX268" s="155"/>
      <c r="AY268" s="155"/>
      <c r="AZ268" s="155"/>
      <c r="BA268" s="155"/>
      <c r="BB268" s="155"/>
      <c r="BC268" s="155"/>
      <c r="BD268" s="155"/>
      <c r="BE268" s="155"/>
      <c r="BF268" s="155"/>
      <c r="BG268" s="155"/>
      <c r="BH268" s="155"/>
      <c r="BI268" s="155"/>
      <c r="BJ268" s="155"/>
      <c r="BK268" s="155"/>
      <c r="BL268" s="155"/>
      <c r="BM268" s="155"/>
      <c r="BN268" s="155"/>
      <c r="BO268" s="155"/>
      <c r="BP268" s="155"/>
      <c r="BQ268" s="155"/>
      <c r="BR268" s="155"/>
    </row>
    <row r="269" spans="1:70" s="156" customFormat="1" ht="36.75" hidden="1" customHeight="1" x14ac:dyDescent="0.25">
      <c r="A269" s="266"/>
      <c r="B269" s="268"/>
      <c r="C269" s="268"/>
      <c r="D269" s="271"/>
      <c r="E269" s="271"/>
      <c r="F269" s="271"/>
      <c r="G269" s="363"/>
      <c r="H269" s="271"/>
      <c r="I269" s="266"/>
      <c r="J269" s="276"/>
      <c r="K269" s="278"/>
      <c r="L269" s="274"/>
      <c r="M269" s="278">
        <f ca="1">IF(NOT(ISERROR(MATCH(L269,_xlfn.ANCHORARRAY(G280),0))),K282&amp;"Por favor no seleccionar los criterios de impacto",L269)</f>
        <v>0</v>
      </c>
      <c r="N269" s="276"/>
      <c r="O269" s="278"/>
      <c r="P269" s="280"/>
      <c r="Q269" s="201">
        <v>5</v>
      </c>
      <c r="R269" s="112"/>
      <c r="S269" s="201" t="str">
        <f t="shared" si="115"/>
        <v/>
      </c>
      <c r="T269" s="113"/>
      <c r="U269" s="113"/>
      <c r="V269" s="167" t="str">
        <f t="shared" si="106"/>
        <v/>
      </c>
      <c r="W269" s="113"/>
      <c r="X269" s="113"/>
      <c r="Y269" s="113"/>
      <c r="Z269" s="165" t="str">
        <f>IFERROR(IF(S269="Probabilidad",(K265-(+K265*V269)),IF(S269="Impacto",K265,"")),"")</f>
        <v/>
      </c>
      <c r="AA269" s="166" t="str">
        <f t="shared" si="116"/>
        <v/>
      </c>
      <c r="AB269" s="167" t="str">
        <f t="shared" si="117"/>
        <v/>
      </c>
      <c r="AC269" s="166" t="str">
        <f t="shared" si="118"/>
        <v/>
      </c>
      <c r="AD269" s="167" t="str">
        <f t="shared" si="120"/>
        <v/>
      </c>
      <c r="AE269" s="168" t="str">
        <f t="shared" si="119"/>
        <v/>
      </c>
      <c r="AF269" s="113" t="s">
        <v>31</v>
      </c>
      <c r="AG269" s="191"/>
      <c r="AH269" s="192"/>
      <c r="AI269" s="114"/>
      <c r="AJ269" s="114"/>
      <c r="AK269" s="191"/>
      <c r="AL269" s="192"/>
      <c r="AM269" s="155"/>
      <c r="AN269" s="155"/>
      <c r="AO269" s="155"/>
      <c r="AP269" s="155"/>
      <c r="AQ269" s="155"/>
      <c r="AR269" s="155"/>
      <c r="AS269" s="155"/>
      <c r="AT269" s="155"/>
      <c r="AU269" s="155"/>
      <c r="AV269" s="155"/>
      <c r="AW269" s="155"/>
      <c r="AX269" s="155"/>
      <c r="AY269" s="155"/>
      <c r="AZ269" s="155"/>
      <c r="BA269" s="155"/>
      <c r="BB269" s="155"/>
      <c r="BC269" s="155"/>
      <c r="BD269" s="155"/>
      <c r="BE269" s="155"/>
      <c r="BF269" s="155"/>
      <c r="BG269" s="155"/>
      <c r="BH269" s="155"/>
      <c r="BI269" s="155"/>
      <c r="BJ269" s="155"/>
      <c r="BK269" s="155"/>
      <c r="BL269" s="155"/>
      <c r="BM269" s="155"/>
      <c r="BN269" s="155"/>
      <c r="BO269" s="155"/>
      <c r="BP269" s="155"/>
      <c r="BQ269" s="155"/>
      <c r="BR269" s="155"/>
    </row>
    <row r="270" spans="1:70" s="156" customFormat="1" ht="36.75" hidden="1" customHeight="1" x14ac:dyDescent="0.25">
      <c r="A270" s="266"/>
      <c r="B270" s="269"/>
      <c r="C270" s="269"/>
      <c r="D270" s="271"/>
      <c r="E270" s="271"/>
      <c r="F270" s="271"/>
      <c r="G270" s="363"/>
      <c r="H270" s="271"/>
      <c r="I270" s="266"/>
      <c r="J270" s="276"/>
      <c r="K270" s="278"/>
      <c r="L270" s="274"/>
      <c r="M270" s="278">
        <f ca="1">IF(NOT(ISERROR(MATCH(L270,_xlfn.ANCHORARRAY(G281),0))),K283&amp;"Por favor no seleccionar los criterios de impacto",L270)</f>
        <v>0</v>
      </c>
      <c r="N270" s="276"/>
      <c r="O270" s="278"/>
      <c r="P270" s="280"/>
      <c r="Q270" s="201">
        <v>6</v>
      </c>
      <c r="R270" s="112"/>
      <c r="S270" s="201" t="str">
        <f t="shared" si="115"/>
        <v/>
      </c>
      <c r="T270" s="113"/>
      <c r="U270" s="113"/>
      <c r="V270" s="167" t="str">
        <f t="shared" si="106"/>
        <v/>
      </c>
      <c r="W270" s="113"/>
      <c r="X270" s="113"/>
      <c r="Y270" s="113"/>
      <c r="Z270" s="165" t="str">
        <f>IFERROR(IF(S270="Probabilidad",(K265-(+K265*V270)),IF(S270="Impacto",K265,"")),"")</f>
        <v/>
      </c>
      <c r="AA270" s="166" t="str">
        <f t="shared" si="116"/>
        <v/>
      </c>
      <c r="AB270" s="167" t="str">
        <f t="shared" si="117"/>
        <v/>
      </c>
      <c r="AC270" s="166" t="str">
        <f t="shared" si="118"/>
        <v/>
      </c>
      <c r="AD270" s="167" t="str">
        <f t="shared" si="120"/>
        <v/>
      </c>
      <c r="AE270" s="168" t="str">
        <f t="shared" si="119"/>
        <v/>
      </c>
      <c r="AF270" s="113" t="s">
        <v>31</v>
      </c>
      <c r="AG270" s="191"/>
      <c r="AH270" s="192"/>
      <c r="AI270" s="114"/>
      <c r="AJ270" s="114"/>
      <c r="AK270" s="191"/>
      <c r="AL270" s="192"/>
      <c r="AM270" s="155"/>
      <c r="AN270" s="155"/>
      <c r="AO270" s="155"/>
      <c r="AP270" s="155"/>
      <c r="AQ270" s="155"/>
      <c r="AR270" s="155"/>
      <c r="AS270" s="155"/>
      <c r="AT270" s="155"/>
      <c r="AU270" s="155"/>
      <c r="AV270" s="155"/>
      <c r="AW270" s="155"/>
      <c r="AX270" s="155"/>
      <c r="AY270" s="155"/>
      <c r="AZ270" s="155"/>
      <c r="BA270" s="155"/>
      <c r="BB270" s="155"/>
      <c r="BC270" s="155"/>
      <c r="BD270" s="155"/>
      <c r="BE270" s="155"/>
      <c r="BF270" s="155"/>
      <c r="BG270" s="155"/>
      <c r="BH270" s="155"/>
      <c r="BI270" s="155"/>
      <c r="BJ270" s="155"/>
      <c r="BK270" s="155"/>
      <c r="BL270" s="155"/>
      <c r="BM270" s="155"/>
      <c r="BN270" s="155"/>
      <c r="BO270" s="155"/>
      <c r="BP270" s="155"/>
      <c r="BQ270" s="155"/>
      <c r="BR270" s="155"/>
    </row>
    <row r="271" spans="1:70" s="156" customFormat="1" ht="97.5" customHeight="1" x14ac:dyDescent="0.25">
      <c r="A271" s="266">
        <v>44</v>
      </c>
      <c r="B271" s="267" t="s">
        <v>215</v>
      </c>
      <c r="C271" s="267" t="s">
        <v>680</v>
      </c>
      <c r="D271" s="270" t="s">
        <v>132</v>
      </c>
      <c r="E271" s="270" t="s">
        <v>681</v>
      </c>
      <c r="F271" s="270" t="s">
        <v>682</v>
      </c>
      <c r="G271" s="362" t="s">
        <v>683</v>
      </c>
      <c r="H271" s="270" t="s">
        <v>437</v>
      </c>
      <c r="I271" s="281">
        <v>4</v>
      </c>
      <c r="J271" s="275" t="str">
        <f>IF(I271&lt;=0,"",IF(I271&lt;=2,"Muy Baja",IF(I271&lt;=24,"Baja",IF(I271&lt;=500,"Media",IF(I271&lt;=5000,"Alta","Muy Alta")))))</f>
        <v>Baja</v>
      </c>
      <c r="K271" s="277">
        <f>IF(J271="","",IF(J271="Muy Baja",0.2,IF(J271="Baja",0.4,IF(J271="Media",0.6,IF(J271="Alta",0.8,IF(J271="Muy Alta",1,))))))</f>
        <v>0.4</v>
      </c>
      <c r="L271" s="273" t="s">
        <v>95</v>
      </c>
      <c r="M271" s="277" t="str">
        <f>IF(NOT(ISERROR(MATCH(L271,'[8]Tabla Impacto'!$B$221:$B$223,0))),'[8]Tabla Impacto'!$F$223&amp;"Por favor no seleccionar los criterios de impacto(Afectación Económica o presupuestal y Pérdida Reputacional)",L271)</f>
        <v>El riesgo afecta la imagen de alguna área de la organización</v>
      </c>
      <c r="N271" s="275" t="str">
        <f>+IF(OR(M271='[8]Tabla Impacto'!$C$11,M271='[8]Tabla Impacto'!$D$11),"Leve",IF(OR(M271='[8]Tabla Impacto'!$C$12,M271='[8]Tabla Impacto'!$D$12),"Menor",IF(OR(M271='[8]Tabla Impacto'!$C$13,M271='[8]Tabla Impacto'!$D$13),"Moderado",IF(OR(M271='[8]Tabla Impacto'!$C$14,M271='[8]Tabla Impacto'!$D$14),"Mayor",IF(OR(M271='[8]Tabla Impacto'!$C$15,M271='[8]Tabla Impacto'!$D$15),"Catastrófico","")))))</f>
        <v>Leve</v>
      </c>
      <c r="O271" s="277">
        <f>IF(N271="","",IF(N271="Leve",0.2,IF(N271="Menor",0.4,IF(N271="Moderado",0.6,IF(N271="Mayor",0.8,IF(N271="Catastrófico",1,))))))</f>
        <v>0.2</v>
      </c>
      <c r="P271" s="279" t="str">
        <f>IF(OR(AND(J271="Muy Baja",N271="Leve"),AND(J271="Muy Baja",N271="Menor"),AND(J271="Baja",N271="Leve")),"Bajo",IF(OR(AND(J271="Muy baja",N271="Moderado"),AND(J271="Baja",N271="Menor"),AND(J271="Baja",N271="Moderado"),AND(J271="Media",N271="Leve"),AND(J271="Media",N271="Menor"),AND(J271="Media",N271="Moderado"),AND(J271="Alta",N271="Leve"),AND(J271="Alta",N271="Menor")),"Moderado",IF(OR(AND(J271="Muy Baja",N271="Mayor"),AND(J271="Baja",N271="Mayor"),AND(J271="Media",N271="Mayor"),AND(J271="Alta",N271="Moderado"),AND(J271="Alta",N271="Mayor"),AND(J271="Muy Alta",N271="Leve"),AND(J271="Muy Alta",N271="Menor"),AND(J271="Muy Alta",N271="Moderado"),AND(J271="Muy Alta",N271="Mayor")),"Alto",IF(OR(AND(J271="Muy Baja",N271="Catastrófico"),AND(J271="Baja",N271="Catastrófico"),AND(J271="Media",N271="Catastrófico"),AND(J271="Alta",N271="Catastrófico"),AND(J271="Muy Alta",N271="Catastrófico")),"Extremo",""))))</f>
        <v>Bajo</v>
      </c>
      <c r="Q271" s="201">
        <v>1</v>
      </c>
      <c r="R271" s="112" t="s">
        <v>689</v>
      </c>
      <c r="S271" s="201" t="str">
        <f t="shared" si="115"/>
        <v>Probabilidad</v>
      </c>
      <c r="T271" s="113" t="s">
        <v>14</v>
      </c>
      <c r="U271" s="113" t="s">
        <v>9</v>
      </c>
      <c r="V271" s="167" t="str">
        <f t="shared" si="106"/>
        <v>40%</v>
      </c>
      <c r="W271" s="113" t="s">
        <v>19</v>
      </c>
      <c r="X271" s="113" t="s">
        <v>22</v>
      </c>
      <c r="Y271" s="113" t="s">
        <v>117</v>
      </c>
      <c r="Z271" s="165">
        <f t="shared" si="121"/>
        <v>0.24</v>
      </c>
      <c r="AA271" s="166" t="str">
        <f t="shared" si="116"/>
        <v>Baja</v>
      </c>
      <c r="AB271" s="167">
        <f t="shared" si="117"/>
        <v>0.24</v>
      </c>
      <c r="AC271" s="166" t="str">
        <f t="shared" si="118"/>
        <v>Leve</v>
      </c>
      <c r="AD271" s="167">
        <f t="shared" si="120"/>
        <v>0.2</v>
      </c>
      <c r="AE271" s="168" t="str">
        <f t="shared" si="119"/>
        <v>Bajo</v>
      </c>
      <c r="AF271" s="113" t="s">
        <v>31</v>
      </c>
      <c r="AG271" s="191"/>
      <c r="AH271" s="192"/>
      <c r="AI271" s="114"/>
      <c r="AJ271" s="114"/>
      <c r="AK271" s="191"/>
      <c r="AL271" s="192"/>
      <c r="AM271" s="155"/>
      <c r="AN271" s="155"/>
      <c r="AO271" s="155"/>
      <c r="AP271" s="155"/>
      <c r="AQ271" s="155"/>
      <c r="AR271" s="155"/>
      <c r="AS271" s="155"/>
      <c r="AT271" s="155"/>
      <c r="AU271" s="155"/>
      <c r="AV271" s="155"/>
      <c r="AW271" s="155"/>
      <c r="AX271" s="155"/>
      <c r="AY271" s="155"/>
      <c r="AZ271" s="155"/>
      <c r="BA271" s="155"/>
      <c r="BB271" s="155"/>
      <c r="BC271" s="155"/>
      <c r="BD271" s="155"/>
      <c r="BE271" s="155"/>
      <c r="BF271" s="155"/>
      <c r="BG271" s="155"/>
      <c r="BH271" s="155"/>
      <c r="BI271" s="155"/>
      <c r="BJ271" s="155"/>
      <c r="BK271" s="155"/>
      <c r="BL271" s="155"/>
      <c r="BM271" s="155"/>
      <c r="BN271" s="155"/>
      <c r="BO271" s="155"/>
      <c r="BP271" s="155"/>
      <c r="BQ271" s="155"/>
      <c r="BR271" s="155"/>
    </row>
    <row r="272" spans="1:70" s="156" customFormat="1" ht="97.5" customHeight="1" x14ac:dyDescent="0.25">
      <c r="A272" s="266"/>
      <c r="B272" s="294"/>
      <c r="C272" s="294"/>
      <c r="D272" s="270"/>
      <c r="E272" s="270"/>
      <c r="F272" s="270"/>
      <c r="G272" s="362"/>
      <c r="H272" s="270"/>
      <c r="I272" s="281"/>
      <c r="J272" s="275"/>
      <c r="K272" s="277"/>
      <c r="L272" s="273"/>
      <c r="M272" s="277">
        <f ca="1">IF(NOT(ISERROR(MATCH(L272,_xlfn.ANCHORARRAY(G283),0))),K285&amp;"Por favor no seleccionar los criterios de impacto",L272)</f>
        <v>0</v>
      </c>
      <c r="N272" s="275"/>
      <c r="O272" s="277"/>
      <c r="P272" s="279"/>
      <c r="Q272" s="201">
        <v>2</v>
      </c>
      <c r="R272" s="112" t="s">
        <v>690</v>
      </c>
      <c r="S272" s="201" t="str">
        <f t="shared" si="115"/>
        <v>Probabilidad</v>
      </c>
      <c r="T272" s="113" t="s">
        <v>14</v>
      </c>
      <c r="U272" s="113" t="s">
        <v>9</v>
      </c>
      <c r="V272" s="167" t="str">
        <f t="shared" si="106"/>
        <v>40%</v>
      </c>
      <c r="W272" s="113" t="s">
        <v>19</v>
      </c>
      <c r="X272" s="113" t="s">
        <v>22</v>
      </c>
      <c r="Y272" s="113" t="s">
        <v>117</v>
      </c>
      <c r="Z272" s="165">
        <f>IFERROR(IF(S272="Probabilidad",(K271-(+K271*V272)),IF(S272="Impacto",K271,"")),"")</f>
        <v>0.24</v>
      </c>
      <c r="AA272" s="166" t="str">
        <f t="shared" si="116"/>
        <v>Baja</v>
      </c>
      <c r="AB272" s="167">
        <f t="shared" si="117"/>
        <v>0.24</v>
      </c>
      <c r="AC272" s="166" t="str">
        <f t="shared" si="118"/>
        <v>Leve</v>
      </c>
      <c r="AD272" s="167">
        <f>IFERROR(IF(S272="Impacto",(O271-(+O271*V272)),IF(S272="Probabilidad",O271,"")),"")</f>
        <v>0.2</v>
      </c>
      <c r="AE272" s="168" t="str">
        <f t="shared" si="119"/>
        <v>Bajo</v>
      </c>
      <c r="AF272" s="113" t="s">
        <v>31</v>
      </c>
      <c r="AG272" s="191"/>
      <c r="AH272" s="192"/>
      <c r="AI272" s="114"/>
      <c r="AJ272" s="114"/>
      <c r="AK272" s="191"/>
      <c r="AL272" s="192"/>
      <c r="AM272" s="155"/>
      <c r="AN272" s="155"/>
      <c r="AO272" s="155"/>
      <c r="AP272" s="155"/>
      <c r="AQ272" s="155"/>
      <c r="AR272" s="155"/>
      <c r="AS272" s="155"/>
      <c r="AT272" s="155"/>
      <c r="AU272" s="155"/>
      <c r="AV272" s="155"/>
      <c r="AW272" s="155"/>
      <c r="AX272" s="155"/>
      <c r="AY272" s="155"/>
      <c r="AZ272" s="155"/>
      <c r="BA272" s="155"/>
      <c r="BB272" s="155"/>
      <c r="BC272" s="155"/>
      <c r="BD272" s="155"/>
      <c r="BE272" s="155"/>
      <c r="BF272" s="155"/>
      <c r="BG272" s="155"/>
      <c r="BH272" s="155"/>
      <c r="BI272" s="155"/>
      <c r="BJ272" s="155"/>
      <c r="BK272" s="155"/>
      <c r="BL272" s="155"/>
      <c r="BM272" s="155"/>
      <c r="BN272" s="155"/>
      <c r="BO272" s="155"/>
      <c r="BP272" s="155"/>
      <c r="BQ272" s="155"/>
      <c r="BR272" s="155"/>
    </row>
    <row r="273" spans="1:70" s="156" customFormat="1" ht="16.5" hidden="1" customHeight="1" x14ac:dyDescent="0.25">
      <c r="A273" s="266"/>
      <c r="B273" s="268"/>
      <c r="C273" s="268"/>
      <c r="D273" s="271"/>
      <c r="E273" s="271"/>
      <c r="F273" s="271"/>
      <c r="G273" s="363"/>
      <c r="H273" s="271"/>
      <c r="I273" s="266"/>
      <c r="J273" s="276"/>
      <c r="K273" s="278"/>
      <c r="L273" s="274"/>
      <c r="M273" s="278">
        <f ca="1">IF(NOT(ISERROR(MATCH(L273,_xlfn.ANCHORARRAY(G284),0))),K286&amp;"Por favor no seleccionar los criterios de impacto",L273)</f>
        <v>0</v>
      </c>
      <c r="N273" s="276"/>
      <c r="O273" s="278"/>
      <c r="P273" s="280"/>
      <c r="Q273" s="201">
        <v>3</v>
      </c>
      <c r="R273" s="112"/>
      <c r="S273" s="201" t="str">
        <f t="shared" si="115"/>
        <v/>
      </c>
      <c r="T273" s="113"/>
      <c r="U273" s="113"/>
      <c r="V273" s="167" t="str">
        <f t="shared" si="106"/>
        <v/>
      </c>
      <c r="W273" s="113"/>
      <c r="X273" s="113"/>
      <c r="Y273" s="113"/>
      <c r="Z273" s="165" t="str">
        <f>IFERROR(IF(S273="Probabilidad",(K271-(+K271*V273)),IF(S273="Impacto",K271,"")),"")</f>
        <v/>
      </c>
      <c r="AA273" s="166" t="str">
        <f t="shared" si="116"/>
        <v/>
      </c>
      <c r="AB273" s="167" t="str">
        <f t="shared" si="117"/>
        <v/>
      </c>
      <c r="AC273" s="166" t="str">
        <f t="shared" si="118"/>
        <v/>
      </c>
      <c r="AD273" s="167" t="str">
        <f t="shared" si="120"/>
        <v/>
      </c>
      <c r="AE273" s="168" t="str">
        <f t="shared" si="119"/>
        <v/>
      </c>
      <c r="AF273" s="113"/>
      <c r="AG273" s="191"/>
      <c r="AH273" s="192"/>
      <c r="AI273" s="114"/>
      <c r="AJ273" s="114"/>
      <c r="AK273" s="191"/>
      <c r="AL273" s="192"/>
      <c r="AM273" s="155"/>
      <c r="AN273" s="155"/>
      <c r="AO273" s="155"/>
      <c r="AP273" s="155"/>
      <c r="AQ273" s="155"/>
      <c r="AR273" s="155"/>
      <c r="AS273" s="155"/>
      <c r="AT273" s="155"/>
      <c r="AU273" s="155"/>
      <c r="AV273" s="155"/>
      <c r="AW273" s="155"/>
      <c r="AX273" s="155"/>
      <c r="AY273" s="155"/>
      <c r="AZ273" s="155"/>
      <c r="BA273" s="155"/>
      <c r="BB273" s="155"/>
      <c r="BC273" s="155"/>
      <c r="BD273" s="155"/>
      <c r="BE273" s="155"/>
      <c r="BF273" s="155"/>
      <c r="BG273" s="155"/>
      <c r="BH273" s="155"/>
      <c r="BI273" s="155"/>
      <c r="BJ273" s="155"/>
      <c r="BK273" s="155"/>
      <c r="BL273" s="155"/>
      <c r="BM273" s="155"/>
      <c r="BN273" s="155"/>
      <c r="BO273" s="155"/>
      <c r="BP273" s="155"/>
      <c r="BQ273" s="155"/>
      <c r="BR273" s="155"/>
    </row>
    <row r="274" spans="1:70" s="156" customFormat="1" ht="16.5" hidden="1" customHeight="1" x14ac:dyDescent="0.25">
      <c r="A274" s="266"/>
      <c r="B274" s="268"/>
      <c r="C274" s="268"/>
      <c r="D274" s="271"/>
      <c r="E274" s="271"/>
      <c r="F274" s="271"/>
      <c r="G274" s="363"/>
      <c r="H274" s="271"/>
      <c r="I274" s="266"/>
      <c r="J274" s="276"/>
      <c r="K274" s="278"/>
      <c r="L274" s="274"/>
      <c r="M274" s="278">
        <f ca="1">IF(NOT(ISERROR(MATCH(L274,_xlfn.ANCHORARRAY(G285),0))),K287&amp;"Por favor no seleccionar los criterios de impacto",L274)</f>
        <v>0</v>
      </c>
      <c r="N274" s="276"/>
      <c r="O274" s="278"/>
      <c r="P274" s="280"/>
      <c r="Q274" s="201">
        <v>4</v>
      </c>
      <c r="R274" s="112"/>
      <c r="S274" s="201" t="str">
        <f t="shared" si="115"/>
        <v/>
      </c>
      <c r="T274" s="113"/>
      <c r="U274" s="113"/>
      <c r="V274" s="167" t="str">
        <f t="shared" si="106"/>
        <v/>
      </c>
      <c r="W274" s="113"/>
      <c r="X274" s="113"/>
      <c r="Y274" s="113"/>
      <c r="Z274" s="165" t="str">
        <f>IFERROR(IF(S274="Probabilidad",(K271-(+K271*V274)),IF(S274="Impacto",K271,"")),"")</f>
        <v/>
      </c>
      <c r="AA274" s="166" t="str">
        <f t="shared" si="116"/>
        <v/>
      </c>
      <c r="AB274" s="167" t="str">
        <f t="shared" si="117"/>
        <v/>
      </c>
      <c r="AC274" s="166" t="str">
        <f t="shared" si="118"/>
        <v/>
      </c>
      <c r="AD274" s="167" t="str">
        <f t="shared" si="120"/>
        <v/>
      </c>
      <c r="AE274" s="168" t="str">
        <f t="shared" si="119"/>
        <v/>
      </c>
      <c r="AF274" s="113"/>
      <c r="AG274" s="191"/>
      <c r="AH274" s="192"/>
      <c r="AI274" s="114"/>
      <c r="AJ274" s="114"/>
      <c r="AK274" s="191"/>
      <c r="AL274" s="192"/>
      <c r="AM274" s="155"/>
      <c r="AN274" s="155"/>
      <c r="AO274" s="155"/>
      <c r="AP274" s="155"/>
      <c r="AQ274" s="155"/>
      <c r="AR274" s="155"/>
      <c r="AS274" s="155"/>
      <c r="AT274" s="155"/>
      <c r="AU274" s="155"/>
      <c r="AV274" s="155"/>
      <c r="AW274" s="155"/>
      <c r="AX274" s="155"/>
      <c r="AY274" s="155"/>
      <c r="AZ274" s="155"/>
      <c r="BA274" s="155"/>
      <c r="BB274" s="155"/>
      <c r="BC274" s="155"/>
      <c r="BD274" s="155"/>
      <c r="BE274" s="155"/>
      <c r="BF274" s="155"/>
      <c r="BG274" s="155"/>
      <c r="BH274" s="155"/>
      <c r="BI274" s="155"/>
      <c r="BJ274" s="155"/>
      <c r="BK274" s="155"/>
      <c r="BL274" s="155"/>
      <c r="BM274" s="155"/>
      <c r="BN274" s="155"/>
      <c r="BO274" s="155"/>
      <c r="BP274" s="155"/>
      <c r="BQ274" s="155"/>
      <c r="BR274" s="155"/>
    </row>
    <row r="275" spans="1:70" s="156" customFormat="1" ht="16.5" hidden="1" customHeight="1" x14ac:dyDescent="0.25">
      <c r="A275" s="266"/>
      <c r="B275" s="268"/>
      <c r="C275" s="268"/>
      <c r="D275" s="271"/>
      <c r="E275" s="271"/>
      <c r="F275" s="271"/>
      <c r="G275" s="363"/>
      <c r="H275" s="271"/>
      <c r="I275" s="266"/>
      <c r="J275" s="276"/>
      <c r="K275" s="278"/>
      <c r="L275" s="274"/>
      <c r="M275" s="278">
        <f ca="1">IF(NOT(ISERROR(MATCH(L275,_xlfn.ANCHORARRAY(G286),0))),K288&amp;"Por favor no seleccionar los criterios de impacto",L275)</f>
        <v>0</v>
      </c>
      <c r="N275" s="276"/>
      <c r="O275" s="278"/>
      <c r="P275" s="280"/>
      <c r="Q275" s="201">
        <v>5</v>
      </c>
      <c r="R275" s="112"/>
      <c r="S275" s="201" t="str">
        <f t="shared" si="115"/>
        <v/>
      </c>
      <c r="T275" s="113"/>
      <c r="U275" s="113"/>
      <c r="V275" s="167" t="str">
        <f t="shared" si="106"/>
        <v/>
      </c>
      <c r="W275" s="113"/>
      <c r="X275" s="113"/>
      <c r="Y275" s="113"/>
      <c r="Z275" s="165" t="str">
        <f>IFERROR(IF(S275="Probabilidad",(K271-(+K271*V275)),IF(S275="Impacto",K271,"")),"")</f>
        <v/>
      </c>
      <c r="AA275" s="166" t="str">
        <f t="shared" si="116"/>
        <v/>
      </c>
      <c r="AB275" s="167" t="str">
        <f t="shared" si="117"/>
        <v/>
      </c>
      <c r="AC275" s="166" t="str">
        <f t="shared" si="118"/>
        <v/>
      </c>
      <c r="AD275" s="167" t="str">
        <f t="shared" si="120"/>
        <v/>
      </c>
      <c r="AE275" s="168" t="str">
        <f t="shared" si="119"/>
        <v/>
      </c>
      <c r="AF275" s="113"/>
      <c r="AG275" s="191"/>
      <c r="AH275" s="192"/>
      <c r="AI275" s="114"/>
      <c r="AJ275" s="114"/>
      <c r="AK275" s="191"/>
      <c r="AL275" s="192"/>
      <c r="AM275" s="155"/>
      <c r="AN275" s="155"/>
      <c r="AO275" s="155"/>
      <c r="AP275" s="155"/>
      <c r="AQ275" s="155"/>
      <c r="AR275" s="155"/>
      <c r="AS275" s="155"/>
      <c r="AT275" s="155"/>
      <c r="AU275" s="155"/>
      <c r="AV275" s="155"/>
      <c r="AW275" s="155"/>
      <c r="AX275" s="155"/>
      <c r="AY275" s="155"/>
      <c r="AZ275" s="155"/>
      <c r="BA275" s="155"/>
      <c r="BB275" s="155"/>
      <c r="BC275" s="155"/>
      <c r="BD275" s="155"/>
      <c r="BE275" s="155"/>
      <c r="BF275" s="155"/>
      <c r="BG275" s="155"/>
      <c r="BH275" s="155"/>
      <c r="BI275" s="155"/>
      <c r="BJ275" s="155"/>
      <c r="BK275" s="155"/>
      <c r="BL275" s="155"/>
      <c r="BM275" s="155"/>
      <c r="BN275" s="155"/>
      <c r="BO275" s="155"/>
      <c r="BP275" s="155"/>
      <c r="BQ275" s="155"/>
      <c r="BR275" s="155"/>
    </row>
    <row r="276" spans="1:70" s="156" customFormat="1" ht="16.5" hidden="1" customHeight="1" x14ac:dyDescent="0.25">
      <c r="A276" s="266"/>
      <c r="B276" s="269"/>
      <c r="C276" s="269"/>
      <c r="D276" s="271"/>
      <c r="E276" s="271"/>
      <c r="F276" s="271"/>
      <c r="G276" s="363"/>
      <c r="H276" s="271"/>
      <c r="I276" s="266"/>
      <c r="J276" s="276"/>
      <c r="K276" s="278"/>
      <c r="L276" s="274"/>
      <c r="M276" s="278">
        <f ca="1">IF(NOT(ISERROR(MATCH(L276,_xlfn.ANCHORARRAY(G287),0))),K289&amp;"Por favor no seleccionar los criterios de impacto",L276)</f>
        <v>0</v>
      </c>
      <c r="N276" s="276"/>
      <c r="O276" s="278"/>
      <c r="P276" s="280"/>
      <c r="Q276" s="201">
        <v>6</v>
      </c>
      <c r="R276" s="112"/>
      <c r="S276" s="201" t="str">
        <f t="shared" si="115"/>
        <v/>
      </c>
      <c r="T276" s="113"/>
      <c r="U276" s="113"/>
      <c r="V276" s="167" t="str">
        <f t="shared" si="106"/>
        <v/>
      </c>
      <c r="W276" s="113"/>
      <c r="X276" s="113"/>
      <c r="Y276" s="113"/>
      <c r="Z276" s="165" t="str">
        <f>IFERROR(IF(S276="Probabilidad",(K271-(+K271*V276)),IF(S276="Impacto",K271,"")),"")</f>
        <v/>
      </c>
      <c r="AA276" s="166" t="str">
        <f t="shared" si="116"/>
        <v/>
      </c>
      <c r="AB276" s="167" t="str">
        <f t="shared" si="117"/>
        <v/>
      </c>
      <c r="AC276" s="166" t="str">
        <f t="shared" si="118"/>
        <v/>
      </c>
      <c r="AD276" s="167" t="str">
        <f t="shared" si="120"/>
        <v/>
      </c>
      <c r="AE276" s="168" t="str">
        <f t="shared" si="119"/>
        <v/>
      </c>
      <c r="AF276" s="113"/>
      <c r="AG276" s="191"/>
      <c r="AH276" s="192"/>
      <c r="AI276" s="114"/>
      <c r="AJ276" s="114"/>
      <c r="AK276" s="191"/>
      <c r="AL276" s="192"/>
      <c r="AM276" s="155"/>
      <c r="AN276" s="155"/>
      <c r="AO276" s="155"/>
      <c r="AP276" s="155"/>
      <c r="AQ276" s="155"/>
      <c r="AR276" s="155"/>
      <c r="AS276" s="155"/>
      <c r="AT276" s="155"/>
      <c r="AU276" s="155"/>
      <c r="AV276" s="155"/>
      <c r="AW276" s="155"/>
      <c r="AX276" s="155"/>
      <c r="AY276" s="155"/>
      <c r="AZ276" s="155"/>
      <c r="BA276" s="155"/>
      <c r="BB276" s="155"/>
      <c r="BC276" s="155"/>
      <c r="BD276" s="155"/>
      <c r="BE276" s="155"/>
      <c r="BF276" s="155"/>
      <c r="BG276" s="155"/>
      <c r="BH276" s="155"/>
      <c r="BI276" s="155"/>
      <c r="BJ276" s="155"/>
      <c r="BK276" s="155"/>
      <c r="BL276" s="155"/>
      <c r="BM276" s="155"/>
      <c r="BN276" s="155"/>
      <c r="BO276" s="155"/>
      <c r="BP276" s="155"/>
      <c r="BQ276" s="155"/>
      <c r="BR276" s="155"/>
    </row>
    <row r="277" spans="1:70" s="156" customFormat="1" ht="105.75" customHeight="1" x14ac:dyDescent="0.25">
      <c r="A277" s="266">
        <v>45</v>
      </c>
      <c r="B277" s="267" t="s">
        <v>216</v>
      </c>
      <c r="C277" s="267" t="s">
        <v>691</v>
      </c>
      <c r="D277" s="270" t="s">
        <v>132</v>
      </c>
      <c r="E277" s="270" t="s">
        <v>692</v>
      </c>
      <c r="F277" s="270" t="s">
        <v>693</v>
      </c>
      <c r="G277" s="362" t="s">
        <v>694</v>
      </c>
      <c r="H277" s="270" t="s">
        <v>437</v>
      </c>
      <c r="I277" s="281">
        <v>4000</v>
      </c>
      <c r="J277" s="275" t="str">
        <f>IF(I277&lt;=0,"",IF(I277&lt;=2,"Muy Baja",IF(I277&lt;=24,"Baja",IF(I277&lt;=500,"Media",IF(I277&lt;=5000,"Alta","Muy Alta")))))</f>
        <v>Alta</v>
      </c>
      <c r="K277" s="277">
        <f>IF(J277="","",IF(J277="Muy Baja",0.2,IF(J277="Baja",0.4,IF(J277="Media",0.6,IF(J277="Alta",0.8,IF(J277="Muy Alta",1,))))))</f>
        <v>0.8</v>
      </c>
      <c r="L277" s="273" t="s">
        <v>96</v>
      </c>
      <c r="M277" s="277" t="str">
        <f>IF(NOT(ISERROR(MATCH(L277,'[9]Tabla Impacto'!$B$221:$B$223,0))),'[9]Tabla Impacto'!$F$223&amp;"Por favor no seleccionar los criterios de impacto(Afectación Económica o presupuestal y Pérdida Reputacional)",L277)</f>
        <v>El riesgo afecta la imagen de la entidad internamente, de conocimiento general, nivel interno, de junta dircetiva y accionistas y/o de provedores</v>
      </c>
      <c r="N277" s="275" t="str">
        <f>+IF(OR(M277='[9]Tabla Impacto'!$C$11,M277='[9]Tabla Impacto'!$D$11),"Leve",IF(OR(M277='[9]Tabla Impacto'!$C$12,M277='[9]Tabla Impacto'!$D$12),"Menor",IF(OR(M277='[9]Tabla Impacto'!$C$13,M277='[9]Tabla Impacto'!$D$13),"Moderado",IF(OR(M277='[9]Tabla Impacto'!$C$14,M277='[9]Tabla Impacto'!$D$14),"Mayor",IF(OR(M277='[9]Tabla Impacto'!$C$15,M277='[9]Tabla Impacto'!$D$15),"Catastrófico","")))))</f>
        <v>Menor</v>
      </c>
      <c r="O277" s="277">
        <f>IF(N277="","",IF(N277="Leve",0.2,IF(N277="Menor",0.4,IF(N277="Moderado",0.6,IF(N277="Mayor",0.8,IF(N277="Catastrófico",1,))))))</f>
        <v>0.4</v>
      </c>
      <c r="P277" s="279" t="str">
        <f>IF(OR(AND(J277="Muy Baja",N277="Leve"),AND(J277="Muy Baja",N277="Menor"),AND(J277="Baja",N277="Leve")),"Bajo",IF(OR(AND(J277="Muy baja",N277="Moderado"),AND(J277="Baja",N277="Menor"),AND(J277="Baja",N277="Moderado"),AND(J277="Media",N277="Leve"),AND(J277="Media",N277="Menor"),AND(J277="Media",N277="Moderado"),AND(J277="Alta",N277="Leve"),AND(J277="Alta",N277="Menor")),"Moderado",IF(OR(AND(J277="Muy Baja",N277="Mayor"),AND(J277="Baja",N277="Mayor"),AND(J277="Media",N277="Mayor"),AND(J277="Alta",N277="Moderado"),AND(J277="Alta",N277="Mayor"),AND(J277="Muy Alta",N277="Leve"),AND(J277="Muy Alta",N277="Menor"),AND(J277="Muy Alta",N277="Moderado"),AND(J277="Muy Alta",N277="Mayor")),"Alto",IF(OR(AND(J277="Muy Baja",N277="Catastrófico"),AND(J277="Baja",N277="Catastrófico"),AND(J277="Media",N277="Catastrófico"),AND(J277="Alta",N277="Catastrófico"),AND(J277="Muy Alta",N277="Catastrófico")),"Extremo",""))))</f>
        <v>Moderado</v>
      </c>
      <c r="Q277" s="201">
        <v>1</v>
      </c>
      <c r="R277" s="112" t="s">
        <v>719</v>
      </c>
      <c r="S277" s="201" t="str">
        <f>IF(OR(T277="Preventivo",T277="Detectivo"),"Probabilidad",IF(T277="Correctivo","Impacto",""))</f>
        <v>Probabilidad</v>
      </c>
      <c r="T277" s="113" t="s">
        <v>14</v>
      </c>
      <c r="U277" s="113" t="s">
        <v>9</v>
      </c>
      <c r="V277" s="167" t="str">
        <f t="shared" si="106"/>
        <v>40%</v>
      </c>
      <c r="W277" s="113" t="s">
        <v>19</v>
      </c>
      <c r="X277" s="113" t="s">
        <v>22</v>
      </c>
      <c r="Y277" s="113" t="s">
        <v>117</v>
      </c>
      <c r="Z277" s="165">
        <f>IFERROR(IF(S277="Probabilidad",(K277-(+K277*V277)),IF(S277="Impacto",K277,"")),"")</f>
        <v>0.48</v>
      </c>
      <c r="AA277" s="166" t="str">
        <f>IFERROR(IF(Z277="","",IF(Z277&lt;=0.2,"Muy Baja",IF(Z277&lt;=0.4,"Baja",IF(Z277&lt;=0.6,"Media",IF(Z277&lt;=0.8,"Alta","Muy Alta"))))),"")</f>
        <v>Media</v>
      </c>
      <c r="AB277" s="167">
        <f>+Z277</f>
        <v>0.48</v>
      </c>
      <c r="AC277" s="166" t="str">
        <f>IFERROR(IF(AD277="","",IF(AD277&lt;=0.2,"Leve",IF(AD277&lt;=0.4,"Menor",IF(AD277&lt;=0.6,"Moderado",IF(AD277&lt;=0.8,"Mayor","Catastrófico"))))),"")</f>
        <v>Menor</v>
      </c>
      <c r="AD277" s="167">
        <f>IFERROR(IF(S277="Impacto",(O277-(+O277*V277)),IF(S277="Probabilidad",O277,"")),"")</f>
        <v>0.4</v>
      </c>
      <c r="AE277" s="168" t="str">
        <f>IFERROR(IF(OR(AND(AA277="Muy Baja",AC277="Leve"),AND(AA277="Muy Baja",AC277="Menor"),AND(AA277="Baja",AC277="Leve")),"Bajo",IF(OR(AND(AA277="Muy baja",AC277="Moderado"),AND(AA277="Baja",AC277="Menor"),AND(AA277="Baja",AC277="Moderado"),AND(AA277="Media",AC277="Leve"),AND(AA277="Media",AC277="Menor"),AND(AA277="Media",AC277="Moderado"),AND(AA277="Alta",AC277="Leve"),AND(AA277="Alta",AC277="Menor")),"Moderado",IF(OR(AND(AA277="Muy Baja",AC277="Mayor"),AND(AA277="Baja",AC277="Mayor"),AND(AA277="Media",AC277="Mayor"),AND(AA277="Alta",AC277="Moderado"),AND(AA277="Alta",AC277="Mayor"),AND(AA277="Muy Alta",AC277="Leve"),AND(AA277="Muy Alta",AC277="Menor"),AND(AA277="Muy Alta",AC277="Moderado"),AND(AA277="Muy Alta",AC277="Mayor")),"Alto",IF(OR(AND(AA277="Muy Baja",AC277="Catastrófico"),AND(AA277="Baja",AC277="Catastrófico"),AND(AA277="Media",AC277="Catastrófico"),AND(AA277="Alta",AC277="Catastrófico"),AND(AA277="Muy Alta",AC277="Catastrófico")),"Extremo","")))),"")</f>
        <v>Moderado</v>
      </c>
      <c r="AF277" s="113" t="s">
        <v>31</v>
      </c>
      <c r="AG277" s="191"/>
      <c r="AH277" s="192"/>
      <c r="AI277" s="114"/>
      <c r="AJ277" s="114"/>
      <c r="AK277" s="191"/>
      <c r="AL277" s="192"/>
      <c r="AM277" s="155"/>
      <c r="AN277" s="155"/>
      <c r="AO277" s="155"/>
      <c r="AP277" s="155"/>
      <c r="AQ277" s="155"/>
      <c r="AR277" s="155"/>
      <c r="AS277" s="155"/>
      <c r="AT277" s="155"/>
      <c r="AU277" s="155"/>
      <c r="AV277" s="155"/>
      <c r="AW277" s="155"/>
      <c r="AX277" s="155"/>
      <c r="AY277" s="155"/>
      <c r="AZ277" s="155"/>
      <c r="BA277" s="155"/>
      <c r="BB277" s="155"/>
      <c r="BC277" s="155"/>
      <c r="BD277" s="155"/>
      <c r="BE277" s="155"/>
      <c r="BF277" s="155"/>
      <c r="BG277" s="155"/>
      <c r="BH277" s="155"/>
      <c r="BI277" s="155"/>
      <c r="BJ277" s="155"/>
      <c r="BK277" s="155"/>
      <c r="BL277" s="155"/>
      <c r="BM277" s="155"/>
      <c r="BN277" s="155"/>
      <c r="BO277" s="155"/>
      <c r="BP277" s="155"/>
      <c r="BQ277" s="155"/>
      <c r="BR277" s="155"/>
    </row>
    <row r="278" spans="1:70" s="156" customFormat="1" ht="105.75" customHeight="1" x14ac:dyDescent="0.25">
      <c r="A278" s="266"/>
      <c r="B278" s="294"/>
      <c r="C278" s="294"/>
      <c r="D278" s="270"/>
      <c r="E278" s="270"/>
      <c r="F278" s="270"/>
      <c r="G278" s="362"/>
      <c r="H278" s="270"/>
      <c r="I278" s="281"/>
      <c r="J278" s="275"/>
      <c r="K278" s="277"/>
      <c r="L278" s="273"/>
      <c r="M278" s="277">
        <f ca="1">IF(NOT(ISERROR(MATCH(L278,_xlfn.ANCHORARRAY(G289),0))),K291&amp;"Por favor no seleccionar los criterios de impacto",L278)</f>
        <v>0</v>
      </c>
      <c r="N278" s="275"/>
      <c r="O278" s="277"/>
      <c r="P278" s="279"/>
      <c r="Q278" s="201">
        <v>2</v>
      </c>
      <c r="R278" s="112" t="s">
        <v>720</v>
      </c>
      <c r="S278" s="201" t="str">
        <f t="shared" ref="S278:S318" si="122">IF(OR(T278="Preventivo",T278="Detectivo"),"Probabilidad",IF(T278="Correctivo","Impacto",""))</f>
        <v>Probabilidad</v>
      </c>
      <c r="T278" s="113" t="s">
        <v>14</v>
      </c>
      <c r="U278" s="113" t="s">
        <v>9</v>
      </c>
      <c r="V278" s="167" t="str">
        <f t="shared" si="106"/>
        <v>40%</v>
      </c>
      <c r="W278" s="113" t="s">
        <v>19</v>
      </c>
      <c r="X278" s="113" t="s">
        <v>22</v>
      </c>
      <c r="Y278" s="113" t="s">
        <v>117</v>
      </c>
      <c r="Z278" s="165">
        <f>IFERROR(IF(S278="Probabilidad",(K277-(+K277*V278)),IF(S278="Impacto",K277,"")),"")</f>
        <v>0.48</v>
      </c>
      <c r="AA278" s="166" t="str">
        <f t="shared" ref="AA278:AA318" si="123">IFERROR(IF(Z278="","",IF(Z278&lt;=0.2,"Muy Baja",IF(Z278&lt;=0.4,"Baja",IF(Z278&lt;=0.6,"Media",IF(Z278&lt;=0.8,"Alta","Muy Alta"))))),"")</f>
        <v>Media</v>
      </c>
      <c r="AB278" s="167">
        <f t="shared" ref="AB278:AB318" si="124">+Z278</f>
        <v>0.48</v>
      </c>
      <c r="AC278" s="166" t="str">
        <f t="shared" ref="AC278:AC318" si="125">IFERROR(IF(AD278="","",IF(AD278&lt;=0.2,"Leve",IF(AD278&lt;=0.4,"Menor",IF(AD278&lt;=0.6,"Moderado",IF(AD278&lt;=0.8,"Mayor","Catastrófico"))))),"")</f>
        <v>Menor</v>
      </c>
      <c r="AD278" s="167">
        <f>IFERROR(IF(S278="Impacto",(O277-(+O277*V278)),IF(S278="Probabilidad",O277,"")),"")</f>
        <v>0.4</v>
      </c>
      <c r="AE278" s="168" t="str">
        <f t="shared" ref="AE278:AE318" si="126">IFERROR(IF(OR(AND(AA278="Muy Baja",AC278="Leve"),AND(AA278="Muy Baja",AC278="Menor"),AND(AA278="Baja",AC278="Leve")),"Bajo",IF(OR(AND(AA278="Muy baja",AC278="Moderado"),AND(AA278="Baja",AC278="Menor"),AND(AA278="Baja",AC278="Moderado"),AND(AA278="Media",AC278="Leve"),AND(AA278="Media",AC278="Menor"),AND(AA278="Media",AC278="Moderado"),AND(AA278="Alta",AC278="Leve"),AND(AA278="Alta",AC278="Menor")),"Moderado",IF(OR(AND(AA278="Muy Baja",AC278="Mayor"),AND(AA278="Baja",AC278="Mayor"),AND(AA278="Media",AC278="Mayor"),AND(AA278="Alta",AC278="Moderado"),AND(AA278="Alta",AC278="Mayor"),AND(AA278="Muy Alta",AC278="Leve"),AND(AA278="Muy Alta",AC278="Menor"),AND(AA278="Muy Alta",AC278="Moderado"),AND(AA278="Muy Alta",AC278="Mayor")),"Alto",IF(OR(AND(AA278="Muy Baja",AC278="Catastrófico"),AND(AA278="Baja",AC278="Catastrófico"),AND(AA278="Media",AC278="Catastrófico"),AND(AA278="Alta",AC278="Catastrófico"),AND(AA278="Muy Alta",AC278="Catastrófico")),"Extremo","")))),"")</f>
        <v>Moderado</v>
      </c>
      <c r="AF278" s="113" t="s">
        <v>31</v>
      </c>
      <c r="AG278" s="191"/>
      <c r="AH278" s="192"/>
      <c r="AI278" s="114"/>
      <c r="AJ278" s="114"/>
      <c r="AK278" s="191"/>
      <c r="AL278" s="192"/>
      <c r="AM278" s="155"/>
      <c r="AN278" s="155"/>
      <c r="AO278" s="155"/>
      <c r="AP278" s="155"/>
      <c r="AQ278" s="155"/>
      <c r="AR278" s="155"/>
      <c r="AS278" s="155"/>
      <c r="AT278" s="155"/>
      <c r="AU278" s="155"/>
      <c r="AV278" s="155"/>
      <c r="AW278" s="155"/>
      <c r="AX278" s="155"/>
      <c r="AY278" s="155"/>
      <c r="AZ278" s="155"/>
      <c r="BA278" s="155"/>
      <c r="BB278" s="155"/>
      <c r="BC278" s="155"/>
      <c r="BD278" s="155"/>
      <c r="BE278" s="155"/>
      <c r="BF278" s="155"/>
      <c r="BG278" s="155"/>
      <c r="BH278" s="155"/>
      <c r="BI278" s="155"/>
      <c r="BJ278" s="155"/>
      <c r="BK278" s="155"/>
      <c r="BL278" s="155"/>
      <c r="BM278" s="155"/>
      <c r="BN278" s="155"/>
      <c r="BO278" s="155"/>
      <c r="BP278" s="155"/>
      <c r="BQ278" s="155"/>
      <c r="BR278" s="155"/>
    </row>
    <row r="279" spans="1:70" s="156" customFormat="1" ht="16.5" hidden="1" customHeight="1" x14ac:dyDescent="0.25">
      <c r="A279" s="266"/>
      <c r="B279" s="268"/>
      <c r="C279" s="268"/>
      <c r="D279" s="271"/>
      <c r="E279" s="271"/>
      <c r="F279" s="271"/>
      <c r="G279" s="363"/>
      <c r="H279" s="271"/>
      <c r="I279" s="266"/>
      <c r="J279" s="276"/>
      <c r="K279" s="278"/>
      <c r="L279" s="274"/>
      <c r="M279" s="278">
        <f ca="1">IF(NOT(ISERROR(MATCH(L279,_xlfn.ANCHORARRAY(G290),0))),K292&amp;"Por favor no seleccionar los criterios de impacto",L279)</f>
        <v>0</v>
      </c>
      <c r="N279" s="276"/>
      <c r="O279" s="278"/>
      <c r="P279" s="280"/>
      <c r="Q279" s="201">
        <v>3</v>
      </c>
      <c r="R279" s="112"/>
      <c r="S279" s="201" t="str">
        <f t="shared" si="122"/>
        <v/>
      </c>
      <c r="T279" s="113"/>
      <c r="U279" s="113"/>
      <c r="V279" s="167" t="str">
        <f t="shared" si="106"/>
        <v/>
      </c>
      <c r="W279" s="113"/>
      <c r="X279" s="113"/>
      <c r="Y279" s="113"/>
      <c r="Z279" s="165" t="str">
        <f>IFERROR(IF(S279="Probabilidad",(K277-(+K277*V279)),IF(S279="Impacto",K277,"")),"")</f>
        <v/>
      </c>
      <c r="AA279" s="166" t="str">
        <f t="shared" si="123"/>
        <v/>
      </c>
      <c r="AB279" s="167" t="str">
        <f t="shared" si="124"/>
        <v/>
      </c>
      <c r="AC279" s="166" t="str">
        <f t="shared" si="125"/>
        <v/>
      </c>
      <c r="AD279" s="167" t="str">
        <f t="shared" ref="AD279:AD313" si="127">IFERROR(IF(S279="Impacto",(O279-(+O279*V279)),IF(S279="Probabilidad",O279,"")),"")</f>
        <v/>
      </c>
      <c r="AE279" s="168" t="str">
        <f t="shared" si="126"/>
        <v/>
      </c>
      <c r="AF279" s="113"/>
      <c r="AG279" s="191"/>
      <c r="AH279" s="192"/>
      <c r="AI279" s="114"/>
      <c r="AJ279" s="114"/>
      <c r="AK279" s="191"/>
      <c r="AL279" s="192"/>
      <c r="AM279" s="155"/>
      <c r="AN279" s="155"/>
      <c r="AO279" s="155"/>
      <c r="AP279" s="155"/>
      <c r="AQ279" s="155"/>
      <c r="AR279" s="155"/>
      <c r="AS279" s="155"/>
      <c r="AT279" s="155"/>
      <c r="AU279" s="155"/>
      <c r="AV279" s="155"/>
      <c r="AW279" s="155"/>
      <c r="AX279" s="155"/>
      <c r="AY279" s="155"/>
      <c r="AZ279" s="155"/>
      <c r="BA279" s="155"/>
      <c r="BB279" s="155"/>
      <c r="BC279" s="155"/>
      <c r="BD279" s="155"/>
      <c r="BE279" s="155"/>
      <c r="BF279" s="155"/>
      <c r="BG279" s="155"/>
      <c r="BH279" s="155"/>
      <c r="BI279" s="155"/>
      <c r="BJ279" s="155"/>
      <c r="BK279" s="155"/>
      <c r="BL279" s="155"/>
      <c r="BM279" s="155"/>
      <c r="BN279" s="155"/>
      <c r="BO279" s="155"/>
      <c r="BP279" s="155"/>
      <c r="BQ279" s="155"/>
      <c r="BR279" s="155"/>
    </row>
    <row r="280" spans="1:70" s="156" customFormat="1" ht="16.5" hidden="1" customHeight="1" x14ac:dyDescent="0.25">
      <c r="A280" s="266"/>
      <c r="B280" s="268"/>
      <c r="C280" s="268"/>
      <c r="D280" s="271"/>
      <c r="E280" s="271"/>
      <c r="F280" s="271"/>
      <c r="G280" s="363"/>
      <c r="H280" s="271"/>
      <c r="I280" s="266"/>
      <c r="J280" s="276"/>
      <c r="K280" s="278"/>
      <c r="L280" s="274"/>
      <c r="M280" s="278">
        <f ca="1">IF(NOT(ISERROR(MATCH(L280,_xlfn.ANCHORARRAY(G291),0))),K293&amp;"Por favor no seleccionar los criterios de impacto",L280)</f>
        <v>0</v>
      </c>
      <c r="N280" s="276"/>
      <c r="O280" s="278"/>
      <c r="P280" s="280"/>
      <c r="Q280" s="201">
        <v>4</v>
      </c>
      <c r="R280" s="112"/>
      <c r="S280" s="201" t="str">
        <f t="shared" si="122"/>
        <v/>
      </c>
      <c r="T280" s="113"/>
      <c r="U280" s="113"/>
      <c r="V280" s="167" t="str">
        <f t="shared" si="106"/>
        <v/>
      </c>
      <c r="W280" s="113"/>
      <c r="X280" s="113"/>
      <c r="Y280" s="113"/>
      <c r="Z280" s="165" t="str">
        <f>IFERROR(IF(S280="Probabilidad",(K277-(+K277*V280)),IF(S280="Impacto",K277,"")),"")</f>
        <v/>
      </c>
      <c r="AA280" s="166" t="str">
        <f t="shared" si="123"/>
        <v/>
      </c>
      <c r="AB280" s="167" t="str">
        <f t="shared" si="124"/>
        <v/>
      </c>
      <c r="AC280" s="166" t="str">
        <f t="shared" si="125"/>
        <v/>
      </c>
      <c r="AD280" s="167" t="str">
        <f t="shared" si="127"/>
        <v/>
      </c>
      <c r="AE280" s="168" t="str">
        <f t="shared" si="126"/>
        <v/>
      </c>
      <c r="AF280" s="113"/>
      <c r="AG280" s="191"/>
      <c r="AH280" s="192"/>
      <c r="AI280" s="114"/>
      <c r="AJ280" s="114"/>
      <c r="AK280" s="191"/>
      <c r="AL280" s="192"/>
      <c r="AM280" s="155"/>
      <c r="AN280" s="155"/>
      <c r="AO280" s="155"/>
      <c r="AP280" s="155"/>
      <c r="AQ280" s="155"/>
      <c r="AR280" s="155"/>
      <c r="AS280" s="155"/>
      <c r="AT280" s="155"/>
      <c r="AU280" s="155"/>
      <c r="AV280" s="155"/>
      <c r="AW280" s="155"/>
      <c r="AX280" s="155"/>
      <c r="AY280" s="155"/>
      <c r="AZ280" s="155"/>
      <c r="BA280" s="155"/>
      <c r="BB280" s="155"/>
      <c r="BC280" s="155"/>
      <c r="BD280" s="155"/>
      <c r="BE280" s="155"/>
      <c r="BF280" s="155"/>
      <c r="BG280" s="155"/>
      <c r="BH280" s="155"/>
      <c r="BI280" s="155"/>
      <c r="BJ280" s="155"/>
      <c r="BK280" s="155"/>
      <c r="BL280" s="155"/>
      <c r="BM280" s="155"/>
      <c r="BN280" s="155"/>
      <c r="BO280" s="155"/>
      <c r="BP280" s="155"/>
      <c r="BQ280" s="155"/>
      <c r="BR280" s="155"/>
    </row>
    <row r="281" spans="1:70" s="156" customFormat="1" ht="16.5" hidden="1" customHeight="1" x14ac:dyDescent="0.25">
      <c r="A281" s="266"/>
      <c r="B281" s="268"/>
      <c r="C281" s="268"/>
      <c r="D281" s="271"/>
      <c r="E281" s="271"/>
      <c r="F281" s="271"/>
      <c r="G281" s="363"/>
      <c r="H281" s="271"/>
      <c r="I281" s="266"/>
      <c r="J281" s="276"/>
      <c r="K281" s="278"/>
      <c r="L281" s="274"/>
      <c r="M281" s="278">
        <f ca="1">IF(NOT(ISERROR(MATCH(L281,_xlfn.ANCHORARRAY(G292),0))),K294&amp;"Por favor no seleccionar los criterios de impacto",L281)</f>
        <v>0</v>
      </c>
      <c r="N281" s="276"/>
      <c r="O281" s="278"/>
      <c r="P281" s="280"/>
      <c r="Q281" s="201">
        <v>5</v>
      </c>
      <c r="R281" s="112"/>
      <c r="S281" s="201" t="str">
        <f t="shared" si="122"/>
        <v/>
      </c>
      <c r="T281" s="113"/>
      <c r="U281" s="113"/>
      <c r="V281" s="167" t="str">
        <f t="shared" si="106"/>
        <v/>
      </c>
      <c r="W281" s="113"/>
      <c r="X281" s="113"/>
      <c r="Y281" s="113"/>
      <c r="Z281" s="165" t="str">
        <f>IFERROR(IF(S281="Probabilidad",(K277-(+K277*V281)),IF(S281="Impacto",K277,"")),"")</f>
        <v/>
      </c>
      <c r="AA281" s="166" t="str">
        <f t="shared" si="123"/>
        <v/>
      </c>
      <c r="AB281" s="167" t="str">
        <f t="shared" si="124"/>
        <v/>
      </c>
      <c r="AC281" s="166" t="str">
        <f t="shared" si="125"/>
        <v/>
      </c>
      <c r="AD281" s="167" t="str">
        <f t="shared" si="127"/>
        <v/>
      </c>
      <c r="AE281" s="168" t="str">
        <f t="shared" si="126"/>
        <v/>
      </c>
      <c r="AF281" s="113"/>
      <c r="AG281" s="191"/>
      <c r="AH281" s="192"/>
      <c r="AI281" s="114"/>
      <c r="AJ281" s="114"/>
      <c r="AK281" s="191"/>
      <c r="AL281" s="192"/>
      <c r="AM281" s="155"/>
      <c r="AN281" s="155"/>
      <c r="AO281" s="155"/>
      <c r="AP281" s="155"/>
      <c r="AQ281" s="155"/>
      <c r="AR281" s="155"/>
      <c r="AS281" s="155"/>
      <c r="AT281" s="155"/>
      <c r="AU281" s="155"/>
      <c r="AV281" s="155"/>
      <c r="AW281" s="155"/>
      <c r="AX281" s="155"/>
      <c r="AY281" s="155"/>
      <c r="AZ281" s="155"/>
      <c r="BA281" s="155"/>
      <c r="BB281" s="155"/>
      <c r="BC281" s="155"/>
      <c r="BD281" s="155"/>
      <c r="BE281" s="155"/>
      <c r="BF281" s="155"/>
      <c r="BG281" s="155"/>
      <c r="BH281" s="155"/>
      <c r="BI281" s="155"/>
      <c r="BJ281" s="155"/>
      <c r="BK281" s="155"/>
      <c r="BL281" s="155"/>
      <c r="BM281" s="155"/>
      <c r="BN281" s="155"/>
      <c r="BO281" s="155"/>
      <c r="BP281" s="155"/>
      <c r="BQ281" s="155"/>
      <c r="BR281" s="155"/>
    </row>
    <row r="282" spans="1:70" s="156" customFormat="1" ht="16.5" hidden="1" customHeight="1" x14ac:dyDescent="0.25">
      <c r="A282" s="266"/>
      <c r="B282" s="269"/>
      <c r="C282" s="269"/>
      <c r="D282" s="271"/>
      <c r="E282" s="271"/>
      <c r="F282" s="271"/>
      <c r="G282" s="363"/>
      <c r="H282" s="271"/>
      <c r="I282" s="266"/>
      <c r="J282" s="276"/>
      <c r="K282" s="278"/>
      <c r="L282" s="274"/>
      <c r="M282" s="278">
        <f ca="1">IF(NOT(ISERROR(MATCH(L282,_xlfn.ANCHORARRAY(G293),0))),K295&amp;"Por favor no seleccionar los criterios de impacto",L282)</f>
        <v>0</v>
      </c>
      <c r="N282" s="276"/>
      <c r="O282" s="278"/>
      <c r="P282" s="280"/>
      <c r="Q282" s="201">
        <v>6</v>
      </c>
      <c r="R282" s="112"/>
      <c r="S282" s="201" t="str">
        <f t="shared" si="122"/>
        <v/>
      </c>
      <c r="T282" s="113"/>
      <c r="U282" s="113"/>
      <c r="V282" s="167" t="str">
        <f t="shared" si="106"/>
        <v/>
      </c>
      <c r="W282" s="113"/>
      <c r="X282" s="113"/>
      <c r="Y282" s="113"/>
      <c r="Z282" s="165" t="str">
        <f>IFERROR(IF(S281="Probabilidad",(K277-(+K277*V282)),IF(S282="Impacto",K277,"")),"")</f>
        <v/>
      </c>
      <c r="AA282" s="166" t="str">
        <f t="shared" si="123"/>
        <v/>
      </c>
      <c r="AB282" s="167" t="str">
        <f t="shared" si="124"/>
        <v/>
      </c>
      <c r="AC282" s="166" t="str">
        <f t="shared" si="125"/>
        <v/>
      </c>
      <c r="AD282" s="167" t="str">
        <f t="shared" si="127"/>
        <v/>
      </c>
      <c r="AE282" s="168" t="str">
        <f t="shared" si="126"/>
        <v/>
      </c>
      <c r="AF282" s="113"/>
      <c r="AG282" s="191"/>
      <c r="AH282" s="192"/>
      <c r="AI282" s="114"/>
      <c r="AJ282" s="114"/>
      <c r="AK282" s="191"/>
      <c r="AL282" s="192"/>
      <c r="AM282" s="155"/>
      <c r="AN282" s="155"/>
      <c r="AO282" s="155"/>
      <c r="AP282" s="155"/>
      <c r="AQ282" s="155"/>
      <c r="AR282" s="155"/>
      <c r="AS282" s="155"/>
      <c r="AT282" s="155"/>
      <c r="AU282" s="155"/>
      <c r="AV282" s="155"/>
      <c r="AW282" s="155"/>
      <c r="AX282" s="155"/>
      <c r="AY282" s="155"/>
      <c r="AZ282" s="155"/>
      <c r="BA282" s="155"/>
      <c r="BB282" s="155"/>
      <c r="BC282" s="155"/>
      <c r="BD282" s="155"/>
      <c r="BE282" s="155"/>
      <c r="BF282" s="155"/>
      <c r="BG282" s="155"/>
      <c r="BH282" s="155"/>
      <c r="BI282" s="155"/>
      <c r="BJ282" s="155"/>
      <c r="BK282" s="155"/>
      <c r="BL282" s="155"/>
      <c r="BM282" s="155"/>
      <c r="BN282" s="155"/>
      <c r="BO282" s="155"/>
      <c r="BP282" s="155"/>
      <c r="BQ282" s="155"/>
      <c r="BR282" s="155"/>
    </row>
    <row r="283" spans="1:70" s="156" customFormat="1" ht="98.25" customHeight="1" x14ac:dyDescent="0.25">
      <c r="A283" s="266">
        <v>46</v>
      </c>
      <c r="B283" s="267" t="s">
        <v>216</v>
      </c>
      <c r="C283" s="267" t="s">
        <v>695</v>
      </c>
      <c r="D283" s="270" t="s">
        <v>132</v>
      </c>
      <c r="E283" s="270" t="s">
        <v>696</v>
      </c>
      <c r="F283" s="270" t="s">
        <v>697</v>
      </c>
      <c r="G283" s="362" t="s">
        <v>698</v>
      </c>
      <c r="H283" s="270" t="s">
        <v>437</v>
      </c>
      <c r="I283" s="281">
        <v>365</v>
      </c>
      <c r="J283" s="275" t="str">
        <f>IF(I283&lt;=0,"",IF(I283&lt;=2,"Muy Baja",IF(I283&lt;=24,"Baja",IF(I283&lt;=500,"Media",IF(I283&lt;=5000,"Alta","Muy Alta")))))</f>
        <v>Media</v>
      </c>
      <c r="K283" s="277">
        <f>IF(J283="","",IF(J283="Muy Baja",0.2,IF(J283="Baja",0.4,IF(J283="Media",0.6,IF(J283="Alta",0.8,IF(J283="Muy Alta",1,))))))</f>
        <v>0.6</v>
      </c>
      <c r="L283" s="273" t="s">
        <v>95</v>
      </c>
      <c r="M283" s="277" t="str">
        <f>IF(NOT(ISERROR(MATCH(L283,'[9]Tabla Impacto'!$B$221:$B$223,0))),'[9]Tabla Impacto'!$F$223&amp;"Por favor no seleccionar los criterios de impacto(Afectación Económica o presupuestal y Pérdida Reputacional)",L283)</f>
        <v>El riesgo afecta la imagen de alguna área de la organización</v>
      </c>
      <c r="N283" s="275" t="str">
        <f>+IF(OR(M283='[9]Tabla Impacto'!$C$11,M283='[9]Tabla Impacto'!$D$11),"Leve",IF(OR(M283='[9]Tabla Impacto'!$C$12,M283='[9]Tabla Impacto'!$D$12),"Menor",IF(OR(M283='[9]Tabla Impacto'!$C$13,M283='[9]Tabla Impacto'!$D$13),"Moderado",IF(OR(M283='[9]Tabla Impacto'!$C$14,M283='[9]Tabla Impacto'!$D$14),"Mayor",IF(OR(M283='[9]Tabla Impacto'!$C$15,M283='[9]Tabla Impacto'!$D$15),"Catastrófico","")))))</f>
        <v>Leve</v>
      </c>
      <c r="O283" s="277">
        <f>IF(N283="","",IF(N283="Leve",0.2,IF(N283="Menor",0.4,IF(N283="Moderado",0.6,IF(N283="Mayor",0.8,IF(N283="Catastrófico",1,))))))</f>
        <v>0.2</v>
      </c>
      <c r="P283" s="279" t="str">
        <f>IF(OR(AND(J283="Muy Baja",N283="Leve"),AND(J283="Muy Baja",N283="Menor"),AND(J283="Baja",N283="Leve")),"Bajo",IF(OR(AND(J283="Muy baja",N283="Moderado"),AND(J283="Baja",N283="Menor"),AND(J283="Baja",N283="Moderado"),AND(J283="Media",N283="Leve"),AND(J283="Media",N283="Menor"),AND(J283="Media",N283="Moderado"),AND(J283="Alta",N283="Leve"),AND(J283="Alta",N283="Menor")),"Moderado",IF(OR(AND(J283="Muy Baja",N283="Mayor"),AND(J283="Baja",N283="Mayor"),AND(J283="Media",N283="Mayor"),AND(J283="Alta",N283="Moderado"),AND(J283="Alta",N283="Mayor"),AND(J283="Muy Alta",N283="Leve"),AND(J283="Muy Alta",N283="Menor"),AND(J283="Muy Alta",N283="Moderado"),AND(J283="Muy Alta",N283="Mayor")),"Alto",IF(OR(AND(J283="Muy Baja",N283="Catastrófico"),AND(J283="Baja",N283="Catastrófico"),AND(J283="Media",N283="Catastrófico"),AND(J283="Alta",N283="Catastrófico"),AND(J283="Muy Alta",N283="Catastrófico")),"Extremo",""))))</f>
        <v>Moderado</v>
      </c>
      <c r="Q283" s="201">
        <v>1</v>
      </c>
      <c r="R283" s="112" t="s">
        <v>721</v>
      </c>
      <c r="S283" s="201" t="str">
        <f t="shared" si="122"/>
        <v>Probabilidad</v>
      </c>
      <c r="T283" s="113" t="s">
        <v>14</v>
      </c>
      <c r="U283" s="113" t="s">
        <v>9</v>
      </c>
      <c r="V283" s="167" t="str">
        <f t="shared" si="106"/>
        <v>40%</v>
      </c>
      <c r="W283" s="113" t="s">
        <v>19</v>
      </c>
      <c r="X283" s="113" t="s">
        <v>22</v>
      </c>
      <c r="Y283" s="113" t="s">
        <v>117</v>
      </c>
      <c r="Z283" s="165">
        <f t="shared" ref="Z283:Z313" si="128">IFERROR(IF(S283="Probabilidad",(K283-(+K283*V283)),IF(S283="Impacto",K283,"")),"")</f>
        <v>0.36</v>
      </c>
      <c r="AA283" s="166" t="str">
        <f t="shared" si="123"/>
        <v>Baja</v>
      </c>
      <c r="AB283" s="167">
        <f t="shared" si="124"/>
        <v>0.36</v>
      </c>
      <c r="AC283" s="166" t="str">
        <f t="shared" si="125"/>
        <v>Leve</v>
      </c>
      <c r="AD283" s="167">
        <f t="shared" si="127"/>
        <v>0.2</v>
      </c>
      <c r="AE283" s="168" t="str">
        <f t="shared" si="126"/>
        <v>Bajo</v>
      </c>
      <c r="AF283" s="113" t="s">
        <v>31</v>
      </c>
      <c r="AG283" s="191"/>
      <c r="AH283" s="192"/>
      <c r="AI283" s="114"/>
      <c r="AJ283" s="114"/>
      <c r="AK283" s="191"/>
      <c r="AL283" s="192"/>
      <c r="AM283" s="155"/>
      <c r="AN283" s="155"/>
      <c r="AO283" s="155"/>
      <c r="AP283" s="155"/>
      <c r="AQ283" s="155"/>
      <c r="AR283" s="155"/>
      <c r="AS283" s="155"/>
      <c r="AT283" s="155"/>
      <c r="AU283" s="155"/>
      <c r="AV283" s="155"/>
      <c r="AW283" s="155"/>
      <c r="AX283" s="155"/>
      <c r="AY283" s="155"/>
      <c r="AZ283" s="155"/>
      <c r="BA283" s="155"/>
      <c r="BB283" s="155"/>
      <c r="BC283" s="155"/>
      <c r="BD283" s="155"/>
      <c r="BE283" s="155"/>
      <c r="BF283" s="155"/>
      <c r="BG283" s="155"/>
      <c r="BH283" s="155"/>
      <c r="BI283" s="155"/>
      <c r="BJ283" s="155"/>
      <c r="BK283" s="155"/>
      <c r="BL283" s="155"/>
      <c r="BM283" s="155"/>
      <c r="BN283" s="155"/>
      <c r="BO283" s="155"/>
      <c r="BP283" s="155"/>
      <c r="BQ283" s="155"/>
      <c r="BR283" s="155"/>
    </row>
    <row r="284" spans="1:70" s="156" customFormat="1" ht="16.5" hidden="1" customHeight="1" x14ac:dyDescent="0.25">
      <c r="A284" s="266"/>
      <c r="B284" s="268"/>
      <c r="C284" s="268"/>
      <c r="D284" s="271"/>
      <c r="E284" s="271"/>
      <c r="F284" s="271"/>
      <c r="G284" s="363"/>
      <c r="H284" s="271"/>
      <c r="I284" s="266"/>
      <c r="J284" s="276"/>
      <c r="K284" s="278"/>
      <c r="L284" s="274"/>
      <c r="M284" s="278">
        <f ca="1">IF(NOT(ISERROR(MATCH(L284,_xlfn.ANCHORARRAY(G295),0))),K297&amp;"Por favor no seleccionar los criterios de impacto",L284)</f>
        <v>0</v>
      </c>
      <c r="N284" s="276"/>
      <c r="O284" s="278"/>
      <c r="P284" s="280"/>
      <c r="Q284" s="201">
        <v>2</v>
      </c>
      <c r="R284" s="112"/>
      <c r="S284" s="201" t="str">
        <f t="shared" si="122"/>
        <v/>
      </c>
      <c r="T284" s="113"/>
      <c r="U284" s="113"/>
      <c r="V284" s="167" t="str">
        <f t="shared" si="106"/>
        <v/>
      </c>
      <c r="W284" s="113"/>
      <c r="X284" s="113"/>
      <c r="Y284" s="113"/>
      <c r="Z284" s="165" t="str">
        <f>IFERROR(IF(S284="Probabilidad",(K283-(+K283*V284)),IF(S284="Impacto",K283,"")),"")</f>
        <v/>
      </c>
      <c r="AA284" s="166" t="str">
        <f t="shared" si="123"/>
        <v/>
      </c>
      <c r="AB284" s="167" t="str">
        <f t="shared" si="124"/>
        <v/>
      </c>
      <c r="AC284" s="166" t="str">
        <f t="shared" si="125"/>
        <v/>
      </c>
      <c r="AD284" s="167" t="str">
        <f t="shared" si="127"/>
        <v/>
      </c>
      <c r="AE284" s="168" t="str">
        <f t="shared" si="126"/>
        <v/>
      </c>
      <c r="AF284" s="113"/>
      <c r="AG284" s="191"/>
      <c r="AH284" s="192"/>
      <c r="AI284" s="114"/>
      <c r="AJ284" s="114"/>
      <c r="AK284" s="191"/>
      <c r="AL284" s="192"/>
      <c r="AM284" s="155"/>
      <c r="AN284" s="155"/>
      <c r="AO284" s="155"/>
      <c r="AP284" s="155"/>
      <c r="AQ284" s="155"/>
      <c r="AR284" s="155"/>
      <c r="AS284" s="155"/>
      <c r="AT284" s="155"/>
      <c r="AU284" s="155"/>
      <c r="AV284" s="155"/>
      <c r="AW284" s="155"/>
      <c r="AX284" s="155"/>
      <c r="AY284" s="155"/>
      <c r="AZ284" s="155"/>
      <c r="BA284" s="155"/>
      <c r="BB284" s="155"/>
      <c r="BC284" s="155"/>
      <c r="BD284" s="155"/>
      <c r="BE284" s="155"/>
      <c r="BF284" s="155"/>
      <c r="BG284" s="155"/>
      <c r="BH284" s="155"/>
      <c r="BI284" s="155"/>
      <c r="BJ284" s="155"/>
      <c r="BK284" s="155"/>
      <c r="BL284" s="155"/>
      <c r="BM284" s="155"/>
      <c r="BN284" s="155"/>
      <c r="BO284" s="155"/>
      <c r="BP284" s="155"/>
      <c r="BQ284" s="155"/>
      <c r="BR284" s="155"/>
    </row>
    <row r="285" spans="1:70" s="156" customFormat="1" ht="16.5" hidden="1" customHeight="1" x14ac:dyDescent="0.25">
      <c r="A285" s="266"/>
      <c r="B285" s="268"/>
      <c r="C285" s="268"/>
      <c r="D285" s="271"/>
      <c r="E285" s="271"/>
      <c r="F285" s="271"/>
      <c r="G285" s="363"/>
      <c r="H285" s="271"/>
      <c r="I285" s="266"/>
      <c r="J285" s="276"/>
      <c r="K285" s="278"/>
      <c r="L285" s="274"/>
      <c r="M285" s="278">
        <f ca="1">IF(NOT(ISERROR(MATCH(L285,_xlfn.ANCHORARRAY(G296),0))),K298&amp;"Por favor no seleccionar los criterios de impacto",L285)</f>
        <v>0</v>
      </c>
      <c r="N285" s="276"/>
      <c r="O285" s="278"/>
      <c r="P285" s="280"/>
      <c r="Q285" s="201">
        <v>3</v>
      </c>
      <c r="R285" s="112"/>
      <c r="S285" s="201" t="str">
        <f t="shared" si="122"/>
        <v/>
      </c>
      <c r="T285" s="113"/>
      <c r="U285" s="113"/>
      <c r="V285" s="167" t="str">
        <f t="shared" si="106"/>
        <v/>
      </c>
      <c r="W285" s="113"/>
      <c r="X285" s="113"/>
      <c r="Y285" s="113"/>
      <c r="Z285" s="165" t="str">
        <f>IFERROR(IF(S285="Probabilidad",(K283-(+K283*V285)),IF(S285="Impacto",K283,"")),"")</f>
        <v/>
      </c>
      <c r="AA285" s="166" t="str">
        <f t="shared" si="123"/>
        <v/>
      </c>
      <c r="AB285" s="167" t="str">
        <f t="shared" si="124"/>
        <v/>
      </c>
      <c r="AC285" s="166" t="str">
        <f t="shared" si="125"/>
        <v/>
      </c>
      <c r="AD285" s="167" t="str">
        <f t="shared" si="127"/>
        <v/>
      </c>
      <c r="AE285" s="168" t="str">
        <f t="shared" si="126"/>
        <v/>
      </c>
      <c r="AF285" s="113"/>
      <c r="AG285" s="191"/>
      <c r="AH285" s="192"/>
      <c r="AI285" s="114"/>
      <c r="AJ285" s="114"/>
      <c r="AK285" s="191"/>
      <c r="AL285" s="192"/>
      <c r="AM285" s="155"/>
      <c r="AN285" s="155"/>
      <c r="AO285" s="155"/>
      <c r="AP285" s="155"/>
      <c r="AQ285" s="155"/>
      <c r="AR285" s="155"/>
      <c r="AS285" s="155"/>
      <c r="AT285" s="155"/>
      <c r="AU285" s="155"/>
      <c r="AV285" s="155"/>
      <c r="AW285" s="155"/>
      <c r="AX285" s="155"/>
      <c r="AY285" s="155"/>
      <c r="AZ285" s="155"/>
      <c r="BA285" s="155"/>
      <c r="BB285" s="155"/>
      <c r="BC285" s="155"/>
      <c r="BD285" s="155"/>
      <c r="BE285" s="155"/>
      <c r="BF285" s="155"/>
      <c r="BG285" s="155"/>
      <c r="BH285" s="155"/>
      <c r="BI285" s="155"/>
      <c r="BJ285" s="155"/>
      <c r="BK285" s="155"/>
      <c r="BL285" s="155"/>
      <c r="BM285" s="155"/>
      <c r="BN285" s="155"/>
      <c r="BO285" s="155"/>
      <c r="BP285" s="155"/>
      <c r="BQ285" s="155"/>
      <c r="BR285" s="155"/>
    </row>
    <row r="286" spans="1:70" s="156" customFormat="1" ht="16.5" hidden="1" customHeight="1" x14ac:dyDescent="0.25">
      <c r="A286" s="266"/>
      <c r="B286" s="268"/>
      <c r="C286" s="268"/>
      <c r="D286" s="271"/>
      <c r="E286" s="271"/>
      <c r="F286" s="271"/>
      <c r="G286" s="363"/>
      <c r="H286" s="271"/>
      <c r="I286" s="266"/>
      <c r="J286" s="276"/>
      <c r="K286" s="278"/>
      <c r="L286" s="274"/>
      <c r="M286" s="278">
        <f ca="1">IF(NOT(ISERROR(MATCH(L286,_xlfn.ANCHORARRAY(G297),0))),K299&amp;"Por favor no seleccionar los criterios de impacto",L286)</f>
        <v>0</v>
      </c>
      <c r="N286" s="276"/>
      <c r="O286" s="278"/>
      <c r="P286" s="280"/>
      <c r="Q286" s="201">
        <v>4</v>
      </c>
      <c r="R286" s="112"/>
      <c r="S286" s="201" t="str">
        <f t="shared" si="122"/>
        <v/>
      </c>
      <c r="T286" s="113"/>
      <c r="U286" s="113"/>
      <c r="V286" s="167" t="str">
        <f t="shared" si="106"/>
        <v/>
      </c>
      <c r="W286" s="113"/>
      <c r="X286" s="113"/>
      <c r="Y286" s="113"/>
      <c r="Z286" s="165" t="str">
        <f>IFERROR(IF(S286="Probabilidad",(K283-(+K283*V286)),IF(S286="Impacto",K283,"")),"")</f>
        <v/>
      </c>
      <c r="AA286" s="166" t="str">
        <f t="shared" si="123"/>
        <v/>
      </c>
      <c r="AB286" s="167" t="str">
        <f t="shared" si="124"/>
        <v/>
      </c>
      <c r="AC286" s="166" t="str">
        <f t="shared" si="125"/>
        <v/>
      </c>
      <c r="AD286" s="167" t="str">
        <f t="shared" si="127"/>
        <v/>
      </c>
      <c r="AE286" s="168" t="str">
        <f t="shared" si="126"/>
        <v/>
      </c>
      <c r="AF286" s="113"/>
      <c r="AG286" s="191"/>
      <c r="AH286" s="192"/>
      <c r="AI286" s="114"/>
      <c r="AJ286" s="114"/>
      <c r="AK286" s="191"/>
      <c r="AL286" s="192"/>
      <c r="AM286" s="155"/>
      <c r="AN286" s="155"/>
      <c r="AO286" s="155"/>
      <c r="AP286" s="155"/>
      <c r="AQ286" s="155"/>
      <c r="AR286" s="155"/>
      <c r="AS286" s="155"/>
      <c r="AT286" s="155"/>
      <c r="AU286" s="155"/>
      <c r="AV286" s="155"/>
      <c r="AW286" s="155"/>
      <c r="AX286" s="155"/>
      <c r="AY286" s="155"/>
      <c r="AZ286" s="155"/>
      <c r="BA286" s="155"/>
      <c r="BB286" s="155"/>
      <c r="BC286" s="155"/>
      <c r="BD286" s="155"/>
      <c r="BE286" s="155"/>
      <c r="BF286" s="155"/>
      <c r="BG286" s="155"/>
      <c r="BH286" s="155"/>
      <c r="BI286" s="155"/>
      <c r="BJ286" s="155"/>
      <c r="BK286" s="155"/>
      <c r="BL286" s="155"/>
      <c r="BM286" s="155"/>
      <c r="BN286" s="155"/>
      <c r="BO286" s="155"/>
      <c r="BP286" s="155"/>
      <c r="BQ286" s="155"/>
      <c r="BR286" s="155"/>
    </row>
    <row r="287" spans="1:70" s="156" customFormat="1" ht="16.5" hidden="1" customHeight="1" x14ac:dyDescent="0.25">
      <c r="A287" s="266"/>
      <c r="B287" s="268"/>
      <c r="C287" s="268"/>
      <c r="D287" s="271"/>
      <c r="E287" s="271"/>
      <c r="F287" s="271"/>
      <c r="G287" s="363"/>
      <c r="H287" s="271"/>
      <c r="I287" s="266"/>
      <c r="J287" s="276"/>
      <c r="K287" s="278"/>
      <c r="L287" s="274"/>
      <c r="M287" s="278">
        <f ca="1">IF(NOT(ISERROR(MATCH(L287,_xlfn.ANCHORARRAY(G298),0))),K300&amp;"Por favor no seleccionar los criterios de impacto",L287)</f>
        <v>0</v>
      </c>
      <c r="N287" s="276"/>
      <c r="O287" s="278"/>
      <c r="P287" s="280"/>
      <c r="Q287" s="201">
        <v>5</v>
      </c>
      <c r="R287" s="112"/>
      <c r="S287" s="201" t="str">
        <f t="shared" si="122"/>
        <v/>
      </c>
      <c r="T287" s="113"/>
      <c r="U287" s="113"/>
      <c r="V287" s="167" t="str">
        <f t="shared" si="106"/>
        <v/>
      </c>
      <c r="W287" s="113"/>
      <c r="X287" s="113"/>
      <c r="Y287" s="113"/>
      <c r="Z287" s="165" t="str">
        <f>IFERROR(IF(S287="Probabilidad",(K283-(+K283*V287)),IF(S287="Impacto",K283,"")),"")</f>
        <v/>
      </c>
      <c r="AA287" s="166" t="str">
        <f t="shared" si="123"/>
        <v/>
      </c>
      <c r="AB287" s="167" t="str">
        <f t="shared" si="124"/>
        <v/>
      </c>
      <c r="AC287" s="166" t="str">
        <f t="shared" si="125"/>
        <v/>
      </c>
      <c r="AD287" s="167" t="str">
        <f t="shared" si="127"/>
        <v/>
      </c>
      <c r="AE287" s="168" t="str">
        <f t="shared" si="126"/>
        <v/>
      </c>
      <c r="AF287" s="113"/>
      <c r="AG287" s="191"/>
      <c r="AH287" s="192"/>
      <c r="AI287" s="114"/>
      <c r="AJ287" s="114"/>
      <c r="AK287" s="191"/>
      <c r="AL287" s="192"/>
      <c r="AM287" s="155"/>
      <c r="AN287" s="155"/>
      <c r="AO287" s="155"/>
      <c r="AP287" s="155"/>
      <c r="AQ287" s="155"/>
      <c r="AR287" s="155"/>
      <c r="AS287" s="155"/>
      <c r="AT287" s="155"/>
      <c r="AU287" s="155"/>
      <c r="AV287" s="155"/>
      <c r="AW287" s="155"/>
      <c r="AX287" s="155"/>
      <c r="AY287" s="155"/>
      <c r="AZ287" s="155"/>
      <c r="BA287" s="155"/>
      <c r="BB287" s="155"/>
      <c r="BC287" s="155"/>
      <c r="BD287" s="155"/>
      <c r="BE287" s="155"/>
      <c r="BF287" s="155"/>
      <c r="BG287" s="155"/>
      <c r="BH287" s="155"/>
      <c r="BI287" s="155"/>
      <c r="BJ287" s="155"/>
      <c r="BK287" s="155"/>
      <c r="BL287" s="155"/>
      <c r="BM287" s="155"/>
      <c r="BN287" s="155"/>
      <c r="BO287" s="155"/>
      <c r="BP287" s="155"/>
      <c r="BQ287" s="155"/>
      <c r="BR287" s="155"/>
    </row>
    <row r="288" spans="1:70" s="156" customFormat="1" ht="16.5" hidden="1" customHeight="1" x14ac:dyDescent="0.25">
      <c r="A288" s="266"/>
      <c r="B288" s="269"/>
      <c r="C288" s="269"/>
      <c r="D288" s="271"/>
      <c r="E288" s="271"/>
      <c r="F288" s="271"/>
      <c r="G288" s="363"/>
      <c r="H288" s="271"/>
      <c r="I288" s="266"/>
      <c r="J288" s="276"/>
      <c r="K288" s="278"/>
      <c r="L288" s="274"/>
      <c r="M288" s="278">
        <f ca="1">IF(NOT(ISERROR(MATCH(L288,_xlfn.ANCHORARRAY(G299),0))),K301&amp;"Por favor no seleccionar los criterios de impacto",L288)</f>
        <v>0</v>
      </c>
      <c r="N288" s="276"/>
      <c r="O288" s="278"/>
      <c r="P288" s="280"/>
      <c r="Q288" s="201">
        <v>6</v>
      </c>
      <c r="R288" s="112"/>
      <c r="S288" s="201" t="str">
        <f t="shared" si="122"/>
        <v/>
      </c>
      <c r="T288" s="113"/>
      <c r="U288" s="113"/>
      <c r="V288" s="167" t="str">
        <f t="shared" si="106"/>
        <v/>
      </c>
      <c r="W288" s="113"/>
      <c r="X288" s="113"/>
      <c r="Y288" s="113"/>
      <c r="Z288" s="165" t="str">
        <f>IFERROR(IF(S288="Probabilidad",(K283-(+K283*V288)),IF(S288="Impacto",K283,"")),"")</f>
        <v/>
      </c>
      <c r="AA288" s="166" t="str">
        <f t="shared" si="123"/>
        <v/>
      </c>
      <c r="AB288" s="167" t="str">
        <f t="shared" si="124"/>
        <v/>
      </c>
      <c r="AC288" s="166" t="str">
        <f t="shared" si="125"/>
        <v/>
      </c>
      <c r="AD288" s="167" t="str">
        <f t="shared" si="127"/>
        <v/>
      </c>
      <c r="AE288" s="168" t="str">
        <f t="shared" si="126"/>
        <v/>
      </c>
      <c r="AF288" s="113"/>
      <c r="AG288" s="191"/>
      <c r="AH288" s="192"/>
      <c r="AI288" s="114"/>
      <c r="AJ288" s="114"/>
      <c r="AK288" s="191"/>
      <c r="AL288" s="192"/>
      <c r="AM288" s="155"/>
      <c r="AN288" s="155"/>
      <c r="AO288" s="155"/>
      <c r="AP288" s="155"/>
      <c r="AQ288" s="155"/>
      <c r="AR288" s="155"/>
      <c r="AS288" s="155"/>
      <c r="AT288" s="155"/>
      <c r="AU288" s="155"/>
      <c r="AV288" s="155"/>
      <c r="AW288" s="155"/>
      <c r="AX288" s="155"/>
      <c r="AY288" s="155"/>
      <c r="AZ288" s="155"/>
      <c r="BA288" s="155"/>
      <c r="BB288" s="155"/>
      <c r="BC288" s="155"/>
      <c r="BD288" s="155"/>
      <c r="BE288" s="155"/>
      <c r="BF288" s="155"/>
      <c r="BG288" s="155"/>
      <c r="BH288" s="155"/>
      <c r="BI288" s="155"/>
      <c r="BJ288" s="155"/>
      <c r="BK288" s="155"/>
      <c r="BL288" s="155"/>
      <c r="BM288" s="155"/>
      <c r="BN288" s="155"/>
      <c r="BO288" s="155"/>
      <c r="BP288" s="155"/>
      <c r="BQ288" s="155"/>
      <c r="BR288" s="155"/>
    </row>
    <row r="289" spans="1:70" s="156" customFormat="1" ht="75" x14ac:dyDescent="0.25">
      <c r="A289" s="266">
        <v>47</v>
      </c>
      <c r="B289" s="267" t="s">
        <v>216</v>
      </c>
      <c r="C289" s="267" t="s">
        <v>699</v>
      </c>
      <c r="D289" s="270" t="s">
        <v>132</v>
      </c>
      <c r="E289" s="270" t="s">
        <v>700</v>
      </c>
      <c r="F289" s="270" t="s">
        <v>701</v>
      </c>
      <c r="G289" s="362" t="s">
        <v>702</v>
      </c>
      <c r="H289" s="364" t="s">
        <v>123</v>
      </c>
      <c r="I289" s="281">
        <v>70</v>
      </c>
      <c r="J289" s="275" t="str">
        <f>IF(I289&lt;=0,"",IF(I289&lt;=2,"Muy Baja",IF(I289&lt;=24,"Baja",IF(I289&lt;=500,"Media",IF(I289&lt;=5000,"Alta","Muy Alta")))))</f>
        <v>Media</v>
      </c>
      <c r="K289" s="277">
        <f>IF(J289="","",IF(J289="Muy Baja",0.2,IF(J289="Baja",0.4,IF(J289="Media",0.6,IF(J289="Alta",0.8,IF(J289="Muy Alta",1,))))))</f>
        <v>0.6</v>
      </c>
      <c r="L289" s="273" t="s">
        <v>95</v>
      </c>
      <c r="M289" s="277" t="str">
        <f>IF(NOT(ISERROR(MATCH(L289,'[9]Tabla Impacto'!$B$221:$B$223,0))),'[9]Tabla Impacto'!$F$223&amp;"Por favor no seleccionar los criterios de impacto(Afectación Económica o presupuestal y Pérdida Reputacional)",L289)</f>
        <v>El riesgo afecta la imagen de alguna área de la organización</v>
      </c>
      <c r="N289" s="275" t="str">
        <f>+IF(OR(M289='[9]Tabla Impacto'!$C$11,M289='[9]Tabla Impacto'!$D$11),"Leve",IF(OR(M289='[9]Tabla Impacto'!$C$12,M289='[9]Tabla Impacto'!$D$12),"Menor",IF(OR(M289='[9]Tabla Impacto'!$C$13,M289='[9]Tabla Impacto'!$D$13),"Moderado",IF(OR(M289='[9]Tabla Impacto'!$C$14,M289='[9]Tabla Impacto'!$D$14),"Mayor",IF(OR(M289='[9]Tabla Impacto'!$C$15,M289='[9]Tabla Impacto'!$D$15),"Catastrófico","")))))</f>
        <v>Leve</v>
      </c>
      <c r="O289" s="277">
        <f>IF(N289="","",IF(N289="Leve",0.2,IF(N289="Menor",0.4,IF(N289="Moderado",0.6,IF(N289="Mayor",0.8,IF(N289="Catastrófico",1,))))))</f>
        <v>0.2</v>
      </c>
      <c r="P289" s="279" t="str">
        <f>IF(OR(AND(J289="Muy Baja",N289="Leve"),AND(J289="Muy Baja",N289="Menor"),AND(J289="Baja",N289="Leve")),"Bajo",IF(OR(AND(J289="Muy baja",N289="Moderado"),AND(J289="Baja",N289="Menor"),AND(J289="Baja",N289="Moderado"),AND(J289="Media",N289="Leve"),AND(J289="Media",N289="Menor"),AND(J289="Media",N289="Moderado"),AND(J289="Alta",N289="Leve"),AND(J289="Alta",N289="Menor")),"Moderado",IF(OR(AND(J289="Muy Baja",N289="Mayor"),AND(J289="Baja",N289="Mayor"),AND(J289="Media",N289="Mayor"),AND(J289="Alta",N289="Moderado"),AND(J289="Alta",N289="Mayor"),AND(J289="Muy Alta",N289="Leve"),AND(J289="Muy Alta",N289="Menor"),AND(J289="Muy Alta",N289="Moderado"),AND(J289="Muy Alta",N289="Mayor")),"Alto",IF(OR(AND(J289="Muy Baja",N289="Catastrófico"),AND(J289="Baja",N289="Catastrófico"),AND(J289="Media",N289="Catastrófico"),AND(J289="Alta",N289="Catastrófico"),AND(J289="Muy Alta",N289="Catastrófico")),"Extremo",""))))</f>
        <v>Moderado</v>
      </c>
      <c r="Q289" s="201">
        <v>1</v>
      </c>
      <c r="R289" s="112" t="s">
        <v>722</v>
      </c>
      <c r="S289" s="201" t="str">
        <f t="shared" si="122"/>
        <v>Probabilidad</v>
      </c>
      <c r="T289" s="113" t="s">
        <v>14</v>
      </c>
      <c r="U289" s="113" t="s">
        <v>9</v>
      </c>
      <c r="V289" s="167" t="str">
        <f t="shared" si="106"/>
        <v>40%</v>
      </c>
      <c r="W289" s="113" t="s">
        <v>20</v>
      </c>
      <c r="X289" s="113" t="s">
        <v>22</v>
      </c>
      <c r="Y289" s="113" t="s">
        <v>117</v>
      </c>
      <c r="Z289" s="165">
        <f t="shared" si="128"/>
        <v>0.36</v>
      </c>
      <c r="AA289" s="166" t="str">
        <f t="shared" si="123"/>
        <v>Baja</v>
      </c>
      <c r="AB289" s="167">
        <f t="shared" si="124"/>
        <v>0.36</v>
      </c>
      <c r="AC289" s="166" t="str">
        <f t="shared" si="125"/>
        <v>Leve</v>
      </c>
      <c r="AD289" s="167">
        <f t="shared" si="127"/>
        <v>0.2</v>
      </c>
      <c r="AE289" s="168" t="str">
        <f t="shared" si="126"/>
        <v>Bajo</v>
      </c>
      <c r="AF289" s="113" t="s">
        <v>134</v>
      </c>
      <c r="AG289" s="191"/>
      <c r="AH289" s="192"/>
      <c r="AI289" s="114"/>
      <c r="AJ289" s="114"/>
      <c r="AK289" s="191"/>
      <c r="AL289" s="192"/>
      <c r="AM289" s="155"/>
      <c r="AN289" s="155"/>
      <c r="AO289" s="155"/>
      <c r="AP289" s="155"/>
      <c r="AQ289" s="155"/>
      <c r="AR289" s="155"/>
      <c r="AS289" s="155"/>
      <c r="AT289" s="155"/>
      <c r="AU289" s="155"/>
      <c r="AV289" s="155"/>
      <c r="AW289" s="155"/>
      <c r="AX289" s="155"/>
      <c r="AY289" s="155"/>
      <c r="AZ289" s="155"/>
      <c r="BA289" s="155"/>
      <c r="BB289" s="155"/>
      <c r="BC289" s="155"/>
      <c r="BD289" s="155"/>
      <c r="BE289" s="155"/>
      <c r="BF289" s="155"/>
      <c r="BG289" s="155"/>
      <c r="BH289" s="155"/>
      <c r="BI289" s="155"/>
      <c r="BJ289" s="155"/>
      <c r="BK289" s="155"/>
      <c r="BL289" s="155"/>
      <c r="BM289" s="155"/>
      <c r="BN289" s="155"/>
      <c r="BO289" s="155"/>
      <c r="BP289" s="155"/>
      <c r="BQ289" s="155"/>
      <c r="BR289" s="155"/>
    </row>
    <row r="290" spans="1:70" s="156" customFormat="1" ht="16.5" hidden="1" customHeight="1" x14ac:dyDescent="0.25">
      <c r="A290" s="266"/>
      <c r="B290" s="268"/>
      <c r="C290" s="268"/>
      <c r="D290" s="271"/>
      <c r="E290" s="271"/>
      <c r="F290" s="271"/>
      <c r="G290" s="363"/>
      <c r="H290" s="271"/>
      <c r="I290" s="266"/>
      <c r="J290" s="276"/>
      <c r="K290" s="278"/>
      <c r="L290" s="274"/>
      <c r="M290" s="278">
        <f ca="1">IF(NOT(ISERROR(MATCH(L290,_xlfn.ANCHORARRAY(G301),0))),K303&amp;"Por favor no seleccionar los criterios de impacto",L290)</f>
        <v>0</v>
      </c>
      <c r="N290" s="276"/>
      <c r="O290" s="278"/>
      <c r="P290" s="280"/>
      <c r="Q290" s="201">
        <v>2</v>
      </c>
      <c r="R290" s="112"/>
      <c r="S290" s="201" t="str">
        <f t="shared" si="122"/>
        <v/>
      </c>
      <c r="T290" s="113"/>
      <c r="U290" s="113"/>
      <c r="V290" s="167" t="str">
        <f t="shared" si="106"/>
        <v/>
      </c>
      <c r="W290" s="113"/>
      <c r="X290" s="113"/>
      <c r="Y290" s="113"/>
      <c r="Z290" s="165" t="str">
        <f>IFERROR(IF(S290="Probabilidad",(K289-(+K289*V290)),IF(S290="Impacto",K289,"")),"")</f>
        <v/>
      </c>
      <c r="AA290" s="166" t="str">
        <f t="shared" si="123"/>
        <v/>
      </c>
      <c r="AB290" s="167" t="str">
        <f t="shared" si="124"/>
        <v/>
      </c>
      <c r="AC290" s="166" t="str">
        <f t="shared" si="125"/>
        <v/>
      </c>
      <c r="AD290" s="167" t="str">
        <f t="shared" si="127"/>
        <v/>
      </c>
      <c r="AE290" s="168" t="str">
        <f t="shared" si="126"/>
        <v/>
      </c>
      <c r="AF290" s="113"/>
      <c r="AG290" s="191"/>
      <c r="AH290" s="192"/>
      <c r="AI290" s="114"/>
      <c r="AJ290" s="114"/>
      <c r="AK290" s="191"/>
      <c r="AL290" s="192"/>
      <c r="AM290" s="155"/>
      <c r="AN290" s="155"/>
      <c r="AO290" s="155"/>
      <c r="AP290" s="155"/>
      <c r="AQ290" s="155"/>
      <c r="AR290" s="155"/>
      <c r="AS290" s="155"/>
      <c r="AT290" s="155"/>
      <c r="AU290" s="155"/>
      <c r="AV290" s="155"/>
      <c r="AW290" s="155"/>
      <c r="AX290" s="155"/>
      <c r="AY290" s="155"/>
      <c r="AZ290" s="155"/>
      <c r="BA290" s="155"/>
      <c r="BB290" s="155"/>
      <c r="BC290" s="155"/>
      <c r="BD290" s="155"/>
      <c r="BE290" s="155"/>
      <c r="BF290" s="155"/>
      <c r="BG290" s="155"/>
      <c r="BH290" s="155"/>
      <c r="BI290" s="155"/>
      <c r="BJ290" s="155"/>
      <c r="BK290" s="155"/>
      <c r="BL290" s="155"/>
      <c r="BM290" s="155"/>
      <c r="BN290" s="155"/>
      <c r="BO290" s="155"/>
      <c r="BP290" s="155"/>
      <c r="BQ290" s="155"/>
      <c r="BR290" s="155"/>
    </row>
    <row r="291" spans="1:70" s="156" customFormat="1" ht="16.5" hidden="1" customHeight="1" x14ac:dyDescent="0.25">
      <c r="A291" s="266"/>
      <c r="B291" s="268"/>
      <c r="C291" s="268"/>
      <c r="D291" s="271"/>
      <c r="E291" s="271"/>
      <c r="F291" s="271"/>
      <c r="G291" s="363"/>
      <c r="H291" s="271"/>
      <c r="I291" s="266"/>
      <c r="J291" s="276"/>
      <c r="K291" s="278"/>
      <c r="L291" s="274"/>
      <c r="M291" s="278">
        <f ca="1">IF(NOT(ISERROR(MATCH(L291,_xlfn.ANCHORARRAY(G302),0))),K304&amp;"Por favor no seleccionar los criterios de impacto",L291)</f>
        <v>0</v>
      </c>
      <c r="N291" s="276"/>
      <c r="O291" s="278"/>
      <c r="P291" s="280"/>
      <c r="Q291" s="201">
        <v>3</v>
      </c>
      <c r="R291" s="112"/>
      <c r="S291" s="201" t="str">
        <f t="shared" si="122"/>
        <v/>
      </c>
      <c r="T291" s="113"/>
      <c r="U291" s="113"/>
      <c r="V291" s="167" t="str">
        <f t="shared" si="106"/>
        <v/>
      </c>
      <c r="W291" s="113"/>
      <c r="X291" s="113"/>
      <c r="Y291" s="113"/>
      <c r="Z291" s="165" t="str">
        <f>IFERROR(IF(S291="Probabilidad",(K289-(+K289*V291)),IF(S291="Impacto",K289,"")),"")</f>
        <v/>
      </c>
      <c r="AA291" s="166" t="str">
        <f t="shared" si="123"/>
        <v/>
      </c>
      <c r="AB291" s="167" t="str">
        <f t="shared" si="124"/>
        <v/>
      </c>
      <c r="AC291" s="166" t="str">
        <f t="shared" si="125"/>
        <v/>
      </c>
      <c r="AD291" s="167" t="str">
        <f t="shared" si="127"/>
        <v/>
      </c>
      <c r="AE291" s="168" t="str">
        <f t="shared" si="126"/>
        <v/>
      </c>
      <c r="AF291" s="113"/>
      <c r="AG291" s="191"/>
      <c r="AH291" s="192"/>
      <c r="AI291" s="114"/>
      <c r="AJ291" s="114"/>
      <c r="AK291" s="191"/>
      <c r="AL291" s="192"/>
      <c r="AM291" s="155"/>
      <c r="AN291" s="155"/>
      <c r="AO291" s="155"/>
      <c r="AP291" s="155"/>
      <c r="AQ291" s="155"/>
      <c r="AR291" s="155"/>
      <c r="AS291" s="155"/>
      <c r="AT291" s="155"/>
      <c r="AU291" s="155"/>
      <c r="AV291" s="155"/>
      <c r="AW291" s="155"/>
      <c r="AX291" s="155"/>
      <c r="AY291" s="155"/>
      <c r="AZ291" s="155"/>
      <c r="BA291" s="155"/>
      <c r="BB291" s="155"/>
      <c r="BC291" s="155"/>
      <c r="BD291" s="155"/>
      <c r="BE291" s="155"/>
      <c r="BF291" s="155"/>
      <c r="BG291" s="155"/>
      <c r="BH291" s="155"/>
      <c r="BI291" s="155"/>
      <c r="BJ291" s="155"/>
      <c r="BK291" s="155"/>
      <c r="BL291" s="155"/>
      <c r="BM291" s="155"/>
      <c r="BN291" s="155"/>
      <c r="BO291" s="155"/>
      <c r="BP291" s="155"/>
      <c r="BQ291" s="155"/>
      <c r="BR291" s="155"/>
    </row>
    <row r="292" spans="1:70" s="156" customFormat="1" ht="16.5" hidden="1" customHeight="1" x14ac:dyDescent="0.25">
      <c r="A292" s="266"/>
      <c r="B292" s="268"/>
      <c r="C292" s="268"/>
      <c r="D292" s="271"/>
      <c r="E292" s="271"/>
      <c r="F292" s="271"/>
      <c r="G292" s="363"/>
      <c r="H292" s="271"/>
      <c r="I292" s="266"/>
      <c r="J292" s="276"/>
      <c r="K292" s="278"/>
      <c r="L292" s="274"/>
      <c r="M292" s="278">
        <f ca="1">IF(NOT(ISERROR(MATCH(L292,_xlfn.ANCHORARRAY(G303),0))),K305&amp;"Por favor no seleccionar los criterios de impacto",L292)</f>
        <v>0</v>
      </c>
      <c r="N292" s="276"/>
      <c r="O292" s="278"/>
      <c r="P292" s="280"/>
      <c r="Q292" s="201">
        <v>4</v>
      </c>
      <c r="R292" s="112"/>
      <c r="S292" s="201" t="str">
        <f t="shared" si="122"/>
        <v/>
      </c>
      <c r="T292" s="113"/>
      <c r="U292" s="113"/>
      <c r="V292" s="167" t="str">
        <f t="shared" si="106"/>
        <v/>
      </c>
      <c r="W292" s="113"/>
      <c r="X292" s="113"/>
      <c r="Y292" s="113"/>
      <c r="Z292" s="165" t="str">
        <f>IFERROR(IF(S292="Probabilidad",(K289-(+K289*V292)),IF(S292="Impacto",K289,"")),"")</f>
        <v/>
      </c>
      <c r="AA292" s="166" t="str">
        <f t="shared" si="123"/>
        <v/>
      </c>
      <c r="AB292" s="167" t="str">
        <f t="shared" si="124"/>
        <v/>
      </c>
      <c r="AC292" s="166" t="str">
        <f t="shared" si="125"/>
        <v/>
      </c>
      <c r="AD292" s="167" t="str">
        <f t="shared" si="127"/>
        <v/>
      </c>
      <c r="AE292" s="168" t="str">
        <f t="shared" si="126"/>
        <v/>
      </c>
      <c r="AF292" s="113"/>
      <c r="AG292" s="191"/>
      <c r="AH292" s="192"/>
      <c r="AI292" s="114"/>
      <c r="AJ292" s="114"/>
      <c r="AK292" s="191"/>
      <c r="AL292" s="192"/>
      <c r="AM292" s="155"/>
      <c r="AN292" s="155"/>
      <c r="AO292" s="155"/>
      <c r="AP292" s="155"/>
      <c r="AQ292" s="155"/>
      <c r="AR292" s="155"/>
      <c r="AS292" s="155"/>
      <c r="AT292" s="155"/>
      <c r="AU292" s="155"/>
      <c r="AV292" s="155"/>
      <c r="AW292" s="155"/>
      <c r="AX292" s="155"/>
      <c r="AY292" s="155"/>
      <c r="AZ292" s="155"/>
      <c r="BA292" s="155"/>
      <c r="BB292" s="155"/>
      <c r="BC292" s="155"/>
      <c r="BD292" s="155"/>
      <c r="BE292" s="155"/>
      <c r="BF292" s="155"/>
      <c r="BG292" s="155"/>
      <c r="BH292" s="155"/>
      <c r="BI292" s="155"/>
      <c r="BJ292" s="155"/>
      <c r="BK292" s="155"/>
      <c r="BL292" s="155"/>
      <c r="BM292" s="155"/>
      <c r="BN292" s="155"/>
      <c r="BO292" s="155"/>
      <c r="BP292" s="155"/>
      <c r="BQ292" s="155"/>
      <c r="BR292" s="155"/>
    </row>
    <row r="293" spans="1:70" s="156" customFormat="1" ht="16.5" hidden="1" customHeight="1" x14ac:dyDescent="0.25">
      <c r="A293" s="266"/>
      <c r="B293" s="268"/>
      <c r="C293" s="268"/>
      <c r="D293" s="271"/>
      <c r="E293" s="271"/>
      <c r="F293" s="271"/>
      <c r="G293" s="363"/>
      <c r="H293" s="271"/>
      <c r="I293" s="266"/>
      <c r="J293" s="276"/>
      <c r="K293" s="278"/>
      <c r="L293" s="274"/>
      <c r="M293" s="278">
        <f ca="1">IF(NOT(ISERROR(MATCH(L293,_xlfn.ANCHORARRAY(G304),0))),K306&amp;"Por favor no seleccionar los criterios de impacto",L293)</f>
        <v>0</v>
      </c>
      <c r="N293" s="276"/>
      <c r="O293" s="278"/>
      <c r="P293" s="280"/>
      <c r="Q293" s="201">
        <v>5</v>
      </c>
      <c r="R293" s="112"/>
      <c r="S293" s="201" t="str">
        <f t="shared" si="122"/>
        <v/>
      </c>
      <c r="T293" s="113"/>
      <c r="U293" s="113"/>
      <c r="V293" s="167" t="str">
        <f t="shared" si="106"/>
        <v/>
      </c>
      <c r="W293" s="113"/>
      <c r="X293" s="113"/>
      <c r="Y293" s="113"/>
      <c r="Z293" s="165" t="str">
        <f>IFERROR(IF(S293="Probabilidad",(K289-(+K289*V293)),IF(S293="Impacto",K289,"")),"")</f>
        <v/>
      </c>
      <c r="AA293" s="166" t="str">
        <f t="shared" si="123"/>
        <v/>
      </c>
      <c r="AB293" s="167" t="str">
        <f t="shared" si="124"/>
        <v/>
      </c>
      <c r="AC293" s="166" t="str">
        <f t="shared" si="125"/>
        <v/>
      </c>
      <c r="AD293" s="167" t="str">
        <f t="shared" si="127"/>
        <v/>
      </c>
      <c r="AE293" s="168" t="str">
        <f t="shared" si="126"/>
        <v/>
      </c>
      <c r="AF293" s="113"/>
      <c r="AG293" s="191"/>
      <c r="AH293" s="192"/>
      <c r="AI293" s="114"/>
      <c r="AJ293" s="114"/>
      <c r="AK293" s="191"/>
      <c r="AL293" s="192"/>
      <c r="AM293" s="155"/>
      <c r="AN293" s="155"/>
      <c r="AO293" s="155"/>
      <c r="AP293" s="155"/>
      <c r="AQ293" s="155"/>
      <c r="AR293" s="155"/>
      <c r="AS293" s="155"/>
      <c r="AT293" s="155"/>
      <c r="AU293" s="155"/>
      <c r="AV293" s="155"/>
      <c r="AW293" s="155"/>
      <c r="AX293" s="155"/>
      <c r="AY293" s="155"/>
      <c r="AZ293" s="155"/>
      <c r="BA293" s="155"/>
      <c r="BB293" s="155"/>
      <c r="BC293" s="155"/>
      <c r="BD293" s="155"/>
      <c r="BE293" s="155"/>
      <c r="BF293" s="155"/>
      <c r="BG293" s="155"/>
      <c r="BH293" s="155"/>
      <c r="BI293" s="155"/>
      <c r="BJ293" s="155"/>
      <c r="BK293" s="155"/>
      <c r="BL293" s="155"/>
      <c r="BM293" s="155"/>
      <c r="BN293" s="155"/>
      <c r="BO293" s="155"/>
      <c r="BP293" s="155"/>
      <c r="BQ293" s="155"/>
      <c r="BR293" s="155"/>
    </row>
    <row r="294" spans="1:70" s="156" customFormat="1" ht="16.5" hidden="1" customHeight="1" x14ac:dyDescent="0.25">
      <c r="A294" s="266"/>
      <c r="B294" s="269"/>
      <c r="C294" s="269"/>
      <c r="D294" s="271"/>
      <c r="E294" s="271"/>
      <c r="F294" s="271"/>
      <c r="G294" s="363"/>
      <c r="H294" s="271"/>
      <c r="I294" s="266"/>
      <c r="J294" s="276"/>
      <c r="K294" s="278"/>
      <c r="L294" s="274"/>
      <c r="M294" s="278">
        <f ca="1">IF(NOT(ISERROR(MATCH(L294,_xlfn.ANCHORARRAY(G305),0))),K307&amp;"Por favor no seleccionar los criterios de impacto",L294)</f>
        <v>0</v>
      </c>
      <c r="N294" s="276"/>
      <c r="O294" s="278"/>
      <c r="P294" s="280"/>
      <c r="Q294" s="201">
        <v>6</v>
      </c>
      <c r="R294" s="112"/>
      <c r="S294" s="201" t="str">
        <f t="shared" si="122"/>
        <v/>
      </c>
      <c r="T294" s="113"/>
      <c r="U294" s="113"/>
      <c r="V294" s="167" t="str">
        <f t="shared" si="106"/>
        <v/>
      </c>
      <c r="W294" s="113"/>
      <c r="X294" s="113"/>
      <c r="Y294" s="113"/>
      <c r="Z294" s="165" t="str">
        <f>IFERROR(IF(S294="Probabilidad",(K289-(+K289*V294)),IF(S294="Impacto",K289,"")),"")</f>
        <v/>
      </c>
      <c r="AA294" s="166" t="str">
        <f t="shared" si="123"/>
        <v/>
      </c>
      <c r="AB294" s="167" t="str">
        <f t="shared" si="124"/>
        <v/>
      </c>
      <c r="AC294" s="166" t="str">
        <f t="shared" si="125"/>
        <v/>
      </c>
      <c r="AD294" s="167" t="str">
        <f t="shared" si="127"/>
        <v/>
      </c>
      <c r="AE294" s="168" t="str">
        <f t="shared" si="126"/>
        <v/>
      </c>
      <c r="AF294" s="113"/>
      <c r="AG294" s="191"/>
      <c r="AH294" s="192"/>
      <c r="AI294" s="114"/>
      <c r="AJ294" s="114"/>
      <c r="AK294" s="191"/>
      <c r="AL294" s="192"/>
      <c r="AM294" s="155"/>
      <c r="AN294" s="155"/>
      <c r="AO294" s="155"/>
      <c r="AP294" s="155"/>
      <c r="AQ294" s="155"/>
      <c r="AR294" s="155"/>
      <c r="AS294" s="155"/>
      <c r="AT294" s="155"/>
      <c r="AU294" s="155"/>
      <c r="AV294" s="155"/>
      <c r="AW294" s="155"/>
      <c r="AX294" s="155"/>
      <c r="AY294" s="155"/>
      <c r="AZ294" s="155"/>
      <c r="BA294" s="155"/>
      <c r="BB294" s="155"/>
      <c r="BC294" s="155"/>
      <c r="BD294" s="155"/>
      <c r="BE294" s="155"/>
      <c r="BF294" s="155"/>
      <c r="BG294" s="155"/>
      <c r="BH294" s="155"/>
      <c r="BI294" s="155"/>
      <c r="BJ294" s="155"/>
      <c r="BK294" s="155"/>
      <c r="BL294" s="155"/>
      <c r="BM294" s="155"/>
      <c r="BN294" s="155"/>
      <c r="BO294" s="155"/>
      <c r="BP294" s="155"/>
      <c r="BQ294" s="155"/>
      <c r="BR294" s="155"/>
    </row>
    <row r="295" spans="1:70" s="156" customFormat="1" ht="102" customHeight="1" x14ac:dyDescent="0.25">
      <c r="A295" s="266">
        <v>48</v>
      </c>
      <c r="B295" s="267" t="s">
        <v>216</v>
      </c>
      <c r="C295" s="267" t="s">
        <v>699</v>
      </c>
      <c r="D295" s="270" t="s">
        <v>130</v>
      </c>
      <c r="E295" s="270" t="s">
        <v>703</v>
      </c>
      <c r="F295" s="270" t="s">
        <v>704</v>
      </c>
      <c r="G295" s="362" t="s">
        <v>705</v>
      </c>
      <c r="H295" s="270" t="s">
        <v>437</v>
      </c>
      <c r="I295" s="281">
        <v>70</v>
      </c>
      <c r="J295" s="275" t="str">
        <f>IF(I295&lt;=0,"",IF(I295&lt;=2,"Muy Baja",IF(I295&lt;=24,"Baja",IF(I295&lt;=500,"Media",IF(I295&lt;=5000,"Alta","Muy Alta")))))</f>
        <v>Media</v>
      </c>
      <c r="K295" s="277">
        <f>IF(J295="","",IF(J295="Muy Baja",0.2,IF(J295="Baja",0.4,IF(J295="Media",0.6,IF(J295="Alta",0.8,IF(J295="Muy Alta",1,))))))</f>
        <v>0.6</v>
      </c>
      <c r="L295" s="273" t="s">
        <v>95</v>
      </c>
      <c r="M295" s="277" t="str">
        <f>IF(NOT(ISERROR(MATCH(L295,'[9]Tabla Impacto'!$B$221:$B$223,0))),'[9]Tabla Impacto'!$F$223&amp;"Por favor no seleccionar los criterios de impacto(Afectación Económica o presupuestal y Pérdida Reputacional)",L295)</f>
        <v>El riesgo afecta la imagen de alguna área de la organización</v>
      </c>
      <c r="N295" s="275" t="str">
        <f>+IF(OR(M295='[9]Tabla Impacto'!$C$11,M295='[9]Tabla Impacto'!$D$11),"Leve",IF(OR(M295='[9]Tabla Impacto'!$C$12,M295='[9]Tabla Impacto'!$D$12),"Menor",IF(OR(M295='[9]Tabla Impacto'!$C$13,M295='[9]Tabla Impacto'!$D$13),"Moderado",IF(OR(M295='[9]Tabla Impacto'!$C$14,M295='[9]Tabla Impacto'!$D$14),"Mayor",IF(OR(M295='[9]Tabla Impacto'!$C$15,M295='[9]Tabla Impacto'!$D$15),"Catastrófico","")))))</f>
        <v>Leve</v>
      </c>
      <c r="O295" s="277">
        <f>IF(N295="","",IF(N295="Leve",0.2,IF(N295="Menor",0.4,IF(N295="Moderado",0.6,IF(N295="Mayor",0.8,IF(N295="Catastrófico",1,))))))</f>
        <v>0.2</v>
      </c>
      <c r="P295" s="279" t="str">
        <f>IF(OR(AND(J295="Muy Baja",N295="Leve"),AND(J295="Muy Baja",N295="Menor"),AND(J295="Baja",N295="Leve")),"Bajo",IF(OR(AND(J295="Muy baja",N295="Moderado"),AND(J295="Baja",N295="Menor"),AND(J295="Baja",N295="Moderado"),AND(J295="Media",N295="Leve"),AND(J295="Media",N295="Menor"),AND(J295="Media",N295="Moderado"),AND(J295="Alta",N295="Leve"),AND(J295="Alta",N295="Menor")),"Moderado",IF(OR(AND(J295="Muy Baja",N295="Mayor"),AND(J295="Baja",N295="Mayor"),AND(J295="Media",N295="Mayor"),AND(J295="Alta",N295="Moderado"),AND(J295="Alta",N295="Mayor"),AND(J295="Muy Alta",N295="Leve"),AND(J295="Muy Alta",N295="Menor"),AND(J295="Muy Alta",N295="Moderado"),AND(J295="Muy Alta",N295="Mayor")),"Alto",IF(OR(AND(J295="Muy Baja",N295="Catastrófico"),AND(J295="Baja",N295="Catastrófico"),AND(J295="Media",N295="Catastrófico"),AND(J295="Alta",N295="Catastrófico"),AND(J295="Muy Alta",N295="Catastrófico")),"Extremo",""))))</f>
        <v>Moderado</v>
      </c>
      <c r="Q295" s="201">
        <v>1</v>
      </c>
      <c r="R295" s="112" t="s">
        <v>723</v>
      </c>
      <c r="S295" s="201" t="str">
        <f t="shared" si="122"/>
        <v>Probabilidad</v>
      </c>
      <c r="T295" s="113" t="s">
        <v>14</v>
      </c>
      <c r="U295" s="113" t="s">
        <v>9</v>
      </c>
      <c r="V295" s="167" t="str">
        <f t="shared" si="106"/>
        <v>40%</v>
      </c>
      <c r="W295" s="113" t="s">
        <v>20</v>
      </c>
      <c r="X295" s="113" t="s">
        <v>22</v>
      </c>
      <c r="Y295" s="113" t="s">
        <v>117</v>
      </c>
      <c r="Z295" s="165">
        <f t="shared" si="128"/>
        <v>0.36</v>
      </c>
      <c r="AA295" s="166" t="str">
        <f t="shared" si="123"/>
        <v>Baja</v>
      </c>
      <c r="AB295" s="167">
        <f t="shared" si="124"/>
        <v>0.36</v>
      </c>
      <c r="AC295" s="166" t="str">
        <f t="shared" si="125"/>
        <v>Leve</v>
      </c>
      <c r="AD295" s="167">
        <f t="shared" si="127"/>
        <v>0.2</v>
      </c>
      <c r="AE295" s="168" t="str">
        <f t="shared" si="126"/>
        <v>Bajo</v>
      </c>
      <c r="AF295" s="113" t="s">
        <v>31</v>
      </c>
      <c r="AG295" s="191"/>
      <c r="AH295" s="192"/>
      <c r="AI295" s="114"/>
      <c r="AJ295" s="114"/>
      <c r="AK295" s="191"/>
      <c r="AL295" s="192"/>
      <c r="AM295" s="155"/>
      <c r="AN295" s="155"/>
      <c r="AO295" s="155"/>
      <c r="AP295" s="155"/>
      <c r="AQ295" s="155"/>
      <c r="AR295" s="155"/>
      <c r="AS295" s="155"/>
      <c r="AT295" s="155"/>
      <c r="AU295" s="155"/>
      <c r="AV295" s="155"/>
      <c r="AW295" s="155"/>
      <c r="AX295" s="155"/>
      <c r="AY295" s="155"/>
      <c r="AZ295" s="155"/>
      <c r="BA295" s="155"/>
      <c r="BB295" s="155"/>
      <c r="BC295" s="155"/>
      <c r="BD295" s="155"/>
      <c r="BE295" s="155"/>
      <c r="BF295" s="155"/>
      <c r="BG295" s="155"/>
      <c r="BH295" s="155"/>
      <c r="BI295" s="155"/>
      <c r="BJ295" s="155"/>
      <c r="BK295" s="155"/>
      <c r="BL295" s="155"/>
      <c r="BM295" s="155"/>
      <c r="BN295" s="155"/>
      <c r="BO295" s="155"/>
      <c r="BP295" s="155"/>
      <c r="BQ295" s="155"/>
      <c r="BR295" s="155"/>
    </row>
    <row r="296" spans="1:70" s="156" customFormat="1" ht="16.5" hidden="1" customHeight="1" x14ac:dyDescent="0.25">
      <c r="A296" s="266"/>
      <c r="B296" s="268"/>
      <c r="C296" s="268"/>
      <c r="D296" s="271"/>
      <c r="E296" s="271"/>
      <c r="F296" s="271"/>
      <c r="G296" s="363"/>
      <c r="H296" s="271"/>
      <c r="I296" s="266"/>
      <c r="J296" s="276"/>
      <c r="K296" s="278"/>
      <c r="L296" s="274"/>
      <c r="M296" s="278">
        <f ca="1">IF(NOT(ISERROR(MATCH(L296,_xlfn.ANCHORARRAY(G307),0))),K309&amp;"Por favor no seleccionar los criterios de impacto",L296)</f>
        <v>0</v>
      </c>
      <c r="N296" s="276"/>
      <c r="O296" s="278"/>
      <c r="P296" s="280"/>
      <c r="Q296" s="201">
        <v>2</v>
      </c>
      <c r="R296" s="112"/>
      <c r="S296" s="201" t="str">
        <f t="shared" si="122"/>
        <v/>
      </c>
      <c r="T296" s="113"/>
      <c r="U296" s="113"/>
      <c r="V296" s="167" t="str">
        <f t="shared" si="106"/>
        <v/>
      </c>
      <c r="W296" s="113"/>
      <c r="X296" s="113"/>
      <c r="Y296" s="113"/>
      <c r="Z296" s="165" t="str">
        <f>IFERROR(IF(S296="Probabilidad",(K295-(+K295*V296)),IF(S296="Impacto",K295,"")),"")</f>
        <v/>
      </c>
      <c r="AA296" s="166" t="str">
        <f t="shared" si="123"/>
        <v/>
      </c>
      <c r="AB296" s="167" t="str">
        <f t="shared" si="124"/>
        <v/>
      </c>
      <c r="AC296" s="166" t="str">
        <f t="shared" si="125"/>
        <v/>
      </c>
      <c r="AD296" s="167" t="str">
        <f t="shared" si="127"/>
        <v/>
      </c>
      <c r="AE296" s="168" t="str">
        <f t="shared" si="126"/>
        <v/>
      </c>
      <c r="AF296" s="113"/>
      <c r="AG296" s="191"/>
      <c r="AH296" s="192"/>
      <c r="AI296" s="114"/>
      <c r="AJ296" s="114"/>
      <c r="AK296" s="191"/>
      <c r="AL296" s="192"/>
      <c r="AM296" s="155"/>
      <c r="AN296" s="155"/>
      <c r="AO296" s="155"/>
      <c r="AP296" s="155"/>
      <c r="AQ296" s="155"/>
      <c r="AR296" s="155"/>
      <c r="AS296" s="155"/>
      <c r="AT296" s="155"/>
      <c r="AU296" s="155"/>
      <c r="AV296" s="155"/>
      <c r="AW296" s="155"/>
      <c r="AX296" s="155"/>
      <c r="AY296" s="155"/>
      <c r="AZ296" s="155"/>
      <c r="BA296" s="155"/>
      <c r="BB296" s="155"/>
      <c r="BC296" s="155"/>
      <c r="BD296" s="155"/>
      <c r="BE296" s="155"/>
      <c r="BF296" s="155"/>
      <c r="BG296" s="155"/>
      <c r="BH296" s="155"/>
      <c r="BI296" s="155"/>
      <c r="BJ296" s="155"/>
      <c r="BK296" s="155"/>
      <c r="BL296" s="155"/>
      <c r="BM296" s="155"/>
      <c r="BN296" s="155"/>
      <c r="BO296" s="155"/>
      <c r="BP296" s="155"/>
      <c r="BQ296" s="155"/>
      <c r="BR296" s="155"/>
    </row>
    <row r="297" spans="1:70" s="156" customFormat="1" ht="16.5" hidden="1" customHeight="1" x14ac:dyDescent="0.25">
      <c r="A297" s="266"/>
      <c r="B297" s="268"/>
      <c r="C297" s="268"/>
      <c r="D297" s="271"/>
      <c r="E297" s="271"/>
      <c r="F297" s="271"/>
      <c r="G297" s="363"/>
      <c r="H297" s="271"/>
      <c r="I297" s="266"/>
      <c r="J297" s="276"/>
      <c r="K297" s="278"/>
      <c r="L297" s="274"/>
      <c r="M297" s="278">
        <f ca="1">IF(NOT(ISERROR(MATCH(L297,_xlfn.ANCHORARRAY(G308),0))),K310&amp;"Por favor no seleccionar los criterios de impacto",L297)</f>
        <v>0</v>
      </c>
      <c r="N297" s="276"/>
      <c r="O297" s="278"/>
      <c r="P297" s="280"/>
      <c r="Q297" s="201">
        <v>3</v>
      </c>
      <c r="R297" s="112"/>
      <c r="S297" s="201" t="str">
        <f t="shared" si="122"/>
        <v/>
      </c>
      <c r="T297" s="113"/>
      <c r="U297" s="113"/>
      <c r="V297" s="167" t="str">
        <f t="shared" si="106"/>
        <v/>
      </c>
      <c r="W297" s="113"/>
      <c r="X297" s="113"/>
      <c r="Y297" s="113"/>
      <c r="Z297" s="165" t="str">
        <f>IFERROR(IF(S297="Probabilidad",(K295-(+K295*V297)),IF(S297="Impacto",K295,"")),"")</f>
        <v/>
      </c>
      <c r="AA297" s="166" t="str">
        <f t="shared" si="123"/>
        <v/>
      </c>
      <c r="AB297" s="167" t="str">
        <f t="shared" si="124"/>
        <v/>
      </c>
      <c r="AC297" s="166" t="str">
        <f t="shared" si="125"/>
        <v/>
      </c>
      <c r="AD297" s="167" t="str">
        <f t="shared" si="127"/>
        <v/>
      </c>
      <c r="AE297" s="168" t="str">
        <f t="shared" si="126"/>
        <v/>
      </c>
      <c r="AF297" s="113"/>
      <c r="AG297" s="191"/>
      <c r="AH297" s="192"/>
      <c r="AI297" s="114"/>
      <c r="AJ297" s="114"/>
      <c r="AK297" s="191"/>
      <c r="AL297" s="192"/>
      <c r="AM297" s="155"/>
      <c r="AN297" s="155"/>
      <c r="AO297" s="155"/>
      <c r="AP297" s="155"/>
      <c r="AQ297" s="155"/>
      <c r="AR297" s="155"/>
      <c r="AS297" s="155"/>
      <c r="AT297" s="155"/>
      <c r="AU297" s="155"/>
      <c r="AV297" s="155"/>
      <c r="AW297" s="155"/>
      <c r="AX297" s="155"/>
      <c r="AY297" s="155"/>
      <c r="AZ297" s="155"/>
      <c r="BA297" s="155"/>
      <c r="BB297" s="155"/>
      <c r="BC297" s="155"/>
      <c r="BD297" s="155"/>
      <c r="BE297" s="155"/>
      <c r="BF297" s="155"/>
      <c r="BG297" s="155"/>
      <c r="BH297" s="155"/>
      <c r="BI297" s="155"/>
      <c r="BJ297" s="155"/>
      <c r="BK297" s="155"/>
      <c r="BL297" s="155"/>
      <c r="BM297" s="155"/>
      <c r="BN297" s="155"/>
      <c r="BO297" s="155"/>
      <c r="BP297" s="155"/>
      <c r="BQ297" s="155"/>
      <c r="BR297" s="155"/>
    </row>
    <row r="298" spans="1:70" s="156" customFormat="1" ht="16.5" hidden="1" customHeight="1" x14ac:dyDescent="0.25">
      <c r="A298" s="266"/>
      <c r="B298" s="268"/>
      <c r="C298" s="268"/>
      <c r="D298" s="271"/>
      <c r="E298" s="271"/>
      <c r="F298" s="271"/>
      <c r="G298" s="363"/>
      <c r="H298" s="271"/>
      <c r="I298" s="266"/>
      <c r="J298" s="276"/>
      <c r="K298" s="278"/>
      <c r="L298" s="274"/>
      <c r="M298" s="278">
        <f ca="1">IF(NOT(ISERROR(MATCH(L298,_xlfn.ANCHORARRAY(G309),0))),K311&amp;"Por favor no seleccionar los criterios de impacto",L298)</f>
        <v>0</v>
      </c>
      <c r="N298" s="276"/>
      <c r="O298" s="278"/>
      <c r="P298" s="280"/>
      <c r="Q298" s="201">
        <v>4</v>
      </c>
      <c r="R298" s="112"/>
      <c r="S298" s="201" t="str">
        <f t="shared" si="122"/>
        <v/>
      </c>
      <c r="T298" s="113"/>
      <c r="U298" s="113"/>
      <c r="V298" s="167" t="str">
        <f t="shared" si="106"/>
        <v/>
      </c>
      <c r="W298" s="113"/>
      <c r="X298" s="113"/>
      <c r="Y298" s="113"/>
      <c r="Z298" s="165" t="str">
        <f>IFERROR(IF(S298="Probabilidad",(K295-(+K295*V298)),IF(S298="Impacto",K295,"")),"")</f>
        <v/>
      </c>
      <c r="AA298" s="166" t="str">
        <f t="shared" si="123"/>
        <v/>
      </c>
      <c r="AB298" s="167" t="str">
        <f t="shared" si="124"/>
        <v/>
      </c>
      <c r="AC298" s="166" t="str">
        <f t="shared" si="125"/>
        <v/>
      </c>
      <c r="AD298" s="167" t="str">
        <f t="shared" si="127"/>
        <v/>
      </c>
      <c r="AE298" s="168" t="str">
        <f t="shared" si="126"/>
        <v/>
      </c>
      <c r="AF298" s="113"/>
      <c r="AG298" s="191"/>
      <c r="AH298" s="192"/>
      <c r="AI298" s="114"/>
      <c r="AJ298" s="114"/>
      <c r="AK298" s="191"/>
      <c r="AL298" s="192"/>
      <c r="AM298" s="155"/>
      <c r="AN298" s="155"/>
      <c r="AO298" s="155"/>
      <c r="AP298" s="155"/>
      <c r="AQ298" s="155"/>
      <c r="AR298" s="155"/>
      <c r="AS298" s="155"/>
      <c r="AT298" s="155"/>
      <c r="AU298" s="155"/>
      <c r="AV298" s="155"/>
      <c r="AW298" s="155"/>
      <c r="AX298" s="155"/>
      <c r="AY298" s="155"/>
      <c r="AZ298" s="155"/>
      <c r="BA298" s="155"/>
      <c r="BB298" s="155"/>
      <c r="BC298" s="155"/>
      <c r="BD298" s="155"/>
      <c r="BE298" s="155"/>
      <c r="BF298" s="155"/>
      <c r="BG298" s="155"/>
      <c r="BH298" s="155"/>
      <c r="BI298" s="155"/>
      <c r="BJ298" s="155"/>
      <c r="BK298" s="155"/>
      <c r="BL298" s="155"/>
      <c r="BM298" s="155"/>
      <c r="BN298" s="155"/>
      <c r="BO298" s="155"/>
      <c r="BP298" s="155"/>
      <c r="BQ298" s="155"/>
      <c r="BR298" s="155"/>
    </row>
    <row r="299" spans="1:70" s="156" customFormat="1" ht="16.5" hidden="1" customHeight="1" x14ac:dyDescent="0.25">
      <c r="A299" s="266"/>
      <c r="B299" s="268"/>
      <c r="C299" s="268"/>
      <c r="D299" s="271"/>
      <c r="E299" s="271"/>
      <c r="F299" s="271"/>
      <c r="G299" s="363"/>
      <c r="H299" s="271"/>
      <c r="I299" s="266"/>
      <c r="J299" s="276"/>
      <c r="K299" s="278"/>
      <c r="L299" s="274"/>
      <c r="M299" s="278">
        <f ca="1">IF(NOT(ISERROR(MATCH(L299,_xlfn.ANCHORARRAY(G310),0))),K312&amp;"Por favor no seleccionar los criterios de impacto",L299)</f>
        <v>0</v>
      </c>
      <c r="N299" s="276"/>
      <c r="O299" s="278"/>
      <c r="P299" s="280"/>
      <c r="Q299" s="201">
        <v>5</v>
      </c>
      <c r="R299" s="112"/>
      <c r="S299" s="201" t="str">
        <f t="shared" si="122"/>
        <v/>
      </c>
      <c r="T299" s="113"/>
      <c r="U299" s="113"/>
      <c r="V299" s="167" t="str">
        <f t="shared" si="106"/>
        <v/>
      </c>
      <c r="W299" s="113"/>
      <c r="X299" s="113"/>
      <c r="Y299" s="113"/>
      <c r="Z299" s="165" t="str">
        <f>IFERROR(IF(S299="Probabilidad",(K295-(+K295*V299)),IF(S299="Impacto",K295,"")),"")</f>
        <v/>
      </c>
      <c r="AA299" s="166" t="str">
        <f t="shared" si="123"/>
        <v/>
      </c>
      <c r="AB299" s="167" t="str">
        <f t="shared" si="124"/>
        <v/>
      </c>
      <c r="AC299" s="166" t="str">
        <f t="shared" si="125"/>
        <v/>
      </c>
      <c r="AD299" s="167" t="str">
        <f t="shared" si="127"/>
        <v/>
      </c>
      <c r="AE299" s="168" t="str">
        <f t="shared" si="126"/>
        <v/>
      </c>
      <c r="AF299" s="113"/>
      <c r="AG299" s="191"/>
      <c r="AH299" s="192"/>
      <c r="AI299" s="114"/>
      <c r="AJ299" s="114"/>
      <c r="AK299" s="191"/>
      <c r="AL299" s="192"/>
      <c r="AM299" s="155"/>
      <c r="AN299" s="155"/>
      <c r="AO299" s="155"/>
      <c r="AP299" s="155"/>
      <c r="AQ299" s="155"/>
      <c r="AR299" s="155"/>
      <c r="AS299" s="155"/>
      <c r="AT299" s="155"/>
      <c r="AU299" s="155"/>
      <c r="AV299" s="155"/>
      <c r="AW299" s="155"/>
      <c r="AX299" s="155"/>
      <c r="AY299" s="155"/>
      <c r="AZ299" s="155"/>
      <c r="BA299" s="155"/>
      <c r="BB299" s="155"/>
      <c r="BC299" s="155"/>
      <c r="BD299" s="155"/>
      <c r="BE299" s="155"/>
      <c r="BF299" s="155"/>
      <c r="BG299" s="155"/>
      <c r="BH299" s="155"/>
      <c r="BI299" s="155"/>
      <c r="BJ299" s="155"/>
      <c r="BK299" s="155"/>
      <c r="BL299" s="155"/>
      <c r="BM299" s="155"/>
      <c r="BN299" s="155"/>
      <c r="BO299" s="155"/>
      <c r="BP299" s="155"/>
      <c r="BQ299" s="155"/>
      <c r="BR299" s="155"/>
    </row>
    <row r="300" spans="1:70" s="156" customFormat="1" ht="16.5" hidden="1" customHeight="1" x14ac:dyDescent="0.25">
      <c r="A300" s="266"/>
      <c r="B300" s="269"/>
      <c r="C300" s="269"/>
      <c r="D300" s="271"/>
      <c r="E300" s="271"/>
      <c r="F300" s="271"/>
      <c r="G300" s="363"/>
      <c r="H300" s="271"/>
      <c r="I300" s="266"/>
      <c r="J300" s="276"/>
      <c r="K300" s="278"/>
      <c r="L300" s="274"/>
      <c r="M300" s="278">
        <f ca="1">IF(NOT(ISERROR(MATCH(L300,_xlfn.ANCHORARRAY(G311),0))),K313&amp;"Por favor no seleccionar los criterios de impacto",L300)</f>
        <v>0</v>
      </c>
      <c r="N300" s="276"/>
      <c r="O300" s="278"/>
      <c r="P300" s="280"/>
      <c r="Q300" s="201">
        <v>6</v>
      </c>
      <c r="R300" s="112"/>
      <c r="S300" s="201" t="str">
        <f t="shared" si="122"/>
        <v/>
      </c>
      <c r="T300" s="113"/>
      <c r="U300" s="113"/>
      <c r="V300" s="167" t="str">
        <f t="shared" si="106"/>
        <v/>
      </c>
      <c r="W300" s="113"/>
      <c r="X300" s="113"/>
      <c r="Y300" s="113"/>
      <c r="Z300" s="165" t="str">
        <f>IFERROR(IF(S300="Probabilidad",(K295-(+K295*V300)),IF(S300="Impacto",K295,"")),"")</f>
        <v/>
      </c>
      <c r="AA300" s="166" t="str">
        <f t="shared" si="123"/>
        <v/>
      </c>
      <c r="AB300" s="167" t="str">
        <f t="shared" si="124"/>
        <v/>
      </c>
      <c r="AC300" s="166" t="str">
        <f t="shared" si="125"/>
        <v/>
      </c>
      <c r="AD300" s="167" t="str">
        <f t="shared" si="127"/>
        <v/>
      </c>
      <c r="AE300" s="168" t="str">
        <f t="shared" si="126"/>
        <v/>
      </c>
      <c r="AF300" s="113"/>
      <c r="AG300" s="191"/>
      <c r="AH300" s="192"/>
      <c r="AI300" s="114"/>
      <c r="AJ300" s="114"/>
      <c r="AK300" s="191"/>
      <c r="AL300" s="192"/>
      <c r="AM300" s="155"/>
      <c r="AN300" s="155"/>
      <c r="AO300" s="155"/>
      <c r="AP300" s="155"/>
      <c r="AQ300" s="155"/>
      <c r="AR300" s="155"/>
      <c r="AS300" s="155"/>
      <c r="AT300" s="155"/>
      <c r="AU300" s="155"/>
      <c r="AV300" s="155"/>
      <c r="AW300" s="155"/>
      <c r="AX300" s="155"/>
      <c r="AY300" s="155"/>
      <c r="AZ300" s="155"/>
      <c r="BA300" s="155"/>
      <c r="BB300" s="155"/>
      <c r="BC300" s="155"/>
      <c r="BD300" s="155"/>
      <c r="BE300" s="155"/>
      <c r="BF300" s="155"/>
      <c r="BG300" s="155"/>
      <c r="BH300" s="155"/>
      <c r="BI300" s="155"/>
      <c r="BJ300" s="155"/>
      <c r="BK300" s="155"/>
      <c r="BL300" s="155"/>
      <c r="BM300" s="155"/>
      <c r="BN300" s="155"/>
      <c r="BO300" s="155"/>
      <c r="BP300" s="155"/>
      <c r="BQ300" s="155"/>
      <c r="BR300" s="155"/>
    </row>
    <row r="301" spans="1:70" s="156" customFormat="1" ht="101.25" customHeight="1" x14ac:dyDescent="0.25">
      <c r="A301" s="266">
        <v>49</v>
      </c>
      <c r="B301" s="267" t="s">
        <v>216</v>
      </c>
      <c r="C301" s="267" t="s">
        <v>706</v>
      </c>
      <c r="D301" s="270" t="s">
        <v>132</v>
      </c>
      <c r="E301" s="270" t="s">
        <v>707</v>
      </c>
      <c r="F301" s="270" t="s">
        <v>708</v>
      </c>
      <c r="G301" s="362" t="s">
        <v>709</v>
      </c>
      <c r="H301" s="270" t="s">
        <v>437</v>
      </c>
      <c r="I301" s="281">
        <v>365</v>
      </c>
      <c r="J301" s="275" t="str">
        <f>IF(I301&lt;=0,"",IF(I301&lt;=2,"Muy Baja",IF(I301&lt;=24,"Baja",IF(I301&lt;=500,"Media",IF(I301&lt;=5000,"Alta","Muy Alta")))))</f>
        <v>Media</v>
      </c>
      <c r="K301" s="277">
        <f>IF(J301="","",IF(J301="Muy Baja",0.2,IF(J301="Baja",0.4,IF(J301="Media",0.6,IF(J301="Alta",0.8,IF(J301="Muy Alta",1,))))))</f>
        <v>0.6</v>
      </c>
      <c r="L301" s="273" t="s">
        <v>91</v>
      </c>
      <c r="M301" s="277" t="str">
        <f>IF(NOT(ISERROR(MATCH(L301,'[9]Tabla Impacto'!$B$221:$B$223,0))),'[9]Tabla Impacto'!$F$223&amp;"Por favor no seleccionar los criterios de impacto(Afectación Económica o presupuestal y Pérdida Reputacional)",L301)</f>
        <v xml:space="preserve">Entre 10 y 50 SMLMV </v>
      </c>
      <c r="N301" s="275" t="str">
        <f>+IF(OR(M301='[9]Tabla Impacto'!$C$11,M301='[9]Tabla Impacto'!$D$11),"Leve",IF(OR(M301='[9]Tabla Impacto'!$C$12,M301='[9]Tabla Impacto'!$D$12),"Menor",IF(OR(M301='[9]Tabla Impacto'!$C$13,M301='[9]Tabla Impacto'!$D$13),"Moderado",IF(OR(M301='[9]Tabla Impacto'!$C$14,M301='[9]Tabla Impacto'!$D$14),"Mayor",IF(OR(M301='[9]Tabla Impacto'!$C$15,M301='[9]Tabla Impacto'!$D$15),"Catastrófico","")))))</f>
        <v>Menor</v>
      </c>
      <c r="O301" s="277">
        <f>IF(N301="","",IF(N301="Leve",0.2,IF(N301="Menor",0.4,IF(N301="Moderado",0.6,IF(N301="Mayor",0.8,IF(N301="Catastrófico",1,))))))</f>
        <v>0.4</v>
      </c>
      <c r="P301" s="279" t="str">
        <f>IF(OR(AND(J301="Muy Baja",N301="Leve"),AND(J301="Muy Baja",N301="Menor"),AND(J301="Baja",N301="Leve")),"Bajo",IF(OR(AND(J301="Muy baja",N301="Moderado"),AND(J301="Baja",N301="Menor"),AND(J301="Baja",N301="Moderado"),AND(J301="Media",N301="Leve"),AND(J301="Media",N301="Menor"),AND(J301="Media",N301="Moderado"),AND(J301="Alta",N301="Leve"),AND(J301="Alta",N301="Menor")),"Moderado",IF(OR(AND(J301="Muy Baja",N301="Mayor"),AND(J301="Baja",N301="Mayor"),AND(J301="Media",N301="Mayor"),AND(J301="Alta",N301="Moderado"),AND(J301="Alta",N301="Mayor"),AND(J301="Muy Alta",N301="Leve"),AND(J301="Muy Alta",N301="Menor"),AND(J301="Muy Alta",N301="Moderado"),AND(J301="Muy Alta",N301="Mayor")),"Alto",IF(OR(AND(J301="Muy Baja",N301="Catastrófico"),AND(J301="Baja",N301="Catastrófico"),AND(J301="Media",N301="Catastrófico"),AND(J301="Alta",N301="Catastrófico"),AND(J301="Muy Alta",N301="Catastrófico")),"Extremo",""))))</f>
        <v>Moderado</v>
      </c>
      <c r="Q301" s="201">
        <v>1</v>
      </c>
      <c r="R301" s="112" t="s">
        <v>724</v>
      </c>
      <c r="S301" s="201" t="str">
        <f t="shared" si="122"/>
        <v>Probabilidad</v>
      </c>
      <c r="T301" s="113" t="s">
        <v>14</v>
      </c>
      <c r="U301" s="113" t="s">
        <v>10</v>
      </c>
      <c r="V301" s="167" t="str">
        <f t="shared" si="106"/>
        <v>50%</v>
      </c>
      <c r="W301" s="113" t="s">
        <v>19</v>
      </c>
      <c r="X301" s="113" t="s">
        <v>22</v>
      </c>
      <c r="Y301" s="113" t="s">
        <v>117</v>
      </c>
      <c r="Z301" s="165">
        <f t="shared" si="128"/>
        <v>0.3</v>
      </c>
      <c r="AA301" s="166" t="str">
        <f t="shared" si="123"/>
        <v>Baja</v>
      </c>
      <c r="AB301" s="167">
        <f t="shared" si="124"/>
        <v>0.3</v>
      </c>
      <c r="AC301" s="166" t="str">
        <f t="shared" si="125"/>
        <v>Menor</v>
      </c>
      <c r="AD301" s="167">
        <f t="shared" si="127"/>
        <v>0.4</v>
      </c>
      <c r="AE301" s="168" t="str">
        <f t="shared" si="126"/>
        <v>Moderado</v>
      </c>
      <c r="AF301" s="113" t="s">
        <v>31</v>
      </c>
      <c r="AG301" s="191"/>
      <c r="AH301" s="192"/>
      <c r="AI301" s="114"/>
      <c r="AJ301" s="114"/>
      <c r="AK301" s="191"/>
      <c r="AL301" s="192"/>
      <c r="AM301" s="155"/>
      <c r="AN301" s="155"/>
      <c r="AO301" s="155"/>
      <c r="AP301" s="155"/>
      <c r="AQ301" s="155"/>
      <c r="AR301" s="155"/>
      <c r="AS301" s="155"/>
      <c r="AT301" s="155"/>
      <c r="AU301" s="155"/>
      <c r="AV301" s="155"/>
      <c r="AW301" s="155"/>
      <c r="AX301" s="155"/>
      <c r="AY301" s="155"/>
      <c r="AZ301" s="155"/>
      <c r="BA301" s="155"/>
      <c r="BB301" s="155"/>
      <c r="BC301" s="155"/>
      <c r="BD301" s="155"/>
      <c r="BE301" s="155"/>
      <c r="BF301" s="155"/>
      <c r="BG301" s="155"/>
      <c r="BH301" s="155"/>
      <c r="BI301" s="155"/>
      <c r="BJ301" s="155"/>
      <c r="BK301" s="155"/>
      <c r="BL301" s="155"/>
      <c r="BM301" s="155"/>
      <c r="BN301" s="155"/>
      <c r="BO301" s="155"/>
      <c r="BP301" s="155"/>
      <c r="BQ301" s="155"/>
      <c r="BR301" s="155"/>
    </row>
    <row r="302" spans="1:70" s="156" customFormat="1" ht="101.25" customHeight="1" x14ac:dyDescent="0.25">
      <c r="A302" s="266"/>
      <c r="B302" s="294"/>
      <c r="C302" s="294"/>
      <c r="D302" s="270"/>
      <c r="E302" s="270"/>
      <c r="F302" s="270"/>
      <c r="G302" s="362"/>
      <c r="H302" s="270"/>
      <c r="I302" s="281"/>
      <c r="J302" s="275"/>
      <c r="K302" s="277"/>
      <c r="L302" s="273"/>
      <c r="M302" s="277">
        <f ca="1">IF(NOT(ISERROR(MATCH(L302,_xlfn.ANCHORARRAY(G313),0))),K315&amp;"Por favor no seleccionar los criterios de impacto",L302)</f>
        <v>0</v>
      </c>
      <c r="N302" s="275"/>
      <c r="O302" s="277"/>
      <c r="P302" s="279"/>
      <c r="Q302" s="201">
        <v>2</v>
      </c>
      <c r="R302" s="112" t="s">
        <v>725</v>
      </c>
      <c r="S302" s="201" t="str">
        <f t="shared" si="122"/>
        <v>Probabilidad</v>
      </c>
      <c r="T302" s="113" t="s">
        <v>14</v>
      </c>
      <c r="U302" s="113" t="s">
        <v>10</v>
      </c>
      <c r="V302" s="167" t="str">
        <f t="shared" si="106"/>
        <v>50%</v>
      </c>
      <c r="W302" s="113" t="s">
        <v>19</v>
      </c>
      <c r="X302" s="113" t="s">
        <v>22</v>
      </c>
      <c r="Y302" s="113" t="s">
        <v>117</v>
      </c>
      <c r="Z302" s="165">
        <f>IFERROR(IF(S302="Probabilidad",(K301-(+K301*V302)),IF(S302="Impacto",K301,"")),"")</f>
        <v>0.3</v>
      </c>
      <c r="AA302" s="166" t="str">
        <f t="shared" si="123"/>
        <v>Baja</v>
      </c>
      <c r="AB302" s="167">
        <f t="shared" si="124"/>
        <v>0.3</v>
      </c>
      <c r="AC302" s="166" t="str">
        <f t="shared" si="125"/>
        <v>Menor</v>
      </c>
      <c r="AD302" s="167">
        <f>IFERROR(IF(S302="Impacto",(O301-(+O301*V302)),IF(S302="Probabilidad",O301,"")),"")</f>
        <v>0.4</v>
      </c>
      <c r="AE302" s="168" t="str">
        <f t="shared" si="126"/>
        <v>Moderado</v>
      </c>
      <c r="AF302" s="113" t="s">
        <v>31</v>
      </c>
      <c r="AG302" s="191"/>
      <c r="AH302" s="192"/>
      <c r="AI302" s="114"/>
      <c r="AJ302" s="114"/>
      <c r="AK302" s="191"/>
      <c r="AL302" s="192"/>
      <c r="AM302" s="155"/>
      <c r="AN302" s="155"/>
      <c r="AO302" s="155"/>
      <c r="AP302" s="155"/>
      <c r="AQ302" s="155"/>
      <c r="AR302" s="155"/>
      <c r="AS302" s="155"/>
      <c r="AT302" s="155"/>
      <c r="AU302" s="155"/>
      <c r="AV302" s="155"/>
      <c r="AW302" s="155"/>
      <c r="AX302" s="155"/>
      <c r="AY302" s="155"/>
      <c r="AZ302" s="155"/>
      <c r="BA302" s="155"/>
      <c r="BB302" s="155"/>
      <c r="BC302" s="155"/>
      <c r="BD302" s="155"/>
      <c r="BE302" s="155"/>
      <c r="BF302" s="155"/>
      <c r="BG302" s="155"/>
      <c r="BH302" s="155"/>
      <c r="BI302" s="155"/>
      <c r="BJ302" s="155"/>
      <c r="BK302" s="155"/>
      <c r="BL302" s="155"/>
      <c r="BM302" s="155"/>
      <c r="BN302" s="155"/>
      <c r="BO302" s="155"/>
      <c r="BP302" s="155"/>
      <c r="BQ302" s="155"/>
      <c r="BR302" s="155"/>
    </row>
    <row r="303" spans="1:70" s="156" customFormat="1" ht="101.25" customHeight="1" x14ac:dyDescent="0.25">
      <c r="A303" s="266"/>
      <c r="B303" s="294"/>
      <c r="C303" s="294"/>
      <c r="D303" s="270"/>
      <c r="E303" s="270"/>
      <c r="F303" s="270"/>
      <c r="G303" s="362"/>
      <c r="H303" s="270"/>
      <c r="I303" s="281"/>
      <c r="J303" s="275"/>
      <c r="K303" s="277"/>
      <c r="L303" s="273"/>
      <c r="M303" s="277">
        <f ca="1">IF(NOT(ISERROR(MATCH(L303,_xlfn.ANCHORARRAY(G314),0))),K316&amp;"Por favor no seleccionar los criterios de impacto",L303)</f>
        <v>0</v>
      </c>
      <c r="N303" s="275"/>
      <c r="O303" s="277"/>
      <c r="P303" s="279"/>
      <c r="Q303" s="201">
        <v>3</v>
      </c>
      <c r="R303" s="112" t="s">
        <v>726</v>
      </c>
      <c r="S303" s="201" t="str">
        <f t="shared" si="122"/>
        <v>Probabilidad</v>
      </c>
      <c r="T303" s="113" t="s">
        <v>14</v>
      </c>
      <c r="U303" s="113" t="s">
        <v>9</v>
      </c>
      <c r="V303" s="167" t="str">
        <f t="shared" si="106"/>
        <v>40%</v>
      </c>
      <c r="W303" s="113" t="s">
        <v>19</v>
      </c>
      <c r="X303" s="113" t="s">
        <v>22</v>
      </c>
      <c r="Y303" s="113" t="s">
        <v>117</v>
      </c>
      <c r="Z303" s="165">
        <f>IFERROR(IF(S303="Probabilidad",(K301-(+K301*V303)),IF(S303="Impacto",K301,"")),"")</f>
        <v>0.36</v>
      </c>
      <c r="AA303" s="166" t="str">
        <f t="shared" si="123"/>
        <v>Baja</v>
      </c>
      <c r="AB303" s="167">
        <f t="shared" si="124"/>
        <v>0.36</v>
      </c>
      <c r="AC303" s="166" t="str">
        <f t="shared" si="125"/>
        <v>Menor</v>
      </c>
      <c r="AD303" s="167">
        <f>IFERROR(IF(S303="Impacto",(O301-(+O301*V303)),IF(S303="Probabilidad",O301,"")),"")</f>
        <v>0.4</v>
      </c>
      <c r="AE303" s="168" t="str">
        <f t="shared" si="126"/>
        <v>Moderado</v>
      </c>
      <c r="AF303" s="113" t="s">
        <v>31</v>
      </c>
      <c r="AG303" s="191"/>
      <c r="AH303" s="192"/>
      <c r="AI303" s="114"/>
      <c r="AJ303" s="114"/>
      <c r="AK303" s="191"/>
      <c r="AL303" s="192"/>
      <c r="AM303" s="155"/>
      <c r="AN303" s="155"/>
      <c r="AO303" s="155"/>
      <c r="AP303" s="155"/>
      <c r="AQ303" s="155"/>
      <c r="AR303" s="155"/>
      <c r="AS303" s="155"/>
      <c r="AT303" s="155"/>
      <c r="AU303" s="155"/>
      <c r="AV303" s="155"/>
      <c r="AW303" s="155"/>
      <c r="AX303" s="155"/>
      <c r="AY303" s="155"/>
      <c r="AZ303" s="155"/>
      <c r="BA303" s="155"/>
      <c r="BB303" s="155"/>
      <c r="BC303" s="155"/>
      <c r="BD303" s="155"/>
      <c r="BE303" s="155"/>
      <c r="BF303" s="155"/>
      <c r="BG303" s="155"/>
      <c r="BH303" s="155"/>
      <c r="BI303" s="155"/>
      <c r="BJ303" s="155"/>
      <c r="BK303" s="155"/>
      <c r="BL303" s="155"/>
      <c r="BM303" s="155"/>
      <c r="BN303" s="155"/>
      <c r="BO303" s="155"/>
      <c r="BP303" s="155"/>
      <c r="BQ303" s="155"/>
      <c r="BR303" s="155"/>
    </row>
    <row r="304" spans="1:70" s="156" customFormat="1" ht="16.5" hidden="1" customHeight="1" x14ac:dyDescent="0.25">
      <c r="A304" s="266"/>
      <c r="B304" s="268"/>
      <c r="C304" s="268"/>
      <c r="D304" s="271"/>
      <c r="E304" s="271"/>
      <c r="F304" s="271"/>
      <c r="G304" s="363"/>
      <c r="H304" s="271"/>
      <c r="I304" s="266"/>
      <c r="J304" s="276"/>
      <c r="K304" s="278"/>
      <c r="L304" s="274"/>
      <c r="M304" s="278">
        <f ca="1">IF(NOT(ISERROR(MATCH(L304,_xlfn.ANCHORARRAY(G315),0))),K317&amp;"Por favor no seleccionar los criterios de impacto",L304)</f>
        <v>0</v>
      </c>
      <c r="N304" s="276"/>
      <c r="O304" s="278"/>
      <c r="P304" s="280"/>
      <c r="Q304" s="201">
        <v>4</v>
      </c>
      <c r="R304" s="112"/>
      <c r="S304" s="201" t="str">
        <f t="shared" si="122"/>
        <v/>
      </c>
      <c r="T304" s="113"/>
      <c r="U304" s="113"/>
      <c r="V304" s="167" t="str">
        <f t="shared" si="106"/>
        <v/>
      </c>
      <c r="W304" s="113"/>
      <c r="X304" s="113"/>
      <c r="Y304" s="113"/>
      <c r="Z304" s="165" t="str">
        <f>IFERROR(IF(S304="Probabilidad",(K301-(+K301*V304)),IF(S304="Impacto",K301,"")),"")</f>
        <v/>
      </c>
      <c r="AA304" s="166" t="str">
        <f t="shared" si="123"/>
        <v/>
      </c>
      <c r="AB304" s="167" t="str">
        <f t="shared" si="124"/>
        <v/>
      </c>
      <c r="AC304" s="166" t="str">
        <f t="shared" si="125"/>
        <v/>
      </c>
      <c r="AD304" s="167" t="str">
        <f t="shared" si="127"/>
        <v/>
      </c>
      <c r="AE304" s="168" t="str">
        <f t="shared" si="126"/>
        <v/>
      </c>
      <c r="AF304" s="113"/>
      <c r="AG304" s="191"/>
      <c r="AH304" s="192"/>
      <c r="AI304" s="114"/>
      <c r="AJ304" s="114"/>
      <c r="AK304" s="191"/>
      <c r="AL304" s="192"/>
      <c r="AM304" s="155"/>
      <c r="AN304" s="155"/>
      <c r="AO304" s="155"/>
      <c r="AP304" s="155"/>
      <c r="AQ304" s="155"/>
      <c r="AR304" s="155"/>
      <c r="AS304" s="155"/>
      <c r="AT304" s="155"/>
      <c r="AU304" s="155"/>
      <c r="AV304" s="155"/>
      <c r="AW304" s="155"/>
      <c r="AX304" s="155"/>
      <c r="AY304" s="155"/>
      <c r="AZ304" s="155"/>
      <c r="BA304" s="155"/>
      <c r="BB304" s="155"/>
      <c r="BC304" s="155"/>
      <c r="BD304" s="155"/>
      <c r="BE304" s="155"/>
      <c r="BF304" s="155"/>
      <c r="BG304" s="155"/>
      <c r="BH304" s="155"/>
      <c r="BI304" s="155"/>
      <c r="BJ304" s="155"/>
      <c r="BK304" s="155"/>
      <c r="BL304" s="155"/>
      <c r="BM304" s="155"/>
      <c r="BN304" s="155"/>
      <c r="BO304" s="155"/>
      <c r="BP304" s="155"/>
      <c r="BQ304" s="155"/>
      <c r="BR304" s="155"/>
    </row>
    <row r="305" spans="1:70" s="156" customFormat="1" ht="16.5" hidden="1" customHeight="1" x14ac:dyDescent="0.25">
      <c r="A305" s="266"/>
      <c r="B305" s="268"/>
      <c r="C305" s="268"/>
      <c r="D305" s="271"/>
      <c r="E305" s="271"/>
      <c r="F305" s="271"/>
      <c r="G305" s="363"/>
      <c r="H305" s="271"/>
      <c r="I305" s="266"/>
      <c r="J305" s="276"/>
      <c r="K305" s="278"/>
      <c r="L305" s="274"/>
      <c r="M305" s="278">
        <f ca="1">IF(NOT(ISERROR(MATCH(L305,_xlfn.ANCHORARRAY(G316),0))),K318&amp;"Por favor no seleccionar los criterios de impacto",L305)</f>
        <v>0</v>
      </c>
      <c r="N305" s="276"/>
      <c r="O305" s="278"/>
      <c r="P305" s="280"/>
      <c r="Q305" s="201">
        <v>5</v>
      </c>
      <c r="R305" s="112"/>
      <c r="S305" s="201" t="str">
        <f t="shared" si="122"/>
        <v/>
      </c>
      <c r="T305" s="113"/>
      <c r="U305" s="113"/>
      <c r="V305" s="167" t="str">
        <f t="shared" si="106"/>
        <v/>
      </c>
      <c r="W305" s="113"/>
      <c r="X305" s="113"/>
      <c r="Y305" s="113"/>
      <c r="Z305" s="165" t="str">
        <f>IFERROR(IF(S305="Probabilidad",(K301-(+K301*V305)),IF(S305="Impacto",K301,"")),"")</f>
        <v/>
      </c>
      <c r="AA305" s="166" t="str">
        <f t="shared" si="123"/>
        <v/>
      </c>
      <c r="AB305" s="167" t="str">
        <f t="shared" si="124"/>
        <v/>
      </c>
      <c r="AC305" s="166" t="str">
        <f t="shared" si="125"/>
        <v/>
      </c>
      <c r="AD305" s="167" t="str">
        <f t="shared" si="127"/>
        <v/>
      </c>
      <c r="AE305" s="168" t="str">
        <f t="shared" si="126"/>
        <v/>
      </c>
      <c r="AF305" s="113"/>
      <c r="AG305" s="191"/>
      <c r="AH305" s="192"/>
      <c r="AI305" s="114"/>
      <c r="AJ305" s="114"/>
      <c r="AK305" s="191"/>
      <c r="AL305" s="192"/>
      <c r="AM305" s="155"/>
      <c r="AN305" s="155"/>
      <c r="AO305" s="155"/>
      <c r="AP305" s="155"/>
      <c r="AQ305" s="155"/>
      <c r="AR305" s="155"/>
      <c r="AS305" s="155"/>
      <c r="AT305" s="155"/>
      <c r="AU305" s="155"/>
      <c r="AV305" s="155"/>
      <c r="AW305" s="155"/>
      <c r="AX305" s="155"/>
      <c r="AY305" s="155"/>
      <c r="AZ305" s="155"/>
      <c r="BA305" s="155"/>
      <c r="BB305" s="155"/>
      <c r="BC305" s="155"/>
      <c r="BD305" s="155"/>
      <c r="BE305" s="155"/>
      <c r="BF305" s="155"/>
      <c r="BG305" s="155"/>
      <c r="BH305" s="155"/>
      <c r="BI305" s="155"/>
      <c r="BJ305" s="155"/>
      <c r="BK305" s="155"/>
      <c r="BL305" s="155"/>
      <c r="BM305" s="155"/>
      <c r="BN305" s="155"/>
      <c r="BO305" s="155"/>
      <c r="BP305" s="155"/>
      <c r="BQ305" s="155"/>
      <c r="BR305" s="155"/>
    </row>
    <row r="306" spans="1:70" s="156" customFormat="1" ht="16.5" hidden="1" customHeight="1" x14ac:dyDescent="0.25">
      <c r="A306" s="266"/>
      <c r="B306" s="269"/>
      <c r="C306" s="269"/>
      <c r="D306" s="271"/>
      <c r="E306" s="271"/>
      <c r="F306" s="271"/>
      <c r="G306" s="363"/>
      <c r="H306" s="271"/>
      <c r="I306" s="266"/>
      <c r="J306" s="276"/>
      <c r="K306" s="278"/>
      <c r="L306" s="274"/>
      <c r="M306" s="278">
        <f ca="1">IF(NOT(ISERROR(MATCH(L306,_xlfn.ANCHORARRAY(G317),0))),K319&amp;"Por favor no seleccionar los criterios de impacto",L306)</f>
        <v>0</v>
      </c>
      <c r="N306" s="276"/>
      <c r="O306" s="278"/>
      <c r="P306" s="280"/>
      <c r="Q306" s="201">
        <v>6</v>
      </c>
      <c r="R306" s="112"/>
      <c r="S306" s="201" t="str">
        <f t="shared" si="122"/>
        <v/>
      </c>
      <c r="T306" s="113"/>
      <c r="U306" s="113"/>
      <c r="V306" s="167" t="str">
        <f t="shared" si="106"/>
        <v/>
      </c>
      <c r="W306" s="113"/>
      <c r="X306" s="113"/>
      <c r="Y306" s="113"/>
      <c r="Z306" s="165" t="str">
        <f>IFERROR(IF(S306="Probabilidad",(K301-(+K301*V306)),IF(S306="Impacto",K301,"")),"")</f>
        <v/>
      </c>
      <c r="AA306" s="166" t="str">
        <f t="shared" si="123"/>
        <v/>
      </c>
      <c r="AB306" s="167" t="str">
        <f t="shared" si="124"/>
        <v/>
      </c>
      <c r="AC306" s="166" t="str">
        <f t="shared" si="125"/>
        <v/>
      </c>
      <c r="AD306" s="167" t="str">
        <f t="shared" si="127"/>
        <v/>
      </c>
      <c r="AE306" s="168" t="str">
        <f t="shared" si="126"/>
        <v/>
      </c>
      <c r="AF306" s="113"/>
      <c r="AG306" s="191"/>
      <c r="AH306" s="192"/>
      <c r="AI306" s="114"/>
      <c r="AJ306" s="114"/>
      <c r="AK306" s="191"/>
      <c r="AL306" s="192"/>
      <c r="AM306" s="155"/>
      <c r="AN306" s="155"/>
      <c r="AO306" s="155"/>
      <c r="AP306" s="155"/>
      <c r="AQ306" s="155"/>
      <c r="AR306" s="155"/>
      <c r="AS306" s="155"/>
      <c r="AT306" s="155"/>
      <c r="AU306" s="155"/>
      <c r="AV306" s="155"/>
      <c r="AW306" s="155"/>
      <c r="AX306" s="155"/>
      <c r="AY306" s="155"/>
      <c r="AZ306" s="155"/>
      <c r="BA306" s="155"/>
      <c r="BB306" s="155"/>
      <c r="BC306" s="155"/>
      <c r="BD306" s="155"/>
      <c r="BE306" s="155"/>
      <c r="BF306" s="155"/>
      <c r="BG306" s="155"/>
      <c r="BH306" s="155"/>
      <c r="BI306" s="155"/>
      <c r="BJ306" s="155"/>
      <c r="BK306" s="155"/>
      <c r="BL306" s="155"/>
      <c r="BM306" s="155"/>
      <c r="BN306" s="155"/>
      <c r="BO306" s="155"/>
      <c r="BP306" s="155"/>
      <c r="BQ306" s="155"/>
      <c r="BR306" s="155"/>
    </row>
    <row r="307" spans="1:70" s="156" customFormat="1" ht="64.5" x14ac:dyDescent="0.25">
      <c r="A307" s="266">
        <v>50</v>
      </c>
      <c r="B307" s="267" t="s">
        <v>216</v>
      </c>
      <c r="C307" s="267" t="s">
        <v>710</v>
      </c>
      <c r="D307" s="270" t="s">
        <v>132</v>
      </c>
      <c r="E307" s="270" t="s">
        <v>711</v>
      </c>
      <c r="F307" s="270" t="s">
        <v>712</v>
      </c>
      <c r="G307" s="362" t="s">
        <v>713</v>
      </c>
      <c r="H307" s="270" t="s">
        <v>437</v>
      </c>
      <c r="I307" s="281">
        <v>160</v>
      </c>
      <c r="J307" s="275" t="str">
        <f>IF(I307&lt;=0,"",IF(I307&lt;=2,"Muy Baja",IF(I307&lt;=24,"Baja",IF(I307&lt;=500,"Media",IF(I307&lt;=5000,"Alta","Muy Alta")))))</f>
        <v>Media</v>
      </c>
      <c r="K307" s="277">
        <f>IF(J307="","",IF(J307="Muy Baja",0.2,IF(J307="Baja",0.4,IF(J307="Media",0.6,IF(J307="Alta",0.8,IF(J307="Muy Alta",1,))))))</f>
        <v>0.6</v>
      </c>
      <c r="L307" s="273" t="s">
        <v>96</v>
      </c>
      <c r="M307" s="277" t="str">
        <f>IF(NOT(ISERROR(MATCH(L307,'[9]Tabla Impacto'!$B$221:$B$223,0))),'[9]Tabla Impacto'!$F$223&amp;"Por favor no seleccionar los criterios de impacto(Afectación Económica o presupuestal y Pérdida Reputacional)",L307)</f>
        <v>El riesgo afecta la imagen de la entidad internamente, de conocimiento general, nivel interno, de junta dircetiva y accionistas y/o de provedores</v>
      </c>
      <c r="N307" s="275" t="str">
        <f>+IF(OR(M307='[9]Tabla Impacto'!$C$11,M307='[9]Tabla Impacto'!$D$11),"Leve",IF(OR(M307='[9]Tabla Impacto'!$C$12,M307='[9]Tabla Impacto'!$D$12),"Menor",IF(OR(M307='[9]Tabla Impacto'!$C$13,M307='[9]Tabla Impacto'!$D$13),"Moderado",IF(OR(M307='[9]Tabla Impacto'!$C$14,M307='[9]Tabla Impacto'!$D$14),"Mayor",IF(OR(M307='[9]Tabla Impacto'!$C$15,M307='[9]Tabla Impacto'!$D$15),"Catastrófico","")))))</f>
        <v>Menor</v>
      </c>
      <c r="O307" s="277">
        <f>IF(N307="","",IF(N307="Leve",0.2,IF(N307="Menor",0.4,IF(N307="Moderado",0.6,IF(N307="Mayor",0.8,IF(N307="Catastrófico",1,))))))</f>
        <v>0.4</v>
      </c>
      <c r="P307" s="279" t="str">
        <f>IF(OR(AND(J307="Muy Baja",N307="Leve"),AND(J307="Muy Baja",N307="Menor"),AND(J307="Baja",N307="Leve")),"Bajo",IF(OR(AND(J307="Muy baja",N307="Moderado"),AND(J307="Baja",N307="Menor"),AND(J307="Baja",N307="Moderado"),AND(J307="Media",N307="Leve"),AND(J307="Media",N307="Menor"),AND(J307="Media",N307="Moderado"),AND(J307="Alta",N307="Leve"),AND(J307="Alta",N307="Menor")),"Moderado",IF(OR(AND(J307="Muy Baja",N307="Mayor"),AND(J307="Baja",N307="Mayor"),AND(J307="Media",N307="Mayor"),AND(J307="Alta",N307="Moderado"),AND(J307="Alta",N307="Mayor"),AND(J307="Muy Alta",N307="Leve"),AND(J307="Muy Alta",N307="Menor"),AND(J307="Muy Alta",N307="Moderado"),AND(J307="Muy Alta",N307="Mayor")),"Alto",IF(OR(AND(J307="Muy Baja",N307="Catastrófico"),AND(J307="Baja",N307="Catastrófico"),AND(J307="Media",N307="Catastrófico"),AND(J307="Alta",N307="Catastrófico"),AND(J307="Muy Alta",N307="Catastrófico")),"Extremo",""))))</f>
        <v>Moderado</v>
      </c>
      <c r="Q307" s="201">
        <v>1</v>
      </c>
      <c r="R307" s="112" t="s">
        <v>727</v>
      </c>
      <c r="S307" s="201" t="str">
        <f t="shared" si="122"/>
        <v>Probabilidad</v>
      </c>
      <c r="T307" s="113" t="s">
        <v>15</v>
      </c>
      <c r="U307" s="113" t="s">
        <v>9</v>
      </c>
      <c r="V307" s="167" t="str">
        <f t="shared" si="106"/>
        <v>30%</v>
      </c>
      <c r="W307" s="113" t="s">
        <v>19</v>
      </c>
      <c r="X307" s="113" t="s">
        <v>22</v>
      </c>
      <c r="Y307" s="113" t="s">
        <v>117</v>
      </c>
      <c r="Z307" s="165">
        <f t="shared" si="128"/>
        <v>0.42</v>
      </c>
      <c r="AA307" s="166" t="str">
        <f t="shared" si="123"/>
        <v>Media</v>
      </c>
      <c r="AB307" s="167">
        <f t="shared" si="124"/>
        <v>0.42</v>
      </c>
      <c r="AC307" s="166" t="str">
        <f t="shared" si="125"/>
        <v>Menor</v>
      </c>
      <c r="AD307" s="167">
        <f t="shared" si="127"/>
        <v>0.4</v>
      </c>
      <c r="AE307" s="168" t="str">
        <f t="shared" si="126"/>
        <v>Moderado</v>
      </c>
      <c r="AF307" s="113" t="s">
        <v>31</v>
      </c>
      <c r="AG307" s="191"/>
      <c r="AH307" s="192"/>
      <c r="AI307" s="114"/>
      <c r="AJ307" s="114"/>
      <c r="AK307" s="191"/>
      <c r="AL307" s="192"/>
      <c r="AM307" s="155"/>
      <c r="AN307" s="155"/>
      <c r="AO307" s="155"/>
      <c r="AP307" s="155"/>
      <c r="AQ307" s="155"/>
      <c r="AR307" s="155"/>
      <c r="AS307" s="155"/>
      <c r="AT307" s="155"/>
      <c r="AU307" s="155"/>
      <c r="AV307" s="155"/>
      <c r="AW307" s="155"/>
      <c r="AX307" s="155"/>
      <c r="AY307" s="155"/>
      <c r="AZ307" s="155"/>
      <c r="BA307" s="155"/>
      <c r="BB307" s="155"/>
      <c r="BC307" s="155"/>
      <c r="BD307" s="155"/>
      <c r="BE307" s="155"/>
      <c r="BF307" s="155"/>
      <c r="BG307" s="155"/>
      <c r="BH307" s="155"/>
      <c r="BI307" s="155"/>
      <c r="BJ307" s="155"/>
      <c r="BK307" s="155"/>
      <c r="BL307" s="155"/>
      <c r="BM307" s="155"/>
      <c r="BN307" s="155"/>
      <c r="BO307" s="155"/>
      <c r="BP307" s="155"/>
      <c r="BQ307" s="155"/>
      <c r="BR307" s="155"/>
    </row>
    <row r="308" spans="1:70" s="156" customFormat="1" ht="64.5" x14ac:dyDescent="0.25">
      <c r="A308" s="266"/>
      <c r="B308" s="294"/>
      <c r="C308" s="294"/>
      <c r="D308" s="270"/>
      <c r="E308" s="270"/>
      <c r="F308" s="270"/>
      <c r="G308" s="362"/>
      <c r="H308" s="270"/>
      <c r="I308" s="281"/>
      <c r="J308" s="275"/>
      <c r="K308" s="277"/>
      <c r="L308" s="273"/>
      <c r="M308" s="277">
        <f ca="1">IF(NOT(ISERROR(MATCH(L308,_xlfn.ANCHORARRAY(G319),0))),K321&amp;"Por favor no seleccionar los criterios de impacto",L308)</f>
        <v>0</v>
      </c>
      <c r="N308" s="275"/>
      <c r="O308" s="277"/>
      <c r="P308" s="279"/>
      <c r="Q308" s="201">
        <v>2</v>
      </c>
      <c r="R308" s="112" t="s">
        <v>728</v>
      </c>
      <c r="S308" s="201" t="str">
        <f t="shared" si="122"/>
        <v>Probabilidad</v>
      </c>
      <c r="T308" s="113" t="s">
        <v>14</v>
      </c>
      <c r="U308" s="113" t="s">
        <v>9</v>
      </c>
      <c r="V308" s="167" t="str">
        <f t="shared" ref="V308:V371" si="129">IF(AND(T308="Preventivo",U308="Automático"),"50%",IF(AND(T308="Preventivo",U308="Manual"),"40%",IF(AND(T308="Detectivo",U308="Automático"),"40%",IF(AND(T308="Detectivo",U308="Manual"),"30%",IF(AND(T308="Correctivo",U308="Automático"),"35%",IF(AND(T308="Correctivo",U308="Manual"),"25%",""))))))</f>
        <v>40%</v>
      </c>
      <c r="W308" s="113" t="s">
        <v>19</v>
      </c>
      <c r="X308" s="113" t="s">
        <v>22</v>
      </c>
      <c r="Y308" s="113" t="s">
        <v>117</v>
      </c>
      <c r="Z308" s="165">
        <f>IFERROR(IF(S308="Probabilidad",(K307-(+K307*V308)),IF(S308="Impacto",K307,"")),"")</f>
        <v>0.36</v>
      </c>
      <c r="AA308" s="166" t="str">
        <f t="shared" si="123"/>
        <v>Baja</v>
      </c>
      <c r="AB308" s="167">
        <f t="shared" si="124"/>
        <v>0.36</v>
      </c>
      <c r="AC308" s="166" t="str">
        <f t="shared" si="125"/>
        <v>Menor</v>
      </c>
      <c r="AD308" s="167">
        <f>IFERROR(IF(S308="Impacto",(O307-(+O307*V308)),IF(S308="Probabilidad",O307,"")),"")</f>
        <v>0.4</v>
      </c>
      <c r="AE308" s="168" t="str">
        <f t="shared" si="126"/>
        <v>Moderado</v>
      </c>
      <c r="AF308" s="113" t="s">
        <v>31</v>
      </c>
      <c r="AG308" s="191"/>
      <c r="AH308" s="192"/>
      <c r="AI308" s="114"/>
      <c r="AJ308" s="114"/>
      <c r="AK308" s="191"/>
      <c r="AL308" s="192"/>
      <c r="AM308" s="155"/>
      <c r="AN308" s="155"/>
      <c r="AO308" s="155"/>
      <c r="AP308" s="155"/>
      <c r="AQ308" s="155"/>
      <c r="AR308" s="155"/>
      <c r="AS308" s="155"/>
      <c r="AT308" s="155"/>
      <c r="AU308" s="155"/>
      <c r="AV308" s="155"/>
      <c r="AW308" s="155"/>
      <c r="AX308" s="155"/>
      <c r="AY308" s="155"/>
      <c r="AZ308" s="155"/>
      <c r="BA308" s="155"/>
      <c r="BB308" s="155"/>
      <c r="BC308" s="155"/>
      <c r="BD308" s="155"/>
      <c r="BE308" s="155"/>
      <c r="BF308" s="155"/>
      <c r="BG308" s="155"/>
      <c r="BH308" s="155"/>
      <c r="BI308" s="155"/>
      <c r="BJ308" s="155"/>
      <c r="BK308" s="155"/>
      <c r="BL308" s="155"/>
      <c r="BM308" s="155"/>
      <c r="BN308" s="155"/>
      <c r="BO308" s="155"/>
      <c r="BP308" s="155"/>
      <c r="BQ308" s="155"/>
      <c r="BR308" s="155"/>
    </row>
    <row r="309" spans="1:70" s="156" customFormat="1" ht="64.5" x14ac:dyDescent="0.25">
      <c r="A309" s="266"/>
      <c r="B309" s="294"/>
      <c r="C309" s="294"/>
      <c r="D309" s="270"/>
      <c r="E309" s="270"/>
      <c r="F309" s="270"/>
      <c r="G309" s="362"/>
      <c r="H309" s="270"/>
      <c r="I309" s="281"/>
      <c r="J309" s="275"/>
      <c r="K309" s="277"/>
      <c r="L309" s="273"/>
      <c r="M309" s="277">
        <f ca="1">IF(NOT(ISERROR(MATCH(L309,_xlfn.ANCHORARRAY(G320),0))),K322&amp;"Por favor no seleccionar los criterios de impacto",L309)</f>
        <v>0</v>
      </c>
      <c r="N309" s="275"/>
      <c r="O309" s="277"/>
      <c r="P309" s="279"/>
      <c r="Q309" s="201">
        <v>3</v>
      </c>
      <c r="R309" s="112" t="s">
        <v>729</v>
      </c>
      <c r="S309" s="201" t="str">
        <f t="shared" si="122"/>
        <v>Probabilidad</v>
      </c>
      <c r="T309" s="113" t="s">
        <v>14</v>
      </c>
      <c r="U309" s="113" t="s">
        <v>9</v>
      </c>
      <c r="V309" s="167" t="str">
        <f t="shared" si="129"/>
        <v>40%</v>
      </c>
      <c r="W309" s="113" t="s">
        <v>19</v>
      </c>
      <c r="X309" s="113" t="s">
        <v>22</v>
      </c>
      <c r="Y309" s="113" t="s">
        <v>117</v>
      </c>
      <c r="Z309" s="165">
        <f>IFERROR(IF(S309="Probabilidad",(K307-(+K307*V309)),IF(S309="Impacto",K307,"")),"")</f>
        <v>0.36</v>
      </c>
      <c r="AA309" s="166" t="str">
        <f t="shared" si="123"/>
        <v>Baja</v>
      </c>
      <c r="AB309" s="167">
        <f t="shared" si="124"/>
        <v>0.36</v>
      </c>
      <c r="AC309" s="166" t="str">
        <f t="shared" si="125"/>
        <v>Menor</v>
      </c>
      <c r="AD309" s="167">
        <f>IFERROR(IF(S309="Impacto",(O307-(+O307*V309)),IF(S309="Probabilidad",O307,"")),"")</f>
        <v>0.4</v>
      </c>
      <c r="AE309" s="168" t="str">
        <f t="shared" si="126"/>
        <v>Moderado</v>
      </c>
      <c r="AF309" s="113" t="s">
        <v>31</v>
      </c>
      <c r="AG309" s="191"/>
      <c r="AH309" s="192"/>
      <c r="AI309" s="114"/>
      <c r="AJ309" s="114"/>
      <c r="AK309" s="191"/>
      <c r="AL309" s="192"/>
      <c r="AM309" s="155"/>
      <c r="AN309" s="155"/>
      <c r="AO309" s="155"/>
      <c r="AP309" s="155"/>
      <c r="AQ309" s="155"/>
      <c r="AR309" s="155"/>
      <c r="AS309" s="155"/>
      <c r="AT309" s="155"/>
      <c r="AU309" s="155"/>
      <c r="AV309" s="155"/>
      <c r="AW309" s="155"/>
      <c r="AX309" s="155"/>
      <c r="AY309" s="155"/>
      <c r="AZ309" s="155"/>
      <c r="BA309" s="155"/>
      <c r="BB309" s="155"/>
      <c r="BC309" s="155"/>
      <c r="BD309" s="155"/>
      <c r="BE309" s="155"/>
      <c r="BF309" s="155"/>
      <c r="BG309" s="155"/>
      <c r="BH309" s="155"/>
      <c r="BI309" s="155"/>
      <c r="BJ309" s="155"/>
      <c r="BK309" s="155"/>
      <c r="BL309" s="155"/>
      <c r="BM309" s="155"/>
      <c r="BN309" s="155"/>
      <c r="BO309" s="155"/>
      <c r="BP309" s="155"/>
      <c r="BQ309" s="155"/>
      <c r="BR309" s="155"/>
    </row>
    <row r="310" spans="1:70" s="156" customFormat="1" ht="64.5" x14ac:dyDescent="0.25">
      <c r="A310" s="266"/>
      <c r="B310" s="294"/>
      <c r="C310" s="294"/>
      <c r="D310" s="270"/>
      <c r="E310" s="270"/>
      <c r="F310" s="270"/>
      <c r="G310" s="362"/>
      <c r="H310" s="270"/>
      <c r="I310" s="281"/>
      <c r="J310" s="275"/>
      <c r="K310" s="277"/>
      <c r="L310" s="273"/>
      <c r="M310" s="277">
        <f ca="1">IF(NOT(ISERROR(MATCH(L310,_xlfn.ANCHORARRAY(G321),0))),K323&amp;"Por favor no seleccionar los criterios de impacto",L310)</f>
        <v>0</v>
      </c>
      <c r="N310" s="275"/>
      <c r="O310" s="277"/>
      <c r="P310" s="279"/>
      <c r="Q310" s="201">
        <v>4</v>
      </c>
      <c r="R310" s="112" t="s">
        <v>730</v>
      </c>
      <c r="S310" s="201" t="str">
        <f t="shared" si="122"/>
        <v>Probabilidad</v>
      </c>
      <c r="T310" s="113" t="s">
        <v>15</v>
      </c>
      <c r="U310" s="113" t="s">
        <v>9</v>
      </c>
      <c r="V310" s="167" t="str">
        <f t="shared" si="129"/>
        <v>30%</v>
      </c>
      <c r="W310" s="113" t="s">
        <v>19</v>
      </c>
      <c r="X310" s="113" t="s">
        <v>22</v>
      </c>
      <c r="Y310" s="113" t="s">
        <v>117</v>
      </c>
      <c r="Z310" s="165">
        <f>IFERROR(IF(S310="Probabilidad",(K307-(+K307*V310)),IF(S310="Impacto",K307,"")),"")</f>
        <v>0.42</v>
      </c>
      <c r="AA310" s="166" t="str">
        <f t="shared" si="123"/>
        <v>Media</v>
      </c>
      <c r="AB310" s="167">
        <f t="shared" si="124"/>
        <v>0.42</v>
      </c>
      <c r="AC310" s="166" t="str">
        <f t="shared" si="125"/>
        <v>Menor</v>
      </c>
      <c r="AD310" s="167">
        <f>IFERROR(IF(S310="Impacto",(O307-(+O307*V310)),IF(S310="Probabilidad",O307,"")),"")</f>
        <v>0.4</v>
      </c>
      <c r="AE310" s="168" t="str">
        <f t="shared" si="126"/>
        <v>Moderado</v>
      </c>
      <c r="AF310" s="113" t="s">
        <v>31</v>
      </c>
      <c r="AG310" s="191"/>
      <c r="AH310" s="192"/>
      <c r="AI310" s="114"/>
      <c r="AJ310" s="114"/>
      <c r="AK310" s="191"/>
      <c r="AL310" s="192"/>
      <c r="AM310" s="155"/>
      <c r="AN310" s="155"/>
      <c r="AO310" s="155"/>
      <c r="AP310" s="155"/>
      <c r="AQ310" s="155"/>
      <c r="AR310" s="155"/>
      <c r="AS310" s="155"/>
      <c r="AT310" s="155"/>
      <c r="AU310" s="155"/>
      <c r="AV310" s="155"/>
      <c r="AW310" s="155"/>
      <c r="AX310" s="155"/>
      <c r="AY310" s="155"/>
      <c r="AZ310" s="155"/>
      <c r="BA310" s="155"/>
      <c r="BB310" s="155"/>
      <c r="BC310" s="155"/>
      <c r="BD310" s="155"/>
      <c r="BE310" s="155"/>
      <c r="BF310" s="155"/>
      <c r="BG310" s="155"/>
      <c r="BH310" s="155"/>
      <c r="BI310" s="155"/>
      <c r="BJ310" s="155"/>
      <c r="BK310" s="155"/>
      <c r="BL310" s="155"/>
      <c r="BM310" s="155"/>
      <c r="BN310" s="155"/>
      <c r="BO310" s="155"/>
      <c r="BP310" s="155"/>
      <c r="BQ310" s="155"/>
      <c r="BR310" s="155"/>
    </row>
    <row r="311" spans="1:70" s="156" customFormat="1" ht="16.5" hidden="1" customHeight="1" x14ac:dyDescent="0.25">
      <c r="A311" s="266"/>
      <c r="B311" s="268"/>
      <c r="C311" s="268"/>
      <c r="D311" s="271"/>
      <c r="E311" s="271"/>
      <c r="F311" s="271"/>
      <c r="G311" s="363"/>
      <c r="H311" s="271"/>
      <c r="I311" s="266"/>
      <c r="J311" s="276"/>
      <c r="K311" s="278"/>
      <c r="L311" s="274"/>
      <c r="M311" s="278">
        <f ca="1">IF(NOT(ISERROR(MATCH(L311,_xlfn.ANCHORARRAY(G322),0))),K324&amp;"Por favor no seleccionar los criterios de impacto",L311)</f>
        <v>0</v>
      </c>
      <c r="N311" s="276"/>
      <c r="O311" s="278"/>
      <c r="P311" s="280"/>
      <c r="Q311" s="201">
        <v>5</v>
      </c>
      <c r="R311" s="112"/>
      <c r="S311" s="201" t="str">
        <f t="shared" si="122"/>
        <v/>
      </c>
      <c r="T311" s="113"/>
      <c r="U311" s="113"/>
      <c r="V311" s="167" t="str">
        <f t="shared" si="129"/>
        <v/>
      </c>
      <c r="W311" s="113"/>
      <c r="X311" s="113"/>
      <c r="Y311" s="113"/>
      <c r="Z311" s="165" t="str">
        <f>IFERROR(IF(S311="Probabilidad",(K307-(+K307*V311)),IF(S311="Impacto",K307,"")),"")</f>
        <v/>
      </c>
      <c r="AA311" s="166" t="str">
        <f t="shared" si="123"/>
        <v/>
      </c>
      <c r="AB311" s="167" t="str">
        <f t="shared" si="124"/>
        <v/>
      </c>
      <c r="AC311" s="166" t="str">
        <f t="shared" si="125"/>
        <v/>
      </c>
      <c r="AD311" s="167" t="str">
        <f t="shared" si="127"/>
        <v/>
      </c>
      <c r="AE311" s="168" t="str">
        <f t="shared" si="126"/>
        <v/>
      </c>
      <c r="AF311" s="113"/>
      <c r="AG311" s="191"/>
      <c r="AH311" s="192"/>
      <c r="AI311" s="114"/>
      <c r="AJ311" s="114"/>
      <c r="AK311" s="191"/>
      <c r="AL311" s="192"/>
      <c r="AM311" s="155"/>
      <c r="AN311" s="155"/>
      <c r="AO311" s="155"/>
      <c r="AP311" s="155"/>
      <c r="AQ311" s="155"/>
      <c r="AR311" s="155"/>
      <c r="AS311" s="155"/>
      <c r="AT311" s="155"/>
      <c r="AU311" s="155"/>
      <c r="AV311" s="155"/>
      <c r="AW311" s="155"/>
      <c r="AX311" s="155"/>
      <c r="AY311" s="155"/>
      <c r="AZ311" s="155"/>
      <c r="BA311" s="155"/>
      <c r="BB311" s="155"/>
      <c r="BC311" s="155"/>
      <c r="BD311" s="155"/>
      <c r="BE311" s="155"/>
      <c r="BF311" s="155"/>
      <c r="BG311" s="155"/>
      <c r="BH311" s="155"/>
      <c r="BI311" s="155"/>
      <c r="BJ311" s="155"/>
      <c r="BK311" s="155"/>
      <c r="BL311" s="155"/>
      <c r="BM311" s="155"/>
      <c r="BN311" s="155"/>
      <c r="BO311" s="155"/>
      <c r="BP311" s="155"/>
      <c r="BQ311" s="155"/>
      <c r="BR311" s="155"/>
    </row>
    <row r="312" spans="1:70" s="156" customFormat="1" ht="16.5" hidden="1" customHeight="1" x14ac:dyDescent="0.25">
      <c r="A312" s="266"/>
      <c r="B312" s="269"/>
      <c r="C312" s="269"/>
      <c r="D312" s="271"/>
      <c r="E312" s="271"/>
      <c r="F312" s="271"/>
      <c r="G312" s="363"/>
      <c r="H312" s="271"/>
      <c r="I312" s="266"/>
      <c r="J312" s="276"/>
      <c r="K312" s="278"/>
      <c r="L312" s="274"/>
      <c r="M312" s="278">
        <f ca="1">IF(NOT(ISERROR(MATCH(L312,_xlfn.ANCHORARRAY(G323),0))),K325&amp;"Por favor no seleccionar los criterios de impacto",L312)</f>
        <v>0</v>
      </c>
      <c r="N312" s="276"/>
      <c r="O312" s="278"/>
      <c r="P312" s="280"/>
      <c r="Q312" s="201">
        <v>6</v>
      </c>
      <c r="R312" s="112"/>
      <c r="S312" s="201" t="str">
        <f t="shared" si="122"/>
        <v/>
      </c>
      <c r="T312" s="113"/>
      <c r="U312" s="113"/>
      <c r="V312" s="167" t="str">
        <f t="shared" si="129"/>
        <v/>
      </c>
      <c r="W312" s="113"/>
      <c r="X312" s="113"/>
      <c r="Y312" s="113"/>
      <c r="Z312" s="165" t="str">
        <f>IFERROR(IF(S312="Probabilidad",(K307-(+K307*V312)),IF(S312="Impacto",K307,"")),"")</f>
        <v/>
      </c>
      <c r="AA312" s="166" t="str">
        <f t="shared" si="123"/>
        <v/>
      </c>
      <c r="AB312" s="167" t="str">
        <f t="shared" si="124"/>
        <v/>
      </c>
      <c r="AC312" s="166" t="str">
        <f t="shared" si="125"/>
        <v/>
      </c>
      <c r="AD312" s="167" t="str">
        <f t="shared" si="127"/>
        <v/>
      </c>
      <c r="AE312" s="168" t="str">
        <f t="shared" si="126"/>
        <v/>
      </c>
      <c r="AF312" s="113"/>
      <c r="AG312" s="191"/>
      <c r="AH312" s="192"/>
      <c r="AI312" s="114"/>
      <c r="AJ312" s="114"/>
      <c r="AK312" s="191"/>
      <c r="AL312" s="192"/>
      <c r="AM312" s="155"/>
      <c r="AN312" s="155"/>
      <c r="AO312" s="155"/>
      <c r="AP312" s="155"/>
      <c r="AQ312" s="155"/>
      <c r="AR312" s="155"/>
      <c r="AS312" s="155"/>
      <c r="AT312" s="155"/>
      <c r="AU312" s="155"/>
      <c r="AV312" s="155"/>
      <c r="AW312" s="155"/>
      <c r="AX312" s="155"/>
      <c r="AY312" s="155"/>
      <c r="AZ312" s="155"/>
      <c r="BA312" s="155"/>
      <c r="BB312" s="155"/>
      <c r="BC312" s="155"/>
      <c r="BD312" s="155"/>
      <c r="BE312" s="155"/>
      <c r="BF312" s="155"/>
      <c r="BG312" s="155"/>
      <c r="BH312" s="155"/>
      <c r="BI312" s="155"/>
      <c r="BJ312" s="155"/>
      <c r="BK312" s="155"/>
      <c r="BL312" s="155"/>
      <c r="BM312" s="155"/>
      <c r="BN312" s="155"/>
      <c r="BO312" s="155"/>
      <c r="BP312" s="155"/>
      <c r="BQ312" s="155"/>
      <c r="BR312" s="155"/>
    </row>
    <row r="313" spans="1:70" s="156" customFormat="1" ht="82.5" customHeight="1" x14ac:dyDescent="0.25">
      <c r="A313" s="266">
        <v>51</v>
      </c>
      <c r="B313" s="267" t="s">
        <v>216</v>
      </c>
      <c r="C313" s="267" t="s">
        <v>714</v>
      </c>
      <c r="D313" s="270" t="s">
        <v>132</v>
      </c>
      <c r="E313" s="270" t="s">
        <v>715</v>
      </c>
      <c r="F313" s="270" t="s">
        <v>716</v>
      </c>
      <c r="G313" s="362" t="s">
        <v>717</v>
      </c>
      <c r="H313" s="270" t="s">
        <v>718</v>
      </c>
      <c r="I313" s="281">
        <v>12</v>
      </c>
      <c r="J313" s="275" t="str">
        <f>IF(I313&lt;=0,"",IF(I313&lt;=2,"Muy Baja",IF(I313&lt;=24,"Baja",IF(I313&lt;=500,"Media",IF(I313&lt;=5000,"Alta","Muy Alta")))))</f>
        <v>Baja</v>
      </c>
      <c r="K313" s="277">
        <f>IF(J313="","",IF(J313="Muy Baja",0.2,IF(J313="Baja",0.4,IF(J313="Media",0.6,IF(J313="Alta",0.8,IF(J313="Muy Alta",1,))))))</f>
        <v>0.4</v>
      </c>
      <c r="L313" s="273" t="s">
        <v>97</v>
      </c>
      <c r="M313" s="277" t="str">
        <f>IF(NOT(ISERROR(MATCH(L313,'[9]Tabla Impacto'!$B$221:$B$223,0))),'[9]Tabla Impacto'!$F$223&amp;"Por favor no seleccionar los criterios de impacto(Afectación Económica o presupuestal y Pérdida Reputacional)",L313)</f>
        <v>El riesgo afecta la imagen de de la entidad con efecto publicitario sostenido a nivel de sector administrativo, nivel departamental o municipal</v>
      </c>
      <c r="N313" s="275" t="str">
        <f>+IF(OR(M313='[9]Tabla Impacto'!$C$11,M313='[9]Tabla Impacto'!$D$11),"Leve",IF(OR(M313='[9]Tabla Impacto'!$C$12,M313='[9]Tabla Impacto'!$D$12),"Menor",IF(OR(M313='[9]Tabla Impacto'!$C$13,M313='[9]Tabla Impacto'!$D$13),"Moderado",IF(OR(M313='[9]Tabla Impacto'!$C$14,M313='[9]Tabla Impacto'!$D$14),"Mayor",IF(OR(M313='[9]Tabla Impacto'!$C$15,M313='[9]Tabla Impacto'!$D$15),"Catastrófico","")))))</f>
        <v>Mayor</v>
      </c>
      <c r="O313" s="277">
        <f>IF(N313="","",IF(N313="Leve",0.2,IF(N313="Menor",0.4,IF(N313="Moderado",0.6,IF(N313="Mayor",0.8,IF(N313="Catastrófico",1,))))))</f>
        <v>0.8</v>
      </c>
      <c r="P313" s="279" t="str">
        <f>IF(OR(AND(J313="Muy Baja",N313="Leve"),AND(J313="Muy Baja",N313="Menor"),AND(J313="Baja",N313="Leve")),"Bajo",IF(OR(AND(J313="Muy baja",N313="Moderado"),AND(J313="Baja",N313="Menor"),AND(J313="Baja",N313="Moderado"),AND(J313="Media",N313="Leve"),AND(J313="Media",N313="Menor"),AND(J313="Media",N313="Moderado"),AND(J313="Alta",N313="Leve"),AND(J313="Alta",N313="Menor")),"Moderado",IF(OR(AND(J313="Muy Baja",N313="Mayor"),AND(J313="Baja",N313="Mayor"),AND(J313="Media",N313="Mayor"),AND(J313="Alta",N313="Moderado"),AND(J313="Alta",N313="Mayor"),AND(J313="Muy Alta",N313="Leve"),AND(J313="Muy Alta",N313="Menor"),AND(J313="Muy Alta",N313="Moderado"),AND(J313="Muy Alta",N313="Mayor")),"Alto",IF(OR(AND(J313="Muy Baja",N313="Catastrófico"),AND(J313="Baja",N313="Catastrófico"),AND(J313="Media",N313="Catastrófico"),AND(J313="Alta",N313="Catastrófico"),AND(J313="Muy Alta",N313="Catastrófico")),"Extremo",""))))</f>
        <v>Alto</v>
      </c>
      <c r="Q313" s="201">
        <v>1</v>
      </c>
      <c r="R313" s="112" t="s">
        <v>731</v>
      </c>
      <c r="S313" s="201" t="str">
        <f t="shared" si="122"/>
        <v>Probabilidad</v>
      </c>
      <c r="T313" s="113" t="s">
        <v>14</v>
      </c>
      <c r="U313" s="113" t="s">
        <v>9</v>
      </c>
      <c r="V313" s="167" t="str">
        <f t="shared" si="129"/>
        <v>40%</v>
      </c>
      <c r="W313" s="113" t="s">
        <v>19</v>
      </c>
      <c r="X313" s="113" t="s">
        <v>22</v>
      </c>
      <c r="Y313" s="113" t="s">
        <v>117</v>
      </c>
      <c r="Z313" s="165">
        <f t="shared" si="128"/>
        <v>0.24</v>
      </c>
      <c r="AA313" s="166" t="str">
        <f t="shared" si="123"/>
        <v>Baja</v>
      </c>
      <c r="AB313" s="167">
        <f t="shared" si="124"/>
        <v>0.24</v>
      </c>
      <c r="AC313" s="166" t="str">
        <f t="shared" si="125"/>
        <v>Mayor</v>
      </c>
      <c r="AD313" s="167">
        <f t="shared" si="127"/>
        <v>0.8</v>
      </c>
      <c r="AE313" s="168" t="str">
        <f t="shared" si="126"/>
        <v>Alto</v>
      </c>
      <c r="AF313" s="113" t="s">
        <v>31</v>
      </c>
      <c r="AG313" s="191"/>
      <c r="AH313" s="192"/>
      <c r="AI313" s="114"/>
      <c r="AJ313" s="114"/>
      <c r="AK313" s="191"/>
      <c r="AL313" s="192"/>
      <c r="AM313" s="155"/>
      <c r="AN313" s="155"/>
      <c r="AO313" s="155"/>
      <c r="AP313" s="155"/>
      <c r="AQ313" s="155"/>
      <c r="AR313" s="155"/>
      <c r="AS313" s="155"/>
      <c r="AT313" s="155"/>
      <c r="AU313" s="155"/>
      <c r="AV313" s="155"/>
      <c r="AW313" s="155"/>
      <c r="AX313" s="155"/>
      <c r="AY313" s="155"/>
      <c r="AZ313" s="155"/>
      <c r="BA313" s="155"/>
      <c r="BB313" s="155"/>
      <c r="BC313" s="155"/>
      <c r="BD313" s="155"/>
      <c r="BE313" s="155"/>
      <c r="BF313" s="155"/>
      <c r="BG313" s="155"/>
      <c r="BH313" s="155"/>
      <c r="BI313" s="155"/>
      <c r="BJ313" s="155"/>
      <c r="BK313" s="155"/>
      <c r="BL313" s="155"/>
      <c r="BM313" s="155"/>
      <c r="BN313" s="155"/>
      <c r="BO313" s="155"/>
      <c r="BP313" s="155"/>
      <c r="BQ313" s="155"/>
      <c r="BR313" s="155"/>
    </row>
    <row r="314" spans="1:70" s="156" customFormat="1" ht="82.5" customHeight="1" x14ac:dyDescent="0.25">
      <c r="A314" s="266"/>
      <c r="B314" s="294"/>
      <c r="C314" s="294"/>
      <c r="D314" s="270"/>
      <c r="E314" s="270"/>
      <c r="F314" s="270"/>
      <c r="G314" s="362"/>
      <c r="H314" s="270"/>
      <c r="I314" s="281"/>
      <c r="J314" s="275"/>
      <c r="K314" s="277"/>
      <c r="L314" s="273"/>
      <c r="M314" s="277">
        <f ca="1">IF(NOT(ISERROR(MATCH(L314,_xlfn.ANCHORARRAY(G325),0))),K327&amp;"Por favor no seleccionar los criterios de impacto",L314)</f>
        <v>0</v>
      </c>
      <c r="N314" s="275"/>
      <c r="O314" s="277"/>
      <c r="P314" s="279"/>
      <c r="Q314" s="201">
        <v>2</v>
      </c>
      <c r="R314" s="112" t="s">
        <v>732</v>
      </c>
      <c r="S314" s="201" t="str">
        <f t="shared" si="122"/>
        <v>Probabilidad</v>
      </c>
      <c r="T314" s="113" t="s">
        <v>14</v>
      </c>
      <c r="U314" s="113" t="s">
        <v>9</v>
      </c>
      <c r="V314" s="167" t="str">
        <f t="shared" si="129"/>
        <v>40%</v>
      </c>
      <c r="W314" s="113" t="s">
        <v>19</v>
      </c>
      <c r="X314" s="113" t="s">
        <v>22</v>
      </c>
      <c r="Y314" s="113" t="s">
        <v>117</v>
      </c>
      <c r="Z314" s="165">
        <f>IFERROR(IF(S314="Probabilidad",(K313-(+K313*V314)),IF(S314="Impacto",K313,"")),"")</f>
        <v>0.24</v>
      </c>
      <c r="AA314" s="166" t="str">
        <f t="shared" si="123"/>
        <v>Baja</v>
      </c>
      <c r="AB314" s="167">
        <f t="shared" si="124"/>
        <v>0.24</v>
      </c>
      <c r="AC314" s="166" t="str">
        <f t="shared" si="125"/>
        <v>Mayor</v>
      </c>
      <c r="AD314" s="167">
        <f>IFERROR(IF(S314="Impacto",(O313-(+O313*V314)),IF(S314="Probabilidad",O313,"")),"")</f>
        <v>0.8</v>
      </c>
      <c r="AE314" s="168" t="str">
        <f t="shared" si="126"/>
        <v>Alto</v>
      </c>
      <c r="AF314" s="113" t="s">
        <v>31</v>
      </c>
      <c r="AG314" s="191"/>
      <c r="AH314" s="192"/>
      <c r="AI314" s="114"/>
      <c r="AJ314" s="114"/>
      <c r="AK314" s="191"/>
      <c r="AL314" s="192"/>
      <c r="AM314" s="155"/>
      <c r="AN314" s="155"/>
      <c r="AO314" s="155"/>
      <c r="AP314" s="155"/>
      <c r="AQ314" s="155"/>
      <c r="AR314" s="155"/>
      <c r="AS314" s="155"/>
      <c r="AT314" s="155"/>
      <c r="AU314" s="155"/>
      <c r="AV314" s="155"/>
      <c r="AW314" s="155"/>
      <c r="AX314" s="155"/>
      <c r="AY314" s="155"/>
      <c r="AZ314" s="155"/>
      <c r="BA314" s="155"/>
      <c r="BB314" s="155"/>
      <c r="BC314" s="155"/>
      <c r="BD314" s="155"/>
      <c r="BE314" s="155"/>
      <c r="BF314" s="155"/>
      <c r="BG314" s="155"/>
      <c r="BH314" s="155"/>
      <c r="BI314" s="155"/>
      <c r="BJ314" s="155"/>
      <c r="BK314" s="155"/>
      <c r="BL314" s="155"/>
      <c r="BM314" s="155"/>
      <c r="BN314" s="155"/>
      <c r="BO314" s="155"/>
      <c r="BP314" s="155"/>
      <c r="BQ314" s="155"/>
      <c r="BR314" s="155"/>
    </row>
    <row r="315" spans="1:70" s="156" customFormat="1" ht="82.5" customHeight="1" x14ac:dyDescent="0.25">
      <c r="A315" s="266"/>
      <c r="B315" s="294"/>
      <c r="C315" s="294"/>
      <c r="D315" s="270"/>
      <c r="E315" s="270"/>
      <c r="F315" s="270"/>
      <c r="G315" s="362"/>
      <c r="H315" s="270"/>
      <c r="I315" s="281"/>
      <c r="J315" s="275"/>
      <c r="K315" s="277"/>
      <c r="L315" s="273"/>
      <c r="M315" s="277">
        <f ca="1">IF(NOT(ISERROR(MATCH(L315,_xlfn.ANCHORARRAY(G326),0))),K328&amp;"Por favor no seleccionar los criterios de impacto",L315)</f>
        <v>0</v>
      </c>
      <c r="N315" s="275"/>
      <c r="O315" s="277"/>
      <c r="P315" s="279"/>
      <c r="Q315" s="201">
        <v>3</v>
      </c>
      <c r="R315" s="112" t="s">
        <v>733</v>
      </c>
      <c r="S315" s="201" t="str">
        <f t="shared" si="122"/>
        <v>Probabilidad</v>
      </c>
      <c r="T315" s="113" t="s">
        <v>14</v>
      </c>
      <c r="U315" s="113" t="s">
        <v>9</v>
      </c>
      <c r="V315" s="167" t="str">
        <f t="shared" si="129"/>
        <v>40%</v>
      </c>
      <c r="W315" s="113" t="s">
        <v>19</v>
      </c>
      <c r="X315" s="113" t="s">
        <v>22</v>
      </c>
      <c r="Y315" s="113" t="s">
        <v>117</v>
      </c>
      <c r="Z315" s="165">
        <f>IFERROR(IF(S315="Probabilidad",(K313-(+K313*V315)),IF(S315="Impacto",K313,"")),"")</f>
        <v>0.24</v>
      </c>
      <c r="AA315" s="166" t="str">
        <f t="shared" si="123"/>
        <v>Baja</v>
      </c>
      <c r="AB315" s="167">
        <f t="shared" si="124"/>
        <v>0.24</v>
      </c>
      <c r="AC315" s="166" t="str">
        <f t="shared" si="125"/>
        <v>Mayor</v>
      </c>
      <c r="AD315" s="167">
        <f>IFERROR(IF(S315="Impacto",(O313-(+O313*V315)),IF(S315="Probabilidad",O313,"")),"")</f>
        <v>0.8</v>
      </c>
      <c r="AE315" s="168" t="str">
        <f t="shared" si="126"/>
        <v>Alto</v>
      </c>
      <c r="AF315" s="113" t="s">
        <v>31</v>
      </c>
      <c r="AG315" s="191"/>
      <c r="AH315" s="192"/>
      <c r="AI315" s="114"/>
      <c r="AJ315" s="114"/>
      <c r="AK315" s="191"/>
      <c r="AL315" s="192"/>
      <c r="AM315" s="155"/>
      <c r="AN315" s="155"/>
      <c r="AO315" s="155"/>
      <c r="AP315" s="155"/>
      <c r="AQ315" s="155"/>
      <c r="AR315" s="155"/>
      <c r="AS315" s="155"/>
      <c r="AT315" s="155"/>
      <c r="AU315" s="155"/>
      <c r="AV315" s="155"/>
      <c r="AW315" s="155"/>
      <c r="AX315" s="155"/>
      <c r="AY315" s="155"/>
      <c r="AZ315" s="155"/>
      <c r="BA315" s="155"/>
      <c r="BB315" s="155"/>
      <c r="BC315" s="155"/>
      <c r="BD315" s="155"/>
      <c r="BE315" s="155"/>
      <c r="BF315" s="155"/>
      <c r="BG315" s="155"/>
      <c r="BH315" s="155"/>
      <c r="BI315" s="155"/>
      <c r="BJ315" s="155"/>
      <c r="BK315" s="155"/>
      <c r="BL315" s="155"/>
      <c r="BM315" s="155"/>
      <c r="BN315" s="155"/>
      <c r="BO315" s="155"/>
      <c r="BP315" s="155"/>
      <c r="BQ315" s="155"/>
      <c r="BR315" s="155"/>
    </row>
    <row r="316" spans="1:70" s="156" customFormat="1" ht="82.5" customHeight="1" x14ac:dyDescent="0.25">
      <c r="A316" s="266"/>
      <c r="B316" s="294"/>
      <c r="C316" s="294"/>
      <c r="D316" s="270"/>
      <c r="E316" s="270"/>
      <c r="F316" s="270"/>
      <c r="G316" s="362"/>
      <c r="H316" s="270"/>
      <c r="I316" s="281"/>
      <c r="J316" s="275"/>
      <c r="K316" s="277"/>
      <c r="L316" s="273"/>
      <c r="M316" s="277">
        <f ca="1">IF(NOT(ISERROR(MATCH(L316,_xlfn.ANCHORARRAY(G327),0))),K329&amp;"Por favor no seleccionar los criterios de impacto",L316)</f>
        <v>0</v>
      </c>
      <c r="N316" s="275"/>
      <c r="O316" s="277"/>
      <c r="P316" s="279"/>
      <c r="Q316" s="201">
        <v>4</v>
      </c>
      <c r="R316" s="112" t="s">
        <v>734</v>
      </c>
      <c r="S316" s="201" t="str">
        <f t="shared" si="122"/>
        <v>Probabilidad</v>
      </c>
      <c r="T316" s="113" t="s">
        <v>14</v>
      </c>
      <c r="U316" s="113" t="s">
        <v>9</v>
      </c>
      <c r="V316" s="167" t="str">
        <f t="shared" si="129"/>
        <v>40%</v>
      </c>
      <c r="W316" s="113" t="s">
        <v>19</v>
      </c>
      <c r="X316" s="113" t="s">
        <v>22</v>
      </c>
      <c r="Y316" s="113" t="s">
        <v>117</v>
      </c>
      <c r="Z316" s="165">
        <f>IFERROR(IF(S316="Probabilidad",(K313-(+K313*V316)),IF(S316="Impacto",K313,"")),"")</f>
        <v>0.24</v>
      </c>
      <c r="AA316" s="166" t="str">
        <f t="shared" si="123"/>
        <v>Baja</v>
      </c>
      <c r="AB316" s="167">
        <f t="shared" si="124"/>
        <v>0.24</v>
      </c>
      <c r="AC316" s="166" t="str">
        <f t="shared" si="125"/>
        <v>Mayor</v>
      </c>
      <c r="AD316" s="167">
        <f>IFERROR(IF(S316="Impacto",(O313-(+O313*V316)),IF(S316="Probabilidad",O313,"")),"")</f>
        <v>0.8</v>
      </c>
      <c r="AE316" s="168" t="str">
        <f t="shared" si="126"/>
        <v>Alto</v>
      </c>
      <c r="AF316" s="113" t="s">
        <v>31</v>
      </c>
      <c r="AG316" s="191"/>
      <c r="AH316" s="192"/>
      <c r="AI316" s="114"/>
      <c r="AJ316" s="114"/>
      <c r="AK316" s="191"/>
      <c r="AL316" s="192"/>
      <c r="AM316" s="155"/>
      <c r="AN316" s="155"/>
      <c r="AO316" s="155"/>
      <c r="AP316" s="155"/>
      <c r="AQ316" s="155"/>
      <c r="AR316" s="155"/>
      <c r="AS316" s="155"/>
      <c r="AT316" s="155"/>
      <c r="AU316" s="155"/>
      <c r="AV316" s="155"/>
      <c r="AW316" s="155"/>
      <c r="AX316" s="155"/>
      <c r="AY316" s="155"/>
      <c r="AZ316" s="155"/>
      <c r="BA316" s="155"/>
      <c r="BB316" s="155"/>
      <c r="BC316" s="155"/>
      <c r="BD316" s="155"/>
      <c r="BE316" s="155"/>
      <c r="BF316" s="155"/>
      <c r="BG316" s="155"/>
      <c r="BH316" s="155"/>
      <c r="BI316" s="155"/>
      <c r="BJ316" s="155"/>
      <c r="BK316" s="155"/>
      <c r="BL316" s="155"/>
      <c r="BM316" s="155"/>
      <c r="BN316" s="155"/>
      <c r="BO316" s="155"/>
      <c r="BP316" s="155"/>
      <c r="BQ316" s="155"/>
      <c r="BR316" s="155"/>
    </row>
    <row r="317" spans="1:70" s="156" customFormat="1" ht="16.5" hidden="1" customHeight="1" x14ac:dyDescent="0.25">
      <c r="A317" s="266"/>
      <c r="B317" s="268"/>
      <c r="C317" s="268"/>
      <c r="D317" s="271"/>
      <c r="E317" s="271"/>
      <c r="F317" s="271"/>
      <c r="G317" s="363"/>
      <c r="H317" s="271"/>
      <c r="I317" s="266"/>
      <c r="J317" s="276"/>
      <c r="K317" s="278"/>
      <c r="L317" s="274"/>
      <c r="M317" s="278">
        <f ca="1">IF(NOT(ISERROR(MATCH(L317,_xlfn.ANCHORARRAY(G328),0))),K330&amp;"Por favor no seleccionar los criterios de impacto",L317)</f>
        <v>0</v>
      </c>
      <c r="N317" s="276"/>
      <c r="O317" s="278"/>
      <c r="P317" s="280"/>
      <c r="Q317" s="201">
        <v>5</v>
      </c>
      <c r="R317" s="112"/>
      <c r="S317" s="201" t="str">
        <f t="shared" si="122"/>
        <v/>
      </c>
      <c r="T317" s="113"/>
      <c r="U317" s="113"/>
      <c r="V317" s="167" t="str">
        <f t="shared" si="129"/>
        <v/>
      </c>
      <c r="W317" s="113"/>
      <c r="X317" s="113"/>
      <c r="Y317" s="113"/>
      <c r="Z317" s="165" t="str">
        <f>IFERROR(IF(S317="Probabilidad",(K313-(+K313*V317)),IF(S317="Impacto",K313,"")),"")</f>
        <v/>
      </c>
      <c r="AA317" s="166" t="str">
        <f t="shared" si="123"/>
        <v/>
      </c>
      <c r="AB317" s="167" t="str">
        <f t="shared" si="124"/>
        <v/>
      </c>
      <c r="AC317" s="166" t="str">
        <f t="shared" si="125"/>
        <v/>
      </c>
      <c r="AD317" s="167" t="str">
        <f>IFERROR(IF(S317="Impacto",(O313-(+O313*V317)),IF(S317="Probabilidad",O313,"")),"")</f>
        <v/>
      </c>
      <c r="AE317" s="168" t="str">
        <f t="shared" si="126"/>
        <v/>
      </c>
      <c r="AF317" s="113"/>
      <c r="AG317" s="191"/>
      <c r="AH317" s="192"/>
      <c r="AI317" s="114"/>
      <c r="AJ317" s="114"/>
      <c r="AK317" s="191"/>
      <c r="AL317" s="192"/>
      <c r="AM317" s="155"/>
      <c r="AN317" s="155"/>
      <c r="AO317" s="155"/>
      <c r="AP317" s="155"/>
      <c r="AQ317" s="155"/>
      <c r="AR317" s="155"/>
      <c r="AS317" s="155"/>
      <c r="AT317" s="155"/>
      <c r="AU317" s="155"/>
      <c r="AV317" s="155"/>
      <c r="AW317" s="155"/>
      <c r="AX317" s="155"/>
      <c r="AY317" s="155"/>
      <c r="AZ317" s="155"/>
      <c r="BA317" s="155"/>
      <c r="BB317" s="155"/>
      <c r="BC317" s="155"/>
      <c r="BD317" s="155"/>
      <c r="BE317" s="155"/>
      <c r="BF317" s="155"/>
      <c r="BG317" s="155"/>
      <c r="BH317" s="155"/>
      <c r="BI317" s="155"/>
      <c r="BJ317" s="155"/>
      <c r="BK317" s="155"/>
      <c r="BL317" s="155"/>
      <c r="BM317" s="155"/>
      <c r="BN317" s="155"/>
      <c r="BO317" s="155"/>
      <c r="BP317" s="155"/>
      <c r="BQ317" s="155"/>
      <c r="BR317" s="155"/>
    </row>
    <row r="318" spans="1:70" s="156" customFormat="1" ht="16.5" hidden="1" customHeight="1" x14ac:dyDescent="0.25">
      <c r="A318" s="266"/>
      <c r="B318" s="269"/>
      <c r="C318" s="269"/>
      <c r="D318" s="271"/>
      <c r="E318" s="271"/>
      <c r="F318" s="271"/>
      <c r="G318" s="363"/>
      <c r="H318" s="271"/>
      <c r="I318" s="266"/>
      <c r="J318" s="276"/>
      <c r="K318" s="278"/>
      <c r="L318" s="274"/>
      <c r="M318" s="278">
        <f ca="1">IF(NOT(ISERROR(MATCH(L318,_xlfn.ANCHORARRAY(G329),0))),K331&amp;"Por favor no seleccionar los criterios de impacto",L318)</f>
        <v>0</v>
      </c>
      <c r="N318" s="276"/>
      <c r="O318" s="278"/>
      <c r="P318" s="280"/>
      <c r="Q318" s="201">
        <v>6</v>
      </c>
      <c r="R318" s="112"/>
      <c r="S318" s="201" t="str">
        <f t="shared" si="122"/>
        <v/>
      </c>
      <c r="T318" s="113"/>
      <c r="U318" s="113"/>
      <c r="V318" s="167" t="str">
        <f t="shared" si="129"/>
        <v/>
      </c>
      <c r="W318" s="113"/>
      <c r="X318" s="113"/>
      <c r="Y318" s="113"/>
      <c r="Z318" s="165" t="str">
        <f>IFERROR(IF(S318="Probabilidad",(K313-(+K313*V318)),IF(S318="Impacto",K313,"")),"")</f>
        <v/>
      </c>
      <c r="AA318" s="166" t="str">
        <f t="shared" si="123"/>
        <v/>
      </c>
      <c r="AB318" s="167" t="str">
        <f t="shared" si="124"/>
        <v/>
      </c>
      <c r="AC318" s="166" t="str">
        <f t="shared" si="125"/>
        <v/>
      </c>
      <c r="AD318" s="167" t="str">
        <f>IFERROR(IF(S318="Impacto",(O313-(+O313*V318)),IF(S318="Probabilidad",O313,"")),"")</f>
        <v/>
      </c>
      <c r="AE318" s="168" t="str">
        <f t="shared" si="126"/>
        <v/>
      </c>
      <c r="AF318" s="113"/>
      <c r="AG318" s="191"/>
      <c r="AH318" s="192"/>
      <c r="AI318" s="114"/>
      <c r="AJ318" s="114"/>
      <c r="AK318" s="191"/>
      <c r="AL318" s="192"/>
      <c r="AM318" s="155"/>
      <c r="AN318" s="155"/>
      <c r="AO318" s="155"/>
      <c r="AP318" s="155"/>
      <c r="AQ318" s="155"/>
      <c r="AR318" s="155"/>
      <c r="AS318" s="155"/>
      <c r="AT318" s="155"/>
      <c r="AU318" s="155"/>
      <c r="AV318" s="155"/>
      <c r="AW318" s="155"/>
      <c r="AX318" s="155"/>
      <c r="AY318" s="155"/>
      <c r="AZ318" s="155"/>
      <c r="BA318" s="155"/>
      <c r="BB318" s="155"/>
      <c r="BC318" s="155"/>
      <c r="BD318" s="155"/>
      <c r="BE318" s="155"/>
      <c r="BF318" s="155"/>
      <c r="BG318" s="155"/>
      <c r="BH318" s="155"/>
      <c r="BI318" s="155"/>
      <c r="BJ318" s="155"/>
      <c r="BK318" s="155"/>
      <c r="BL318" s="155"/>
      <c r="BM318" s="155"/>
      <c r="BN318" s="155"/>
      <c r="BO318" s="155"/>
      <c r="BP318" s="155"/>
      <c r="BQ318" s="155"/>
      <c r="BR318" s="155"/>
    </row>
    <row r="319" spans="1:70" s="156" customFormat="1" ht="96" customHeight="1" x14ac:dyDescent="0.25">
      <c r="A319" s="266">
        <v>52</v>
      </c>
      <c r="B319" s="290" t="s">
        <v>217</v>
      </c>
      <c r="C319" s="290" t="s">
        <v>735</v>
      </c>
      <c r="D319" s="282" t="s">
        <v>132</v>
      </c>
      <c r="E319" s="282" t="s">
        <v>736</v>
      </c>
      <c r="F319" s="282" t="s">
        <v>737</v>
      </c>
      <c r="G319" s="283" t="s">
        <v>738</v>
      </c>
      <c r="H319" s="282" t="s">
        <v>437</v>
      </c>
      <c r="I319" s="360">
        <v>53</v>
      </c>
      <c r="J319" s="275" t="str">
        <f>IF(I319&lt;=0,"",IF(I319&lt;=2,"Muy Baja",IF(I319&lt;=24,"Baja",IF(I319&lt;=500,"Media",IF(I319&lt;=5000,"Alta","Muy Alta")))))</f>
        <v>Media</v>
      </c>
      <c r="K319" s="277">
        <f>IF(J319="","",IF(J319="Muy Baja",0.2,IF(J319="Baja",0.4,IF(J319="Media",0.6,IF(J319="Alta",0.8,IF(J319="Muy Alta",1,))))))</f>
        <v>0.6</v>
      </c>
      <c r="L319" s="277" t="s">
        <v>145</v>
      </c>
      <c r="M319" s="277" t="str">
        <f>IF(NOT(ISERROR(MATCH(L319,'[10]Tabla Impacto'!$B$221:$B$223,0))),'[10]Tabla Impacto'!$F$223&amp;"Por favor no seleccionar los criterios de impacto(Afectación Económica o presupuestal y Pérdida Reputacional)",L319)</f>
        <v xml:space="preserve">Afectación menor a 10 SMLMV </v>
      </c>
      <c r="N319" s="275" t="str">
        <f>+IF(OR(M319='[10]Tabla Impacto'!$C$11,M319='[10]Tabla Impacto'!$D$11),"Leve",IF(OR(M319='[10]Tabla Impacto'!$C$12,M319='[10]Tabla Impacto'!$D$12),"Menor",IF(OR(M319='[10]Tabla Impacto'!$C$13,M319='[10]Tabla Impacto'!$D$13),"Moderado",IF(OR(M319='[10]Tabla Impacto'!$C$14,M319='[10]Tabla Impacto'!$D$14),"Mayor",IF(OR(M319='[10]Tabla Impacto'!$C$15,M319='[10]Tabla Impacto'!$D$15),"Catastrófico","")))))</f>
        <v>Leve</v>
      </c>
      <c r="O319" s="277">
        <f>IF(N319="","",IF(N319="Leve",0.2,IF(N319="Menor",0.4,IF(N319="Moderado",0.6,IF(N319="Mayor",0.8,IF(N319="Catastrófico",1,))))))</f>
        <v>0.2</v>
      </c>
      <c r="P319" s="279" t="str">
        <f>IF(OR(AND(J319="Muy Baja",N319="Leve"),AND(J319="Muy Baja",N319="Menor"),AND(J319="Baja",N319="Leve")),"Bajo",IF(OR(AND(J319="Muy baja",N319="Moderado"),AND(J319="Baja",N319="Menor"),AND(J319="Baja",N319="Moderado"),AND(J319="Media",N319="Leve"),AND(J319="Media",N319="Menor"),AND(J319="Media",N319="Moderado"),AND(J319="Alta",N319="Leve"),AND(J319="Alta",N319="Menor")),"Moderado",IF(OR(AND(J319="Muy Baja",N319="Mayor"),AND(J319="Baja",N319="Mayor"),AND(J319="Media",N319="Mayor"),AND(J319="Alta",N319="Moderado"),AND(J319="Alta",N319="Mayor"),AND(J319="Muy Alta",N319="Leve"),AND(J319="Muy Alta",N319="Menor"),AND(J319="Muy Alta",N319="Moderado"),AND(J319="Muy Alta",N319="Mayor")),"Alto",IF(OR(AND(J319="Muy Baja",N319="Catastrófico"),AND(J319="Baja",N319="Catastrófico"),AND(J319="Media",N319="Catastrófico"),AND(J319="Alta",N319="Catastrófico"),AND(J319="Muy Alta",N319="Catastrófico")),"Extremo",""))))</f>
        <v>Moderado</v>
      </c>
      <c r="Q319" s="201">
        <v>1</v>
      </c>
      <c r="R319" s="112" t="s">
        <v>739</v>
      </c>
      <c r="S319" s="201" t="str">
        <f>IF(OR(T319="Preventivo",T319="Detectivo"),"Probabilidad",IF(T319="Correctivo","Impacto",""))</f>
        <v>Probabilidad</v>
      </c>
      <c r="T319" s="113" t="s">
        <v>14</v>
      </c>
      <c r="U319" s="113" t="s">
        <v>9</v>
      </c>
      <c r="V319" s="167" t="str">
        <f t="shared" si="129"/>
        <v>40%</v>
      </c>
      <c r="W319" s="113" t="s">
        <v>19</v>
      </c>
      <c r="X319" s="113" t="s">
        <v>22</v>
      </c>
      <c r="Y319" s="113" t="s">
        <v>117</v>
      </c>
      <c r="Z319" s="165">
        <f>IFERROR(IF(S319="Probabilidad",(K319-(+K319*V319)),IF(S319="Impacto",K319,"")),"")</f>
        <v>0.36</v>
      </c>
      <c r="AA319" s="166" t="str">
        <f>IFERROR(IF(Z319="","",IF(Z319&lt;=0.2,"Muy Baja",IF(Z319&lt;=0.4,"Baja",IF(Z319&lt;=0.6,"Media",IF(Z319&lt;=0.8,"Alta","Muy Alta"))))),"")</f>
        <v>Baja</v>
      </c>
      <c r="AB319" s="167">
        <f>+Z319</f>
        <v>0.36</v>
      </c>
      <c r="AC319" s="166" t="str">
        <f>IFERROR(IF(AD319="","",IF(AD319&lt;=0.2,"Leve",IF(AD319&lt;=0.4,"Menor",IF(AD319&lt;=0.6,"Moderado",IF(AD319&lt;=0.8,"Mayor","Catastrófico"))))),"")</f>
        <v>Leve</v>
      </c>
      <c r="AD319" s="167">
        <f>IFERROR(IF(S319="Impacto",(O319-(+O319*V319)),IF(S319="Probabilidad",O319,"")),"")</f>
        <v>0.2</v>
      </c>
      <c r="AE319" s="168" t="str">
        <f>IFERROR(IF(OR(AND(AA319="Muy Baja",AC319="Leve"),AND(AA319="Muy Baja",AC319="Menor"),AND(AA319="Baja",AC319="Leve")),"Bajo",IF(OR(AND(AA319="Muy baja",AC319="Moderado"),AND(AA319="Baja",AC319="Menor"),AND(AA319="Baja",AC319="Moderado"),AND(AA319="Media",AC319="Leve"),AND(AA319="Media",AC319="Menor"),AND(AA319="Media",AC319="Moderado"),AND(AA319="Alta",AC319="Leve"),AND(AA319="Alta",AC319="Menor")),"Moderado",IF(OR(AND(AA319="Muy Baja",AC319="Mayor"),AND(AA319="Baja",AC319="Mayor"),AND(AA319="Media",AC319="Mayor"),AND(AA319="Alta",AC319="Moderado"),AND(AA319="Alta",AC319="Mayor"),AND(AA319="Muy Alta",AC319="Leve"),AND(AA319="Muy Alta",AC319="Menor"),AND(AA319="Muy Alta",AC319="Moderado"),AND(AA319="Muy Alta",AC319="Mayor")),"Alto",IF(OR(AND(AA319="Muy Baja",AC319="Catastrófico"),AND(AA319="Baja",AC319="Catastrófico"),AND(AA319="Media",AC319="Catastrófico"),AND(AA319="Alta",AC319="Catastrófico"),AND(AA319="Muy Alta",AC319="Catastrófico")),"Extremo","")))),"")</f>
        <v>Bajo</v>
      </c>
      <c r="AF319" s="113" t="s">
        <v>31</v>
      </c>
      <c r="AG319" s="191"/>
      <c r="AH319" s="192"/>
      <c r="AI319" s="114"/>
      <c r="AJ319" s="114"/>
      <c r="AK319" s="191"/>
      <c r="AL319" s="192"/>
      <c r="AM319" s="155"/>
      <c r="AN319" s="155"/>
      <c r="AO319" s="155"/>
      <c r="AP319" s="155"/>
      <c r="AQ319" s="155"/>
      <c r="AR319" s="155"/>
      <c r="AS319" s="155"/>
      <c r="AT319" s="155"/>
      <c r="AU319" s="155"/>
      <c r="AV319" s="155"/>
      <c r="AW319" s="155"/>
      <c r="AX319" s="155"/>
      <c r="AY319" s="155"/>
      <c r="AZ319" s="155"/>
      <c r="BA319" s="155"/>
      <c r="BB319" s="155"/>
      <c r="BC319" s="155"/>
      <c r="BD319" s="155"/>
      <c r="BE319" s="155"/>
      <c r="BF319" s="155"/>
      <c r="BG319" s="155"/>
      <c r="BH319" s="155"/>
      <c r="BI319" s="155"/>
      <c r="BJ319" s="155"/>
      <c r="BK319" s="155"/>
      <c r="BL319" s="155"/>
      <c r="BM319" s="155"/>
      <c r="BN319" s="155"/>
      <c r="BO319" s="155"/>
      <c r="BP319" s="155"/>
      <c r="BQ319" s="155"/>
      <c r="BR319" s="155"/>
    </row>
    <row r="320" spans="1:70" s="156" customFormat="1" ht="96" customHeight="1" x14ac:dyDescent="0.25">
      <c r="A320" s="266"/>
      <c r="B320" s="291"/>
      <c r="C320" s="291"/>
      <c r="D320" s="282"/>
      <c r="E320" s="282"/>
      <c r="F320" s="282"/>
      <c r="G320" s="283"/>
      <c r="H320" s="282"/>
      <c r="I320" s="360"/>
      <c r="J320" s="275"/>
      <c r="K320" s="277"/>
      <c r="L320" s="277"/>
      <c r="M320" s="277">
        <f ca="1">IF(NOT(ISERROR(MATCH(L320,_xlfn.ANCHORARRAY(G331),0))),K333&amp;"Por favor no seleccionar los criterios de impacto",L320)</f>
        <v>0</v>
      </c>
      <c r="N320" s="275"/>
      <c r="O320" s="277"/>
      <c r="P320" s="279"/>
      <c r="Q320" s="201">
        <v>2</v>
      </c>
      <c r="R320" s="112" t="s">
        <v>740</v>
      </c>
      <c r="S320" s="201" t="str">
        <f t="shared" ref="S320:S324" si="130">IF(OR(T320="Preventivo",T320="Detectivo"),"Probabilidad",IF(T320="Correctivo","Impacto",""))</f>
        <v>Probabilidad</v>
      </c>
      <c r="T320" s="113" t="s">
        <v>14</v>
      </c>
      <c r="U320" s="113" t="s">
        <v>9</v>
      </c>
      <c r="V320" s="167" t="str">
        <f t="shared" si="129"/>
        <v>40%</v>
      </c>
      <c r="W320" s="113" t="s">
        <v>19</v>
      </c>
      <c r="X320" s="113" t="s">
        <v>22</v>
      </c>
      <c r="Y320" s="113" t="s">
        <v>117</v>
      </c>
      <c r="Z320" s="165">
        <f>IFERROR(IF(S320="Probabilidad",(K319-(+K319*V320)),IF(S320="Impacto",K319,"")),"")</f>
        <v>0.36</v>
      </c>
      <c r="AA320" s="166" t="str">
        <f t="shared" ref="AA320:AA324" si="131">IFERROR(IF(Z320="","",IF(Z320&lt;=0.2,"Muy Baja",IF(Z320&lt;=0.4,"Baja",IF(Z320&lt;=0.6,"Media",IF(Z320&lt;=0.8,"Alta","Muy Alta"))))),"")</f>
        <v>Baja</v>
      </c>
      <c r="AB320" s="167">
        <f t="shared" ref="AB320:AB324" si="132">+Z320</f>
        <v>0.36</v>
      </c>
      <c r="AC320" s="166" t="str">
        <f t="shared" ref="AC320:AC324" si="133">IFERROR(IF(AD320="","",IF(AD320&lt;=0.2,"Leve",IF(AD320&lt;=0.4,"Menor",IF(AD320&lt;=0.6,"Moderado",IF(AD320&lt;=0.8,"Mayor","Catastrófico"))))),"")</f>
        <v>Leve</v>
      </c>
      <c r="AD320" s="167">
        <f>IFERROR(IF(S320="Impacto",(O319-(+O319*V320)),IF(S320="Probabilidad",O319,"")),"")</f>
        <v>0.2</v>
      </c>
      <c r="AE320" s="168" t="str">
        <f t="shared" ref="AE320:AE324" si="134">IFERROR(IF(OR(AND(AA320="Muy Baja",AC320="Leve"),AND(AA320="Muy Baja",AC320="Menor"),AND(AA320="Baja",AC320="Leve")),"Bajo",IF(OR(AND(AA320="Muy baja",AC320="Moderado"),AND(AA320="Baja",AC320="Menor"),AND(AA320="Baja",AC320="Moderado"),AND(AA320="Media",AC320="Leve"),AND(AA320="Media",AC320="Menor"),AND(AA320="Media",AC320="Moderado"),AND(AA320="Alta",AC320="Leve"),AND(AA320="Alta",AC320="Menor")),"Moderado",IF(OR(AND(AA320="Muy Baja",AC320="Mayor"),AND(AA320="Baja",AC320="Mayor"),AND(AA320="Media",AC320="Mayor"),AND(AA320="Alta",AC320="Moderado"),AND(AA320="Alta",AC320="Mayor"),AND(AA320="Muy Alta",AC320="Leve"),AND(AA320="Muy Alta",AC320="Menor"),AND(AA320="Muy Alta",AC320="Moderado"),AND(AA320="Muy Alta",AC320="Mayor")),"Alto",IF(OR(AND(AA320="Muy Baja",AC320="Catastrófico"),AND(AA320="Baja",AC320="Catastrófico"),AND(AA320="Media",AC320="Catastrófico"),AND(AA320="Alta",AC320="Catastrófico"),AND(AA320="Muy Alta",AC320="Catastrófico")),"Extremo","")))),"")</f>
        <v>Bajo</v>
      </c>
      <c r="AF320" s="113" t="s">
        <v>31</v>
      </c>
      <c r="AG320" s="191"/>
      <c r="AH320" s="192"/>
      <c r="AI320" s="114"/>
      <c r="AJ320" s="114"/>
      <c r="AK320" s="191"/>
      <c r="AL320" s="192"/>
      <c r="AM320" s="155"/>
      <c r="AN320" s="155"/>
      <c r="AO320" s="155"/>
      <c r="AP320" s="155"/>
      <c r="AQ320" s="155"/>
      <c r="AR320" s="155"/>
      <c r="AS320" s="155"/>
      <c r="AT320" s="155"/>
      <c r="AU320" s="155"/>
      <c r="AV320" s="155"/>
      <c r="AW320" s="155"/>
      <c r="AX320" s="155"/>
      <c r="AY320" s="155"/>
      <c r="AZ320" s="155"/>
      <c r="BA320" s="155"/>
      <c r="BB320" s="155"/>
      <c r="BC320" s="155"/>
      <c r="BD320" s="155"/>
      <c r="BE320" s="155"/>
      <c r="BF320" s="155"/>
      <c r="BG320" s="155"/>
      <c r="BH320" s="155"/>
      <c r="BI320" s="155"/>
      <c r="BJ320" s="155"/>
      <c r="BK320" s="155"/>
      <c r="BL320" s="155"/>
      <c r="BM320" s="155"/>
      <c r="BN320" s="155"/>
      <c r="BO320" s="155"/>
      <c r="BP320" s="155"/>
      <c r="BQ320" s="155"/>
      <c r="BR320" s="155"/>
    </row>
    <row r="321" spans="1:70" s="156" customFormat="1" ht="16.5" hidden="1" customHeight="1" x14ac:dyDescent="0.25">
      <c r="A321" s="266"/>
      <c r="B321" s="292"/>
      <c r="C321" s="292"/>
      <c r="D321" s="365"/>
      <c r="E321" s="282"/>
      <c r="F321" s="282"/>
      <c r="G321" s="283"/>
      <c r="H321" s="365"/>
      <c r="I321" s="361"/>
      <c r="J321" s="276"/>
      <c r="K321" s="278"/>
      <c r="L321" s="278"/>
      <c r="M321" s="278">
        <f ca="1">IF(NOT(ISERROR(MATCH(L321,_xlfn.ANCHORARRAY(G332),0))),K334&amp;"Por favor no seleccionar los criterios de impacto",L321)</f>
        <v>0</v>
      </c>
      <c r="N321" s="276"/>
      <c r="O321" s="278"/>
      <c r="P321" s="280"/>
      <c r="Q321" s="201">
        <v>3</v>
      </c>
      <c r="R321" s="112"/>
      <c r="S321" s="201" t="str">
        <f t="shared" si="130"/>
        <v/>
      </c>
      <c r="T321" s="113"/>
      <c r="U321" s="113"/>
      <c r="V321" s="167" t="str">
        <f t="shared" si="129"/>
        <v/>
      </c>
      <c r="W321" s="113"/>
      <c r="X321" s="113"/>
      <c r="Y321" s="113"/>
      <c r="Z321" s="165" t="str">
        <f>IFERROR(IF(S321="Probabilidad",(K319-(+K319*V321)),IF(S321="Impacto",K319,"")),"")</f>
        <v/>
      </c>
      <c r="AA321" s="166" t="str">
        <f t="shared" si="131"/>
        <v/>
      </c>
      <c r="AB321" s="167" t="str">
        <f t="shared" si="132"/>
        <v/>
      </c>
      <c r="AC321" s="166" t="str">
        <f t="shared" si="133"/>
        <v/>
      </c>
      <c r="AD321" s="167" t="str">
        <f t="shared" ref="AD321:AD324" si="135">IFERROR(IF(S321="Impacto",(O321-(+O321*V321)),IF(S321="Probabilidad",O321,"")),"")</f>
        <v/>
      </c>
      <c r="AE321" s="168" t="str">
        <f t="shared" si="134"/>
        <v/>
      </c>
      <c r="AF321" s="113"/>
      <c r="AG321" s="191"/>
      <c r="AH321" s="192"/>
      <c r="AI321" s="114"/>
      <c r="AJ321" s="114"/>
      <c r="AK321" s="191"/>
      <c r="AL321" s="192"/>
      <c r="AM321" s="155"/>
      <c r="AN321" s="155"/>
      <c r="AO321" s="155"/>
      <c r="AP321" s="155"/>
      <c r="AQ321" s="155"/>
      <c r="AR321" s="155"/>
      <c r="AS321" s="155"/>
      <c r="AT321" s="155"/>
      <c r="AU321" s="155"/>
      <c r="AV321" s="155"/>
      <c r="AW321" s="155"/>
      <c r="AX321" s="155"/>
      <c r="AY321" s="155"/>
      <c r="AZ321" s="155"/>
      <c r="BA321" s="155"/>
      <c r="BB321" s="155"/>
      <c r="BC321" s="155"/>
      <c r="BD321" s="155"/>
      <c r="BE321" s="155"/>
      <c r="BF321" s="155"/>
      <c r="BG321" s="155"/>
      <c r="BH321" s="155"/>
      <c r="BI321" s="155"/>
      <c r="BJ321" s="155"/>
      <c r="BK321" s="155"/>
      <c r="BL321" s="155"/>
      <c r="BM321" s="155"/>
      <c r="BN321" s="155"/>
      <c r="BO321" s="155"/>
      <c r="BP321" s="155"/>
      <c r="BQ321" s="155"/>
      <c r="BR321" s="155"/>
    </row>
    <row r="322" spans="1:70" s="156" customFormat="1" ht="16.5" hidden="1" customHeight="1" x14ac:dyDescent="0.25">
      <c r="A322" s="266"/>
      <c r="B322" s="292"/>
      <c r="C322" s="292"/>
      <c r="D322" s="365"/>
      <c r="E322" s="282"/>
      <c r="F322" s="282"/>
      <c r="G322" s="283"/>
      <c r="H322" s="365"/>
      <c r="I322" s="361"/>
      <c r="J322" s="276"/>
      <c r="K322" s="278"/>
      <c r="L322" s="278"/>
      <c r="M322" s="278">
        <f ca="1">IF(NOT(ISERROR(MATCH(L322,_xlfn.ANCHORARRAY(G333),0))),K335&amp;"Por favor no seleccionar los criterios de impacto",L322)</f>
        <v>0</v>
      </c>
      <c r="N322" s="276"/>
      <c r="O322" s="278"/>
      <c r="P322" s="280"/>
      <c r="Q322" s="201">
        <v>4</v>
      </c>
      <c r="R322" s="112"/>
      <c r="S322" s="201" t="str">
        <f t="shared" si="130"/>
        <v/>
      </c>
      <c r="T322" s="113"/>
      <c r="U322" s="113"/>
      <c r="V322" s="167" t="str">
        <f t="shared" si="129"/>
        <v/>
      </c>
      <c r="W322" s="113"/>
      <c r="X322" s="113"/>
      <c r="Y322" s="113"/>
      <c r="Z322" s="165" t="str">
        <f>IFERROR(IF(S322="Probabilidad",(K319-(+K319*V322)),IF(S322="Impacto",K319,"")),"")</f>
        <v/>
      </c>
      <c r="AA322" s="166" t="str">
        <f t="shared" si="131"/>
        <v/>
      </c>
      <c r="AB322" s="167" t="str">
        <f t="shared" si="132"/>
        <v/>
      </c>
      <c r="AC322" s="166" t="str">
        <f t="shared" si="133"/>
        <v/>
      </c>
      <c r="AD322" s="167" t="str">
        <f t="shared" si="135"/>
        <v/>
      </c>
      <c r="AE322" s="168" t="str">
        <f t="shared" si="134"/>
        <v/>
      </c>
      <c r="AF322" s="113"/>
      <c r="AG322" s="191"/>
      <c r="AH322" s="192"/>
      <c r="AI322" s="114"/>
      <c r="AJ322" s="114"/>
      <c r="AK322" s="191"/>
      <c r="AL322" s="192"/>
      <c r="AM322" s="155"/>
      <c r="AN322" s="155"/>
      <c r="AO322" s="155"/>
      <c r="AP322" s="155"/>
      <c r="AQ322" s="155"/>
      <c r="AR322" s="155"/>
      <c r="AS322" s="155"/>
      <c r="AT322" s="155"/>
      <c r="AU322" s="155"/>
      <c r="AV322" s="155"/>
      <c r="AW322" s="155"/>
      <c r="AX322" s="155"/>
      <c r="AY322" s="155"/>
      <c r="AZ322" s="155"/>
      <c r="BA322" s="155"/>
      <c r="BB322" s="155"/>
      <c r="BC322" s="155"/>
      <c r="BD322" s="155"/>
      <c r="BE322" s="155"/>
      <c r="BF322" s="155"/>
      <c r="BG322" s="155"/>
      <c r="BH322" s="155"/>
      <c r="BI322" s="155"/>
      <c r="BJ322" s="155"/>
      <c r="BK322" s="155"/>
      <c r="BL322" s="155"/>
      <c r="BM322" s="155"/>
      <c r="BN322" s="155"/>
      <c r="BO322" s="155"/>
      <c r="BP322" s="155"/>
      <c r="BQ322" s="155"/>
      <c r="BR322" s="155"/>
    </row>
    <row r="323" spans="1:70" s="156" customFormat="1" ht="16.5" hidden="1" customHeight="1" x14ac:dyDescent="0.25">
      <c r="A323" s="266"/>
      <c r="B323" s="292"/>
      <c r="C323" s="292"/>
      <c r="D323" s="365"/>
      <c r="E323" s="282"/>
      <c r="F323" s="282"/>
      <c r="G323" s="283"/>
      <c r="H323" s="365"/>
      <c r="I323" s="361"/>
      <c r="J323" s="276"/>
      <c r="K323" s="278"/>
      <c r="L323" s="278"/>
      <c r="M323" s="278">
        <f ca="1">IF(NOT(ISERROR(MATCH(L323,_xlfn.ANCHORARRAY(G334),0))),K336&amp;"Por favor no seleccionar los criterios de impacto",L323)</f>
        <v>0</v>
      </c>
      <c r="N323" s="276"/>
      <c r="O323" s="278"/>
      <c r="P323" s="280"/>
      <c r="Q323" s="201">
        <v>5</v>
      </c>
      <c r="R323" s="112"/>
      <c r="S323" s="201" t="str">
        <f t="shared" si="130"/>
        <v/>
      </c>
      <c r="T323" s="113"/>
      <c r="U323" s="113"/>
      <c r="V323" s="167" t="str">
        <f t="shared" si="129"/>
        <v/>
      </c>
      <c r="W323" s="113"/>
      <c r="X323" s="113"/>
      <c r="Y323" s="113"/>
      <c r="Z323" s="165" t="str">
        <f>IFERROR(IF(S323="Probabilidad",(K319-(+K319*V323)),IF(S323="Impacto",K319,"")),"")</f>
        <v/>
      </c>
      <c r="AA323" s="166" t="str">
        <f t="shared" si="131"/>
        <v/>
      </c>
      <c r="AB323" s="167" t="str">
        <f t="shared" si="132"/>
        <v/>
      </c>
      <c r="AC323" s="166" t="str">
        <f t="shared" si="133"/>
        <v/>
      </c>
      <c r="AD323" s="167" t="str">
        <f t="shared" si="135"/>
        <v/>
      </c>
      <c r="AE323" s="168" t="str">
        <f t="shared" si="134"/>
        <v/>
      </c>
      <c r="AF323" s="113"/>
      <c r="AG323" s="191"/>
      <c r="AH323" s="192"/>
      <c r="AI323" s="114"/>
      <c r="AJ323" s="114"/>
      <c r="AK323" s="191"/>
      <c r="AL323" s="192"/>
      <c r="AM323" s="155"/>
      <c r="AN323" s="155"/>
      <c r="AO323" s="155"/>
      <c r="AP323" s="155"/>
      <c r="AQ323" s="155"/>
      <c r="AR323" s="155"/>
      <c r="AS323" s="155"/>
      <c r="AT323" s="155"/>
      <c r="AU323" s="155"/>
      <c r="AV323" s="155"/>
      <c r="AW323" s="155"/>
      <c r="AX323" s="155"/>
      <c r="AY323" s="155"/>
      <c r="AZ323" s="155"/>
      <c r="BA323" s="155"/>
      <c r="BB323" s="155"/>
      <c r="BC323" s="155"/>
      <c r="BD323" s="155"/>
      <c r="BE323" s="155"/>
      <c r="BF323" s="155"/>
      <c r="BG323" s="155"/>
      <c r="BH323" s="155"/>
      <c r="BI323" s="155"/>
      <c r="BJ323" s="155"/>
      <c r="BK323" s="155"/>
      <c r="BL323" s="155"/>
      <c r="BM323" s="155"/>
      <c r="BN323" s="155"/>
      <c r="BO323" s="155"/>
      <c r="BP323" s="155"/>
      <c r="BQ323" s="155"/>
      <c r="BR323" s="155"/>
    </row>
    <row r="324" spans="1:70" s="156" customFormat="1" ht="16.5" hidden="1" customHeight="1" x14ac:dyDescent="0.25">
      <c r="A324" s="266"/>
      <c r="B324" s="293"/>
      <c r="C324" s="293"/>
      <c r="D324" s="365"/>
      <c r="E324" s="282"/>
      <c r="F324" s="282"/>
      <c r="G324" s="283"/>
      <c r="H324" s="365"/>
      <c r="I324" s="361"/>
      <c r="J324" s="276"/>
      <c r="K324" s="278"/>
      <c r="L324" s="278"/>
      <c r="M324" s="278">
        <f ca="1">IF(NOT(ISERROR(MATCH(L324,_xlfn.ANCHORARRAY(G335),0))),K337&amp;"Por favor no seleccionar los criterios de impacto",L324)</f>
        <v>0</v>
      </c>
      <c r="N324" s="276"/>
      <c r="O324" s="278"/>
      <c r="P324" s="280"/>
      <c r="Q324" s="201">
        <v>6</v>
      </c>
      <c r="R324" s="112"/>
      <c r="S324" s="201" t="str">
        <f t="shared" si="130"/>
        <v/>
      </c>
      <c r="T324" s="113"/>
      <c r="U324" s="113"/>
      <c r="V324" s="167" t="str">
        <f t="shared" si="129"/>
        <v/>
      </c>
      <c r="W324" s="113"/>
      <c r="X324" s="113"/>
      <c r="Y324" s="113"/>
      <c r="Z324" s="165" t="str">
        <f>IFERROR(IF(S323="Probabilidad",(K319-(+K319*V324)),IF(S324="Impacto",K319,"")),"")</f>
        <v/>
      </c>
      <c r="AA324" s="166" t="str">
        <f t="shared" si="131"/>
        <v/>
      </c>
      <c r="AB324" s="167" t="str">
        <f t="shared" si="132"/>
        <v/>
      </c>
      <c r="AC324" s="166" t="str">
        <f t="shared" si="133"/>
        <v/>
      </c>
      <c r="AD324" s="167" t="str">
        <f t="shared" si="135"/>
        <v/>
      </c>
      <c r="AE324" s="168" t="str">
        <f t="shared" si="134"/>
        <v/>
      </c>
      <c r="AF324" s="113"/>
      <c r="AG324" s="191"/>
      <c r="AH324" s="192"/>
      <c r="AI324" s="114"/>
      <c r="AJ324" s="114"/>
      <c r="AK324" s="191"/>
      <c r="AL324" s="192"/>
      <c r="AM324" s="155"/>
      <c r="AN324" s="155"/>
      <c r="AO324" s="155"/>
      <c r="AP324" s="155"/>
      <c r="AQ324" s="155"/>
      <c r="AR324" s="155"/>
      <c r="AS324" s="155"/>
      <c r="AT324" s="155"/>
      <c r="AU324" s="155"/>
      <c r="AV324" s="155"/>
      <c r="AW324" s="155"/>
      <c r="AX324" s="155"/>
      <c r="AY324" s="155"/>
      <c r="AZ324" s="155"/>
      <c r="BA324" s="155"/>
      <c r="BB324" s="155"/>
      <c r="BC324" s="155"/>
      <c r="BD324" s="155"/>
      <c r="BE324" s="155"/>
      <c r="BF324" s="155"/>
      <c r="BG324" s="155"/>
      <c r="BH324" s="155"/>
      <c r="BI324" s="155"/>
      <c r="BJ324" s="155"/>
      <c r="BK324" s="155"/>
      <c r="BL324" s="155"/>
      <c r="BM324" s="155"/>
      <c r="BN324" s="155"/>
      <c r="BO324" s="155"/>
      <c r="BP324" s="155"/>
      <c r="BQ324" s="155"/>
      <c r="BR324" s="155"/>
    </row>
    <row r="325" spans="1:70" s="156" customFormat="1" ht="64.5" x14ac:dyDescent="0.25">
      <c r="A325" s="266">
        <v>53</v>
      </c>
      <c r="B325" s="267" t="s">
        <v>218</v>
      </c>
      <c r="C325" s="267" t="s">
        <v>741</v>
      </c>
      <c r="D325" s="270" t="s">
        <v>132</v>
      </c>
      <c r="E325" s="270" t="s">
        <v>464</v>
      </c>
      <c r="F325" s="270" t="s">
        <v>742</v>
      </c>
      <c r="G325" s="362" t="s">
        <v>743</v>
      </c>
      <c r="H325" s="270" t="s">
        <v>438</v>
      </c>
      <c r="I325" s="281">
        <f>365*3</f>
        <v>1095</v>
      </c>
      <c r="J325" s="275" t="str">
        <f>IF(I325&lt;=0,"",IF(I325&lt;=2,"Muy Baja",IF(I325&lt;=24,"Baja",IF(I325&lt;=500,"Media",IF(I325&lt;=5000,"Alta","Muy Alta")))))</f>
        <v>Alta</v>
      </c>
      <c r="K325" s="277">
        <f>IF(J325="","",IF(J325="Muy Baja",0.2,IF(J325="Baja",0.4,IF(J325="Media",0.6,IF(J325="Alta",0.8,IF(J325="Muy Alta",1,))))))</f>
        <v>0.8</v>
      </c>
      <c r="L325" s="273" t="s">
        <v>91</v>
      </c>
      <c r="M325" s="277" t="str">
        <f>IF(NOT(ISERROR(MATCH(L325,'[11]Tabla Impacto'!$B$221:$B$223,0))),'[11]Tabla Impacto'!$F$223&amp;"Por favor no seleccionar los criterios de impacto(Afectación Económica o presupuestal y Pérdida Reputacional)",L325)</f>
        <v xml:space="preserve">Entre 10 y 50 SMLMV </v>
      </c>
      <c r="N325" s="275" t="str">
        <f>+IF(OR(M325='[11]Tabla Impacto'!$C$11,M325='[11]Tabla Impacto'!$D$11),"Leve",IF(OR(M325='[11]Tabla Impacto'!$C$12,M325='[11]Tabla Impacto'!$D$12),"Menor",IF(OR(M325='[11]Tabla Impacto'!$C$13,M325='[11]Tabla Impacto'!$D$13),"Moderado",IF(OR(M325='[11]Tabla Impacto'!$C$14,M325='[11]Tabla Impacto'!$D$14),"Mayor",IF(OR(M325='[11]Tabla Impacto'!$C$15,M325='[11]Tabla Impacto'!$D$15),"Catastrófico","")))))</f>
        <v>Menor</v>
      </c>
      <c r="O325" s="277">
        <f>IF(N325="","",IF(N325="Leve",0.2,IF(N325="Menor",0.4,IF(N325="Moderado",0.6,IF(N325="Mayor",0.8,IF(N325="Catastrófico",1,))))))</f>
        <v>0.4</v>
      </c>
      <c r="P325" s="279" t="str">
        <f>IF(OR(AND(J325="Muy Baja",N325="Leve"),AND(J325="Muy Baja",N325="Menor"),AND(J325="Baja",N325="Leve")),"Bajo",IF(OR(AND(J325="Muy baja",N325="Moderado"),AND(J325="Baja",N325="Menor"),AND(J325="Baja",N325="Moderado"),AND(J325="Media",N325="Leve"),AND(J325="Media",N325="Menor"),AND(J325="Media",N325="Moderado"),AND(J325="Alta",N325="Leve"),AND(J325="Alta",N325="Menor")),"Moderado",IF(OR(AND(J325="Muy Baja",N325="Mayor"),AND(J325="Baja",N325="Mayor"),AND(J325="Media",N325="Mayor"),AND(J325="Alta",N325="Moderado"),AND(J325="Alta",N325="Mayor"),AND(J325="Muy Alta",N325="Leve"),AND(J325="Muy Alta",N325="Menor"),AND(J325="Muy Alta",N325="Moderado"),AND(J325="Muy Alta",N325="Mayor")),"Alto",IF(OR(AND(J325="Muy Baja",N325="Catastrófico"),AND(J325="Baja",N325="Catastrófico"),AND(J325="Media",N325="Catastrófico"),AND(J325="Alta",N325="Catastrófico"),AND(J325="Muy Alta",N325="Catastrófico")),"Extremo",""))))</f>
        <v>Moderado</v>
      </c>
      <c r="Q325" s="201">
        <v>1</v>
      </c>
      <c r="R325" s="112" t="s">
        <v>797</v>
      </c>
      <c r="S325" s="201" t="str">
        <f>IF(OR(T325="Preventivo",T325="Detectivo"),"Probabilidad",IF(T325="Correctivo","Impacto",""))</f>
        <v>Probabilidad</v>
      </c>
      <c r="T325" s="113" t="s">
        <v>14</v>
      </c>
      <c r="U325" s="113" t="s">
        <v>9</v>
      </c>
      <c r="V325" s="167" t="str">
        <f t="shared" si="129"/>
        <v>40%</v>
      </c>
      <c r="W325" s="113" t="s">
        <v>19</v>
      </c>
      <c r="X325" s="113" t="s">
        <v>22</v>
      </c>
      <c r="Y325" s="113" t="s">
        <v>117</v>
      </c>
      <c r="Z325" s="165">
        <f>IFERROR(IF(S325="Probabilidad",(K325-(+K325*V325)),IF(S325="Impacto",K325,"")),"")</f>
        <v>0.48</v>
      </c>
      <c r="AA325" s="166" t="str">
        <f>IFERROR(IF(Z325="","",IF(Z325&lt;=0.2,"Muy Baja",IF(Z325&lt;=0.4,"Baja",IF(Z325&lt;=0.6,"Media",IF(Z325&lt;=0.8,"Alta","Muy Alta"))))),"")</f>
        <v>Media</v>
      </c>
      <c r="AB325" s="167">
        <f>+Z325</f>
        <v>0.48</v>
      </c>
      <c r="AC325" s="166" t="str">
        <f>IFERROR(IF(AD325="","",IF(AD325&lt;=0.2,"Leve",IF(AD325&lt;=0.4,"Menor",IF(AD325&lt;=0.6,"Moderado",IF(AD325&lt;=0.8,"Mayor","Catastrófico"))))),"")</f>
        <v>Menor</v>
      </c>
      <c r="AD325" s="167">
        <f>IFERROR(IF(S325="Impacto",(O325-(+O325*V325)),IF(S325="Probabilidad",O325,"")),"")</f>
        <v>0.4</v>
      </c>
      <c r="AE325" s="168" t="str">
        <f>IFERROR(IF(OR(AND(AA325="Muy Baja",AC325="Leve"),AND(AA325="Muy Baja",AC325="Menor"),AND(AA325="Baja",AC325="Leve")),"Bajo",IF(OR(AND(AA325="Muy baja",AC325="Moderado"),AND(AA325="Baja",AC325="Menor"),AND(AA325="Baja",AC325="Moderado"),AND(AA325="Media",AC325="Leve"),AND(AA325="Media",AC325="Menor"),AND(AA325="Media",AC325="Moderado"),AND(AA325="Alta",AC325="Leve"),AND(AA325="Alta",AC325="Menor")),"Moderado",IF(OR(AND(AA325="Muy Baja",AC325="Mayor"),AND(AA325="Baja",AC325="Mayor"),AND(AA325="Media",AC325="Mayor"),AND(AA325="Alta",AC325="Moderado"),AND(AA325="Alta",AC325="Mayor"),AND(AA325="Muy Alta",AC325="Leve"),AND(AA325="Muy Alta",AC325="Menor"),AND(AA325="Muy Alta",AC325="Moderado"),AND(AA325="Muy Alta",AC325="Mayor")),"Alto",IF(OR(AND(AA325="Muy Baja",AC325="Catastrófico"),AND(AA325="Baja",AC325="Catastrófico"),AND(AA325="Media",AC325="Catastrófico"),AND(AA325="Alta",AC325="Catastrófico"),AND(AA325="Muy Alta",AC325="Catastrófico")),"Extremo","")))),"")</f>
        <v>Moderado</v>
      </c>
      <c r="AF325" s="113" t="s">
        <v>31</v>
      </c>
      <c r="AG325" s="191"/>
      <c r="AH325" s="192"/>
      <c r="AI325" s="114"/>
      <c r="AJ325" s="114"/>
      <c r="AK325" s="191"/>
      <c r="AL325" s="192"/>
      <c r="AM325" s="155"/>
      <c r="AN325" s="155"/>
      <c r="AO325" s="155"/>
      <c r="AP325" s="155"/>
      <c r="AQ325" s="155"/>
      <c r="AR325" s="155"/>
      <c r="AS325" s="155"/>
      <c r="AT325" s="155"/>
      <c r="AU325" s="155"/>
      <c r="AV325" s="155"/>
      <c r="AW325" s="155"/>
      <c r="AX325" s="155"/>
      <c r="AY325" s="155"/>
      <c r="AZ325" s="155"/>
      <c r="BA325" s="155"/>
      <c r="BB325" s="155"/>
      <c r="BC325" s="155"/>
      <c r="BD325" s="155"/>
      <c r="BE325" s="155"/>
      <c r="BF325" s="155"/>
      <c r="BG325" s="155"/>
      <c r="BH325" s="155"/>
      <c r="BI325" s="155"/>
      <c r="BJ325" s="155"/>
      <c r="BK325" s="155"/>
      <c r="BL325" s="155"/>
      <c r="BM325" s="155"/>
      <c r="BN325" s="155"/>
      <c r="BO325" s="155"/>
      <c r="BP325" s="155"/>
      <c r="BQ325" s="155"/>
      <c r="BR325" s="155"/>
    </row>
    <row r="326" spans="1:70" s="156" customFormat="1" ht="75" x14ac:dyDescent="0.25">
      <c r="A326" s="266"/>
      <c r="B326" s="294"/>
      <c r="C326" s="294"/>
      <c r="D326" s="270"/>
      <c r="E326" s="270"/>
      <c r="F326" s="270"/>
      <c r="G326" s="362"/>
      <c r="H326" s="270"/>
      <c r="I326" s="281"/>
      <c r="J326" s="275"/>
      <c r="K326" s="277"/>
      <c r="L326" s="273"/>
      <c r="M326" s="277">
        <f ca="1">IF(NOT(ISERROR(MATCH(L326,_xlfn.ANCHORARRAY(G337),0))),K339&amp;"Por favor no seleccionar los criterios de impacto",L326)</f>
        <v>0</v>
      </c>
      <c r="N326" s="275"/>
      <c r="O326" s="277"/>
      <c r="P326" s="279"/>
      <c r="Q326" s="201">
        <v>2</v>
      </c>
      <c r="R326" s="112" t="s">
        <v>798</v>
      </c>
      <c r="S326" s="201" t="str">
        <f t="shared" ref="S326:S389" si="136">IF(OR(T326="Preventivo",T326="Detectivo"),"Probabilidad",IF(T326="Correctivo","Impacto",""))</f>
        <v>Probabilidad</v>
      </c>
      <c r="T326" s="113" t="s">
        <v>14</v>
      </c>
      <c r="U326" s="113" t="s">
        <v>9</v>
      </c>
      <c r="V326" s="167" t="str">
        <f t="shared" si="129"/>
        <v>40%</v>
      </c>
      <c r="W326" s="113" t="s">
        <v>19</v>
      </c>
      <c r="X326" s="113" t="s">
        <v>22</v>
      </c>
      <c r="Y326" s="113" t="s">
        <v>117</v>
      </c>
      <c r="Z326" s="165">
        <f>IFERROR(IF(S326="Probabilidad",(K325-(+K325*V326)),IF(S326="Impacto",K325,"")),"")</f>
        <v>0.48</v>
      </c>
      <c r="AA326" s="166" t="str">
        <f t="shared" ref="AA326:AA389" si="137">IFERROR(IF(Z326="","",IF(Z326&lt;=0.2,"Muy Baja",IF(Z326&lt;=0.4,"Baja",IF(Z326&lt;=0.6,"Media",IF(Z326&lt;=0.8,"Alta","Muy Alta"))))),"")</f>
        <v>Media</v>
      </c>
      <c r="AB326" s="167">
        <f t="shared" ref="AB326:AB389" si="138">+Z326</f>
        <v>0.48</v>
      </c>
      <c r="AC326" s="166" t="str">
        <f t="shared" ref="AC326:AC389" si="139">IFERROR(IF(AD326="","",IF(AD326&lt;=0.2,"Leve",IF(AD326&lt;=0.4,"Menor",IF(AD326&lt;=0.6,"Moderado",IF(AD326&lt;=0.8,"Mayor","Catastrófico"))))),"")</f>
        <v>Menor</v>
      </c>
      <c r="AD326" s="167">
        <f>IFERROR(IF(S326="Impacto",(O325-(+O325*V326)),IF(S326="Probabilidad",O325,"")),"")</f>
        <v>0.4</v>
      </c>
      <c r="AE326" s="168" t="str">
        <f t="shared" ref="AE326:AE389" si="140">IFERROR(IF(OR(AND(AA326="Muy Baja",AC326="Leve"),AND(AA326="Muy Baja",AC326="Menor"),AND(AA326="Baja",AC326="Leve")),"Bajo",IF(OR(AND(AA326="Muy baja",AC326="Moderado"),AND(AA326="Baja",AC326="Menor"),AND(AA326="Baja",AC326="Moderado"),AND(AA326="Media",AC326="Leve"),AND(AA326="Media",AC326="Menor"),AND(AA326="Media",AC326="Moderado"),AND(AA326="Alta",AC326="Leve"),AND(AA326="Alta",AC326="Menor")),"Moderado",IF(OR(AND(AA326="Muy Baja",AC326="Mayor"),AND(AA326="Baja",AC326="Mayor"),AND(AA326="Media",AC326="Mayor"),AND(AA326="Alta",AC326="Moderado"),AND(AA326="Alta",AC326="Mayor"),AND(AA326="Muy Alta",AC326="Leve"),AND(AA326="Muy Alta",AC326="Menor"),AND(AA326="Muy Alta",AC326="Moderado"),AND(AA326="Muy Alta",AC326="Mayor")),"Alto",IF(OR(AND(AA326="Muy Baja",AC326="Catastrófico"),AND(AA326="Baja",AC326="Catastrófico"),AND(AA326="Media",AC326="Catastrófico"),AND(AA326="Alta",AC326="Catastrófico"),AND(AA326="Muy Alta",AC326="Catastrófico")),"Extremo","")))),"")</f>
        <v>Moderado</v>
      </c>
      <c r="AF326" s="113" t="s">
        <v>134</v>
      </c>
      <c r="AG326" s="191"/>
      <c r="AH326" s="192"/>
      <c r="AI326" s="114"/>
      <c r="AJ326" s="114"/>
      <c r="AK326" s="191"/>
      <c r="AL326" s="192"/>
      <c r="AM326" s="155"/>
      <c r="AN326" s="155"/>
      <c r="AO326" s="155"/>
      <c r="AP326" s="155"/>
      <c r="AQ326" s="155"/>
      <c r="AR326" s="155"/>
      <c r="AS326" s="155"/>
      <c r="AT326" s="155"/>
      <c r="AU326" s="155"/>
      <c r="AV326" s="155"/>
      <c r="AW326" s="155"/>
      <c r="AX326" s="155"/>
      <c r="AY326" s="155"/>
      <c r="AZ326" s="155"/>
      <c r="BA326" s="155"/>
      <c r="BB326" s="155"/>
      <c r="BC326" s="155"/>
      <c r="BD326" s="155"/>
      <c r="BE326" s="155"/>
      <c r="BF326" s="155"/>
      <c r="BG326" s="155"/>
      <c r="BH326" s="155"/>
      <c r="BI326" s="155"/>
      <c r="BJ326" s="155"/>
      <c r="BK326" s="155"/>
      <c r="BL326" s="155"/>
      <c r="BM326" s="155"/>
      <c r="BN326" s="155"/>
      <c r="BO326" s="155"/>
      <c r="BP326" s="155"/>
      <c r="BQ326" s="155"/>
      <c r="BR326" s="155"/>
    </row>
    <row r="327" spans="1:70" s="156" customFormat="1" ht="16.5" hidden="1" customHeight="1" x14ac:dyDescent="0.25">
      <c r="A327" s="266"/>
      <c r="B327" s="268"/>
      <c r="C327" s="268"/>
      <c r="D327" s="271"/>
      <c r="E327" s="271"/>
      <c r="F327" s="271"/>
      <c r="G327" s="363"/>
      <c r="H327" s="271"/>
      <c r="I327" s="266"/>
      <c r="J327" s="276"/>
      <c r="K327" s="278"/>
      <c r="L327" s="274"/>
      <c r="M327" s="278">
        <f ca="1">IF(NOT(ISERROR(MATCH(L327,_xlfn.ANCHORARRAY(G338),0))),K340&amp;"Por favor no seleccionar los criterios de impacto",L327)</f>
        <v>0</v>
      </c>
      <c r="N327" s="276"/>
      <c r="O327" s="278"/>
      <c r="P327" s="280"/>
      <c r="Q327" s="201">
        <v>3</v>
      </c>
      <c r="R327" s="112"/>
      <c r="S327" s="201" t="str">
        <f t="shared" si="136"/>
        <v/>
      </c>
      <c r="T327" s="113"/>
      <c r="U327" s="113"/>
      <c r="V327" s="167" t="str">
        <f t="shared" si="129"/>
        <v/>
      </c>
      <c r="W327" s="113"/>
      <c r="X327" s="113"/>
      <c r="Y327" s="113"/>
      <c r="Z327" s="165" t="str">
        <f>IFERROR(IF(S327="Probabilidad",(K325-(+K325*V327)),IF(S327="Impacto",K325,"")),"")</f>
        <v/>
      </c>
      <c r="AA327" s="166" t="str">
        <f t="shared" si="137"/>
        <v/>
      </c>
      <c r="AB327" s="167" t="str">
        <f t="shared" si="138"/>
        <v/>
      </c>
      <c r="AC327" s="166" t="str">
        <f t="shared" si="139"/>
        <v/>
      </c>
      <c r="AD327" s="167" t="str">
        <f t="shared" ref="AD327:AD390" si="141">IFERROR(IF(S327="Impacto",(O327-(+O327*V327)),IF(S327="Probabilidad",O327,"")),"")</f>
        <v/>
      </c>
      <c r="AE327" s="168" t="str">
        <f t="shared" si="140"/>
        <v/>
      </c>
      <c r="AF327" s="113"/>
      <c r="AG327" s="191"/>
      <c r="AH327" s="192"/>
      <c r="AI327" s="114"/>
      <c r="AJ327" s="114"/>
      <c r="AK327" s="191"/>
      <c r="AL327" s="192"/>
      <c r="AM327" s="155"/>
      <c r="AN327" s="155"/>
      <c r="AO327" s="155"/>
      <c r="AP327" s="155"/>
      <c r="AQ327" s="155"/>
      <c r="AR327" s="155"/>
      <c r="AS327" s="155"/>
      <c r="AT327" s="155"/>
      <c r="AU327" s="155"/>
      <c r="AV327" s="155"/>
      <c r="AW327" s="155"/>
      <c r="AX327" s="155"/>
      <c r="AY327" s="155"/>
      <c r="AZ327" s="155"/>
      <c r="BA327" s="155"/>
      <c r="BB327" s="155"/>
      <c r="BC327" s="155"/>
      <c r="BD327" s="155"/>
      <c r="BE327" s="155"/>
      <c r="BF327" s="155"/>
      <c r="BG327" s="155"/>
      <c r="BH327" s="155"/>
      <c r="BI327" s="155"/>
      <c r="BJ327" s="155"/>
      <c r="BK327" s="155"/>
      <c r="BL327" s="155"/>
      <c r="BM327" s="155"/>
      <c r="BN327" s="155"/>
      <c r="BO327" s="155"/>
      <c r="BP327" s="155"/>
      <c r="BQ327" s="155"/>
      <c r="BR327" s="155"/>
    </row>
    <row r="328" spans="1:70" s="156" customFormat="1" ht="16.5" hidden="1" customHeight="1" x14ac:dyDescent="0.25">
      <c r="A328" s="266"/>
      <c r="B328" s="268"/>
      <c r="C328" s="268"/>
      <c r="D328" s="271"/>
      <c r="E328" s="271"/>
      <c r="F328" s="271"/>
      <c r="G328" s="363"/>
      <c r="H328" s="271"/>
      <c r="I328" s="266"/>
      <c r="J328" s="276"/>
      <c r="K328" s="278"/>
      <c r="L328" s="274"/>
      <c r="M328" s="278">
        <f ca="1">IF(NOT(ISERROR(MATCH(L328,_xlfn.ANCHORARRAY(G339),0))),K341&amp;"Por favor no seleccionar los criterios de impacto",L328)</f>
        <v>0</v>
      </c>
      <c r="N328" s="276"/>
      <c r="O328" s="278"/>
      <c r="P328" s="280"/>
      <c r="Q328" s="201">
        <v>4</v>
      </c>
      <c r="R328" s="112"/>
      <c r="S328" s="201" t="str">
        <f t="shared" si="136"/>
        <v/>
      </c>
      <c r="T328" s="113"/>
      <c r="U328" s="113"/>
      <c r="V328" s="167" t="str">
        <f t="shared" si="129"/>
        <v/>
      </c>
      <c r="W328" s="113"/>
      <c r="X328" s="113"/>
      <c r="Y328" s="113"/>
      <c r="Z328" s="165" t="str">
        <f>IFERROR(IF(S328="Probabilidad",(K325-(+K325*V328)),IF(S328="Impacto",K325,"")),"")</f>
        <v/>
      </c>
      <c r="AA328" s="166" t="str">
        <f t="shared" si="137"/>
        <v/>
      </c>
      <c r="AB328" s="167" t="str">
        <f t="shared" si="138"/>
        <v/>
      </c>
      <c r="AC328" s="166" t="str">
        <f t="shared" si="139"/>
        <v/>
      </c>
      <c r="AD328" s="167" t="str">
        <f t="shared" si="141"/>
        <v/>
      </c>
      <c r="AE328" s="168" t="str">
        <f t="shared" si="140"/>
        <v/>
      </c>
      <c r="AF328" s="113"/>
      <c r="AG328" s="191"/>
      <c r="AH328" s="192"/>
      <c r="AI328" s="114"/>
      <c r="AJ328" s="114"/>
      <c r="AK328" s="191"/>
      <c r="AL328" s="192"/>
      <c r="AM328" s="155"/>
      <c r="AN328" s="155"/>
      <c r="AO328" s="155"/>
      <c r="AP328" s="155"/>
      <c r="AQ328" s="155"/>
      <c r="AR328" s="155"/>
      <c r="AS328" s="155"/>
      <c r="AT328" s="155"/>
      <c r="AU328" s="155"/>
      <c r="AV328" s="155"/>
      <c r="AW328" s="155"/>
      <c r="AX328" s="155"/>
      <c r="AY328" s="155"/>
      <c r="AZ328" s="155"/>
      <c r="BA328" s="155"/>
      <c r="BB328" s="155"/>
      <c r="BC328" s="155"/>
      <c r="BD328" s="155"/>
      <c r="BE328" s="155"/>
      <c r="BF328" s="155"/>
      <c r="BG328" s="155"/>
      <c r="BH328" s="155"/>
      <c r="BI328" s="155"/>
      <c r="BJ328" s="155"/>
      <c r="BK328" s="155"/>
      <c r="BL328" s="155"/>
      <c r="BM328" s="155"/>
      <c r="BN328" s="155"/>
      <c r="BO328" s="155"/>
      <c r="BP328" s="155"/>
      <c r="BQ328" s="155"/>
      <c r="BR328" s="155"/>
    </row>
    <row r="329" spans="1:70" s="156" customFormat="1" ht="16.5" hidden="1" customHeight="1" x14ac:dyDescent="0.25">
      <c r="A329" s="266"/>
      <c r="B329" s="268"/>
      <c r="C329" s="268"/>
      <c r="D329" s="271"/>
      <c r="E329" s="271"/>
      <c r="F329" s="271"/>
      <c r="G329" s="363"/>
      <c r="H329" s="271"/>
      <c r="I329" s="266"/>
      <c r="J329" s="276"/>
      <c r="K329" s="278"/>
      <c r="L329" s="274"/>
      <c r="M329" s="278">
        <f ca="1">IF(NOT(ISERROR(MATCH(L329,_xlfn.ANCHORARRAY(G340),0))),K342&amp;"Por favor no seleccionar los criterios de impacto",L329)</f>
        <v>0</v>
      </c>
      <c r="N329" s="276"/>
      <c r="O329" s="278"/>
      <c r="P329" s="280"/>
      <c r="Q329" s="201">
        <v>5</v>
      </c>
      <c r="R329" s="112"/>
      <c r="S329" s="201" t="str">
        <f t="shared" si="136"/>
        <v/>
      </c>
      <c r="T329" s="113"/>
      <c r="U329" s="113"/>
      <c r="V329" s="167" t="str">
        <f t="shared" si="129"/>
        <v/>
      </c>
      <c r="W329" s="113"/>
      <c r="X329" s="113"/>
      <c r="Y329" s="113"/>
      <c r="Z329" s="165" t="str">
        <f>IFERROR(IF(S329="Probabilidad",(K325-(+K325*V329)),IF(S329="Impacto",K325,"")),"")</f>
        <v/>
      </c>
      <c r="AA329" s="166" t="str">
        <f t="shared" si="137"/>
        <v/>
      </c>
      <c r="AB329" s="167" t="str">
        <f t="shared" si="138"/>
        <v/>
      </c>
      <c r="AC329" s="166" t="str">
        <f t="shared" si="139"/>
        <v/>
      </c>
      <c r="AD329" s="167" t="str">
        <f t="shared" si="141"/>
        <v/>
      </c>
      <c r="AE329" s="168" t="str">
        <f t="shared" si="140"/>
        <v/>
      </c>
      <c r="AF329" s="113"/>
      <c r="AG329" s="191"/>
      <c r="AH329" s="192"/>
      <c r="AI329" s="114"/>
      <c r="AJ329" s="114"/>
      <c r="AK329" s="191"/>
      <c r="AL329" s="192"/>
      <c r="AM329" s="155"/>
      <c r="AN329" s="155"/>
      <c r="AO329" s="155"/>
      <c r="AP329" s="155"/>
      <c r="AQ329" s="155"/>
      <c r="AR329" s="155"/>
      <c r="AS329" s="155"/>
      <c r="AT329" s="155"/>
      <c r="AU329" s="155"/>
      <c r="AV329" s="155"/>
      <c r="AW329" s="155"/>
      <c r="AX329" s="155"/>
      <c r="AY329" s="155"/>
      <c r="AZ329" s="155"/>
      <c r="BA329" s="155"/>
      <c r="BB329" s="155"/>
      <c r="BC329" s="155"/>
      <c r="BD329" s="155"/>
      <c r="BE329" s="155"/>
      <c r="BF329" s="155"/>
      <c r="BG329" s="155"/>
      <c r="BH329" s="155"/>
      <c r="BI329" s="155"/>
      <c r="BJ329" s="155"/>
      <c r="BK329" s="155"/>
      <c r="BL329" s="155"/>
      <c r="BM329" s="155"/>
      <c r="BN329" s="155"/>
      <c r="BO329" s="155"/>
      <c r="BP329" s="155"/>
      <c r="BQ329" s="155"/>
      <c r="BR329" s="155"/>
    </row>
    <row r="330" spans="1:70" s="156" customFormat="1" ht="16.5" hidden="1" customHeight="1" x14ac:dyDescent="0.25">
      <c r="A330" s="266"/>
      <c r="B330" s="269"/>
      <c r="C330" s="269"/>
      <c r="D330" s="271"/>
      <c r="E330" s="271"/>
      <c r="F330" s="271"/>
      <c r="G330" s="363"/>
      <c r="H330" s="271"/>
      <c r="I330" s="266"/>
      <c r="J330" s="276"/>
      <c r="K330" s="278"/>
      <c r="L330" s="274"/>
      <c r="M330" s="278">
        <f ca="1">IF(NOT(ISERROR(MATCH(L330,_xlfn.ANCHORARRAY(G341),0))),K343&amp;"Por favor no seleccionar los criterios de impacto",L330)</f>
        <v>0</v>
      </c>
      <c r="N330" s="276"/>
      <c r="O330" s="278"/>
      <c r="P330" s="280"/>
      <c r="Q330" s="201">
        <v>6</v>
      </c>
      <c r="R330" s="112"/>
      <c r="S330" s="201" t="str">
        <f t="shared" si="136"/>
        <v/>
      </c>
      <c r="T330" s="113"/>
      <c r="U330" s="113"/>
      <c r="V330" s="167" t="str">
        <f t="shared" si="129"/>
        <v/>
      </c>
      <c r="W330" s="113"/>
      <c r="X330" s="113"/>
      <c r="Y330" s="113"/>
      <c r="Z330" s="165" t="str">
        <f>IFERROR(IF(S329="Probabilidad",(K325-(+K325*V330)),IF(S330="Impacto",K325,"")),"")</f>
        <v/>
      </c>
      <c r="AA330" s="166" t="str">
        <f t="shared" si="137"/>
        <v/>
      </c>
      <c r="AB330" s="167" t="str">
        <f t="shared" si="138"/>
        <v/>
      </c>
      <c r="AC330" s="166" t="str">
        <f t="shared" si="139"/>
        <v/>
      </c>
      <c r="AD330" s="167" t="str">
        <f t="shared" si="141"/>
        <v/>
      </c>
      <c r="AE330" s="168" t="str">
        <f t="shared" si="140"/>
        <v/>
      </c>
      <c r="AF330" s="113"/>
      <c r="AG330" s="191"/>
      <c r="AH330" s="192"/>
      <c r="AI330" s="114"/>
      <c r="AJ330" s="114"/>
      <c r="AK330" s="191"/>
      <c r="AL330" s="192"/>
      <c r="AM330" s="155"/>
      <c r="AN330" s="155"/>
      <c r="AO330" s="155"/>
      <c r="AP330" s="155"/>
      <c r="AQ330" s="155"/>
      <c r="AR330" s="155"/>
      <c r="AS330" s="155"/>
      <c r="AT330" s="155"/>
      <c r="AU330" s="155"/>
      <c r="AV330" s="155"/>
      <c r="AW330" s="155"/>
      <c r="AX330" s="155"/>
      <c r="AY330" s="155"/>
      <c r="AZ330" s="155"/>
      <c r="BA330" s="155"/>
      <c r="BB330" s="155"/>
      <c r="BC330" s="155"/>
      <c r="BD330" s="155"/>
      <c r="BE330" s="155"/>
      <c r="BF330" s="155"/>
      <c r="BG330" s="155"/>
      <c r="BH330" s="155"/>
      <c r="BI330" s="155"/>
      <c r="BJ330" s="155"/>
      <c r="BK330" s="155"/>
      <c r="BL330" s="155"/>
      <c r="BM330" s="155"/>
      <c r="BN330" s="155"/>
      <c r="BO330" s="155"/>
      <c r="BP330" s="155"/>
      <c r="BQ330" s="155"/>
      <c r="BR330" s="155"/>
    </row>
    <row r="331" spans="1:70" s="156" customFormat="1" ht="64.5" x14ac:dyDescent="0.25">
      <c r="A331" s="266">
        <v>54</v>
      </c>
      <c r="B331" s="267" t="s">
        <v>218</v>
      </c>
      <c r="C331" s="267" t="s">
        <v>744</v>
      </c>
      <c r="D331" s="270" t="s">
        <v>132</v>
      </c>
      <c r="E331" s="270" t="s">
        <v>745</v>
      </c>
      <c r="F331" s="270" t="s">
        <v>746</v>
      </c>
      <c r="G331" s="362" t="s">
        <v>747</v>
      </c>
      <c r="H331" s="270" t="s">
        <v>437</v>
      </c>
      <c r="I331" s="281">
        <v>365</v>
      </c>
      <c r="J331" s="275" t="str">
        <f>IF(I331&lt;=0,"",IF(I331&lt;=2,"Muy Baja",IF(I331&lt;=24,"Baja",IF(I331&lt;=500,"Media",IF(I331&lt;=5000,"Alta","Muy Alta")))))</f>
        <v>Media</v>
      </c>
      <c r="K331" s="277">
        <f>IF(J331="","",IF(J331="Muy Baja",0.2,IF(J331="Baja",0.4,IF(J331="Media",0.6,IF(J331="Alta",0.8,IF(J331="Muy Alta",1,))))))</f>
        <v>0.6</v>
      </c>
      <c r="L331" s="273" t="s">
        <v>91</v>
      </c>
      <c r="M331" s="277" t="str">
        <f>IF(NOT(ISERROR(MATCH(L331,'[11]Tabla Impacto'!$B$221:$B$223,0))),'[11]Tabla Impacto'!$F$223&amp;"Por favor no seleccionar los criterios de impacto(Afectación Económica o presupuestal y Pérdida Reputacional)",L331)</f>
        <v xml:space="preserve">Entre 10 y 50 SMLMV </v>
      </c>
      <c r="N331" s="275" t="str">
        <f>+IF(OR(M331='[11]Tabla Impacto'!$C$11,M331='[11]Tabla Impacto'!$D$11),"Leve",IF(OR(M331='[11]Tabla Impacto'!$C$12,M331='[11]Tabla Impacto'!$D$12),"Menor",IF(OR(M331='[11]Tabla Impacto'!$C$13,M331='[11]Tabla Impacto'!$D$13),"Moderado",IF(OR(M331='[11]Tabla Impacto'!$C$14,M331='[11]Tabla Impacto'!$D$14),"Mayor",IF(OR(M331='[11]Tabla Impacto'!$C$15,M331='[11]Tabla Impacto'!$D$15),"Catastrófico","")))))</f>
        <v>Menor</v>
      </c>
      <c r="O331" s="277">
        <f>IF(N331="","",IF(N331="Leve",0.2,IF(N331="Menor",0.4,IF(N331="Moderado",0.6,IF(N331="Mayor",0.8,IF(N331="Catastrófico",1,))))))</f>
        <v>0.4</v>
      </c>
      <c r="P331" s="279" t="str">
        <f>IF(OR(AND(J331="Muy Baja",N331="Leve"),AND(J331="Muy Baja",N331="Menor"),AND(J331="Baja",N331="Leve")),"Bajo",IF(OR(AND(J331="Muy baja",N331="Moderado"),AND(J331="Baja",N331="Menor"),AND(J331="Baja",N331="Moderado"),AND(J331="Media",N331="Leve"),AND(J331="Media",N331="Menor"),AND(J331="Media",N331="Moderado"),AND(J331="Alta",N331="Leve"),AND(J331="Alta",N331="Menor")),"Moderado",IF(OR(AND(J331="Muy Baja",N331="Mayor"),AND(J331="Baja",N331="Mayor"),AND(J331="Media",N331="Mayor"),AND(J331="Alta",N331="Moderado"),AND(J331="Alta",N331="Mayor"),AND(J331="Muy Alta",N331="Leve"),AND(J331="Muy Alta",N331="Menor"),AND(J331="Muy Alta",N331="Moderado"),AND(J331="Muy Alta",N331="Mayor")),"Alto",IF(OR(AND(J331="Muy Baja",N331="Catastrófico"),AND(J331="Baja",N331="Catastrófico"),AND(J331="Media",N331="Catastrófico"),AND(J331="Alta",N331="Catastrófico"),AND(J331="Muy Alta",N331="Catastrófico")),"Extremo",""))))</f>
        <v>Moderado</v>
      </c>
      <c r="Q331" s="201">
        <v>1</v>
      </c>
      <c r="R331" s="112" t="s">
        <v>799</v>
      </c>
      <c r="S331" s="201" t="str">
        <f t="shared" si="136"/>
        <v>Probabilidad</v>
      </c>
      <c r="T331" s="113" t="s">
        <v>14</v>
      </c>
      <c r="U331" s="113" t="s">
        <v>9</v>
      </c>
      <c r="V331" s="167" t="str">
        <f t="shared" si="129"/>
        <v>40%</v>
      </c>
      <c r="W331" s="113" t="s">
        <v>19</v>
      </c>
      <c r="X331" s="113" t="s">
        <v>22</v>
      </c>
      <c r="Y331" s="113" t="s">
        <v>117</v>
      </c>
      <c r="Z331" s="165">
        <f t="shared" ref="Z331:Z379" si="142">IFERROR(IF(S331="Probabilidad",(K331-(+K331*V331)),IF(S331="Impacto",K331,"")),"")</f>
        <v>0.36</v>
      </c>
      <c r="AA331" s="166" t="str">
        <f t="shared" si="137"/>
        <v>Baja</v>
      </c>
      <c r="AB331" s="167">
        <f t="shared" si="138"/>
        <v>0.36</v>
      </c>
      <c r="AC331" s="166" t="str">
        <f t="shared" si="139"/>
        <v>Menor</v>
      </c>
      <c r="AD331" s="167">
        <f t="shared" si="141"/>
        <v>0.4</v>
      </c>
      <c r="AE331" s="168" t="str">
        <f t="shared" si="140"/>
        <v>Moderado</v>
      </c>
      <c r="AF331" s="113" t="s">
        <v>31</v>
      </c>
      <c r="AG331" s="191"/>
      <c r="AH331" s="192"/>
      <c r="AI331" s="114"/>
      <c r="AJ331" s="114"/>
      <c r="AK331" s="191"/>
      <c r="AL331" s="192"/>
      <c r="AM331" s="155"/>
      <c r="AN331" s="155"/>
      <c r="AO331" s="155"/>
      <c r="AP331" s="155"/>
      <c r="AQ331" s="155"/>
      <c r="AR331" s="155"/>
      <c r="AS331" s="155"/>
      <c r="AT331" s="155"/>
      <c r="AU331" s="155"/>
      <c r="AV331" s="155"/>
      <c r="AW331" s="155"/>
      <c r="AX331" s="155"/>
      <c r="AY331" s="155"/>
      <c r="AZ331" s="155"/>
      <c r="BA331" s="155"/>
      <c r="BB331" s="155"/>
      <c r="BC331" s="155"/>
      <c r="BD331" s="155"/>
      <c r="BE331" s="155"/>
      <c r="BF331" s="155"/>
      <c r="BG331" s="155"/>
      <c r="BH331" s="155"/>
      <c r="BI331" s="155"/>
      <c r="BJ331" s="155"/>
      <c r="BK331" s="155"/>
      <c r="BL331" s="155"/>
      <c r="BM331" s="155"/>
      <c r="BN331" s="155"/>
      <c r="BO331" s="155"/>
      <c r="BP331" s="155"/>
      <c r="BQ331" s="155"/>
      <c r="BR331" s="155"/>
    </row>
    <row r="332" spans="1:70" s="156" customFormat="1" ht="75" x14ac:dyDescent="0.25">
      <c r="A332" s="266"/>
      <c r="B332" s="294"/>
      <c r="C332" s="294"/>
      <c r="D332" s="270"/>
      <c r="E332" s="270"/>
      <c r="F332" s="270"/>
      <c r="G332" s="362"/>
      <c r="H332" s="270"/>
      <c r="I332" s="281"/>
      <c r="J332" s="275"/>
      <c r="K332" s="277"/>
      <c r="L332" s="273"/>
      <c r="M332" s="277">
        <f ca="1">IF(NOT(ISERROR(MATCH(L332,_xlfn.ANCHORARRAY(G343),0))),K345&amp;"Por favor no seleccionar los criterios de impacto",L332)</f>
        <v>0</v>
      </c>
      <c r="N332" s="275"/>
      <c r="O332" s="277"/>
      <c r="P332" s="279"/>
      <c r="Q332" s="201">
        <v>2</v>
      </c>
      <c r="R332" s="112" t="s">
        <v>800</v>
      </c>
      <c r="S332" s="201" t="str">
        <f t="shared" si="136"/>
        <v>Probabilidad</v>
      </c>
      <c r="T332" s="113" t="s">
        <v>15</v>
      </c>
      <c r="U332" s="113" t="s">
        <v>9</v>
      </c>
      <c r="V332" s="167" t="str">
        <f t="shared" si="129"/>
        <v>30%</v>
      </c>
      <c r="W332" s="113" t="s">
        <v>19</v>
      </c>
      <c r="X332" s="113" t="s">
        <v>22</v>
      </c>
      <c r="Y332" s="113" t="s">
        <v>117</v>
      </c>
      <c r="Z332" s="165">
        <f>IFERROR(IF(S332="Probabilidad",(K331-(+K331*V332)),IF(S332="Impacto",K331,"")),"")</f>
        <v>0.42</v>
      </c>
      <c r="AA332" s="166" t="str">
        <f t="shared" si="137"/>
        <v>Media</v>
      </c>
      <c r="AB332" s="167">
        <f>+Z332</f>
        <v>0.42</v>
      </c>
      <c r="AC332" s="166" t="str">
        <f t="shared" si="139"/>
        <v>Menor</v>
      </c>
      <c r="AD332" s="167">
        <f>IFERROR(IF(S332="Impacto",(O331-(+O331*V332)),IF(S332="Probabilidad",O331,"")),"")</f>
        <v>0.4</v>
      </c>
      <c r="AE332" s="168" t="str">
        <f t="shared" si="140"/>
        <v>Moderado</v>
      </c>
      <c r="AF332" s="113" t="s">
        <v>134</v>
      </c>
      <c r="AG332" s="191"/>
      <c r="AH332" s="192"/>
      <c r="AI332" s="114"/>
      <c r="AJ332" s="114"/>
      <c r="AK332" s="191"/>
      <c r="AL332" s="192"/>
      <c r="AM332" s="155"/>
      <c r="AN332" s="155"/>
      <c r="AO332" s="155"/>
      <c r="AP332" s="155"/>
      <c r="AQ332" s="155"/>
      <c r="AR332" s="155"/>
      <c r="AS332" s="155"/>
      <c r="AT332" s="155"/>
      <c r="AU332" s="155"/>
      <c r="AV332" s="155"/>
      <c r="AW332" s="155"/>
      <c r="AX332" s="155"/>
      <c r="AY332" s="155"/>
      <c r="AZ332" s="155"/>
      <c r="BA332" s="155"/>
      <c r="BB332" s="155"/>
      <c r="BC332" s="155"/>
      <c r="BD332" s="155"/>
      <c r="BE332" s="155"/>
      <c r="BF332" s="155"/>
      <c r="BG332" s="155"/>
      <c r="BH332" s="155"/>
      <c r="BI332" s="155"/>
      <c r="BJ332" s="155"/>
      <c r="BK332" s="155"/>
      <c r="BL332" s="155"/>
      <c r="BM332" s="155"/>
      <c r="BN332" s="155"/>
      <c r="BO332" s="155"/>
      <c r="BP332" s="155"/>
      <c r="BQ332" s="155"/>
      <c r="BR332" s="155"/>
    </row>
    <row r="333" spans="1:70" s="156" customFormat="1" ht="16.5" hidden="1" customHeight="1" x14ac:dyDescent="0.25">
      <c r="A333" s="266"/>
      <c r="B333" s="268"/>
      <c r="C333" s="268"/>
      <c r="D333" s="271"/>
      <c r="E333" s="271"/>
      <c r="F333" s="271"/>
      <c r="G333" s="363"/>
      <c r="H333" s="271"/>
      <c r="I333" s="266"/>
      <c r="J333" s="276"/>
      <c r="K333" s="278"/>
      <c r="L333" s="274"/>
      <c r="M333" s="278">
        <f ca="1">IF(NOT(ISERROR(MATCH(L333,_xlfn.ANCHORARRAY(G344),0))),K346&amp;"Por favor no seleccionar los criterios de impacto",L333)</f>
        <v>0</v>
      </c>
      <c r="N333" s="276"/>
      <c r="O333" s="278"/>
      <c r="P333" s="280"/>
      <c r="Q333" s="201">
        <v>3</v>
      </c>
      <c r="R333" s="112"/>
      <c r="S333" s="201" t="str">
        <f t="shared" si="136"/>
        <v/>
      </c>
      <c r="T333" s="113"/>
      <c r="U333" s="113"/>
      <c r="V333" s="167" t="str">
        <f t="shared" si="129"/>
        <v/>
      </c>
      <c r="W333" s="113"/>
      <c r="X333" s="113"/>
      <c r="Y333" s="113"/>
      <c r="Z333" s="165" t="str">
        <f>IFERROR(IF(S333="Probabilidad",(K331-(+K331*V333)),IF(S333="Impacto",K331,"")),"")</f>
        <v/>
      </c>
      <c r="AA333" s="166" t="str">
        <f t="shared" si="137"/>
        <v/>
      </c>
      <c r="AB333" s="167" t="str">
        <f t="shared" si="138"/>
        <v/>
      </c>
      <c r="AC333" s="166" t="str">
        <f t="shared" si="139"/>
        <v/>
      </c>
      <c r="AD333" s="167" t="str">
        <f t="shared" si="141"/>
        <v/>
      </c>
      <c r="AE333" s="168" t="str">
        <f t="shared" si="140"/>
        <v/>
      </c>
      <c r="AF333" s="113"/>
      <c r="AG333" s="191"/>
      <c r="AH333" s="192"/>
      <c r="AI333" s="114"/>
      <c r="AJ333" s="114"/>
      <c r="AK333" s="191"/>
      <c r="AL333" s="192"/>
      <c r="AM333" s="155"/>
      <c r="AN333" s="155"/>
      <c r="AO333" s="155"/>
      <c r="AP333" s="155"/>
      <c r="AQ333" s="155"/>
      <c r="AR333" s="155"/>
      <c r="AS333" s="155"/>
      <c r="AT333" s="155"/>
      <c r="AU333" s="155"/>
      <c r="AV333" s="155"/>
      <c r="AW333" s="155"/>
      <c r="AX333" s="155"/>
      <c r="AY333" s="155"/>
      <c r="AZ333" s="155"/>
      <c r="BA333" s="155"/>
      <c r="BB333" s="155"/>
      <c r="BC333" s="155"/>
      <c r="BD333" s="155"/>
      <c r="BE333" s="155"/>
      <c r="BF333" s="155"/>
      <c r="BG333" s="155"/>
      <c r="BH333" s="155"/>
      <c r="BI333" s="155"/>
      <c r="BJ333" s="155"/>
      <c r="BK333" s="155"/>
      <c r="BL333" s="155"/>
      <c r="BM333" s="155"/>
      <c r="BN333" s="155"/>
      <c r="BO333" s="155"/>
      <c r="BP333" s="155"/>
      <c r="BQ333" s="155"/>
      <c r="BR333" s="155"/>
    </row>
    <row r="334" spans="1:70" s="156" customFormat="1" ht="16.5" hidden="1" customHeight="1" x14ac:dyDescent="0.25">
      <c r="A334" s="266"/>
      <c r="B334" s="268"/>
      <c r="C334" s="268"/>
      <c r="D334" s="271"/>
      <c r="E334" s="271"/>
      <c r="F334" s="271"/>
      <c r="G334" s="363"/>
      <c r="H334" s="271"/>
      <c r="I334" s="266"/>
      <c r="J334" s="276"/>
      <c r="K334" s="278"/>
      <c r="L334" s="274"/>
      <c r="M334" s="278">
        <f ca="1">IF(NOT(ISERROR(MATCH(L334,_xlfn.ANCHORARRAY(G345),0))),K347&amp;"Por favor no seleccionar los criterios de impacto",L334)</f>
        <v>0</v>
      </c>
      <c r="N334" s="276"/>
      <c r="O334" s="278"/>
      <c r="P334" s="280"/>
      <c r="Q334" s="201">
        <v>4</v>
      </c>
      <c r="R334" s="112"/>
      <c r="S334" s="201" t="str">
        <f t="shared" si="136"/>
        <v/>
      </c>
      <c r="T334" s="113"/>
      <c r="U334" s="113"/>
      <c r="V334" s="167" t="str">
        <f t="shared" si="129"/>
        <v/>
      </c>
      <c r="W334" s="113"/>
      <c r="X334" s="113"/>
      <c r="Y334" s="113"/>
      <c r="Z334" s="165" t="str">
        <f>IFERROR(IF(S334="Probabilidad",(K331-(+K331*V334)),IF(S334="Impacto",K331,"")),"")</f>
        <v/>
      </c>
      <c r="AA334" s="166" t="str">
        <f t="shared" si="137"/>
        <v/>
      </c>
      <c r="AB334" s="167" t="str">
        <f t="shared" si="138"/>
        <v/>
      </c>
      <c r="AC334" s="166" t="str">
        <f t="shared" si="139"/>
        <v/>
      </c>
      <c r="AD334" s="167" t="str">
        <f t="shared" si="141"/>
        <v/>
      </c>
      <c r="AE334" s="168" t="str">
        <f t="shared" si="140"/>
        <v/>
      </c>
      <c r="AF334" s="113"/>
      <c r="AG334" s="191"/>
      <c r="AH334" s="192"/>
      <c r="AI334" s="114"/>
      <c r="AJ334" s="114"/>
      <c r="AK334" s="191"/>
      <c r="AL334" s="192"/>
      <c r="AM334" s="155"/>
      <c r="AN334" s="155"/>
      <c r="AO334" s="155"/>
      <c r="AP334" s="155"/>
      <c r="AQ334" s="155"/>
      <c r="AR334" s="155"/>
      <c r="AS334" s="155"/>
      <c r="AT334" s="155"/>
      <c r="AU334" s="155"/>
      <c r="AV334" s="155"/>
      <c r="AW334" s="155"/>
      <c r="AX334" s="155"/>
      <c r="AY334" s="155"/>
      <c r="AZ334" s="155"/>
      <c r="BA334" s="155"/>
      <c r="BB334" s="155"/>
      <c r="BC334" s="155"/>
      <c r="BD334" s="155"/>
      <c r="BE334" s="155"/>
      <c r="BF334" s="155"/>
      <c r="BG334" s="155"/>
      <c r="BH334" s="155"/>
      <c r="BI334" s="155"/>
      <c r="BJ334" s="155"/>
      <c r="BK334" s="155"/>
      <c r="BL334" s="155"/>
      <c r="BM334" s="155"/>
      <c r="BN334" s="155"/>
      <c r="BO334" s="155"/>
      <c r="BP334" s="155"/>
      <c r="BQ334" s="155"/>
      <c r="BR334" s="155"/>
    </row>
    <row r="335" spans="1:70" s="156" customFormat="1" ht="16.5" hidden="1" customHeight="1" x14ac:dyDescent="0.25">
      <c r="A335" s="266"/>
      <c r="B335" s="268"/>
      <c r="C335" s="268"/>
      <c r="D335" s="271"/>
      <c r="E335" s="271"/>
      <c r="F335" s="271"/>
      <c r="G335" s="363"/>
      <c r="H335" s="271"/>
      <c r="I335" s="266"/>
      <c r="J335" s="276"/>
      <c r="K335" s="278"/>
      <c r="L335" s="274"/>
      <c r="M335" s="278">
        <f ca="1">IF(NOT(ISERROR(MATCH(L335,_xlfn.ANCHORARRAY(G346),0))),K348&amp;"Por favor no seleccionar los criterios de impacto",L335)</f>
        <v>0</v>
      </c>
      <c r="N335" s="276"/>
      <c r="O335" s="278"/>
      <c r="P335" s="280"/>
      <c r="Q335" s="201">
        <v>5</v>
      </c>
      <c r="R335" s="112"/>
      <c r="S335" s="201" t="str">
        <f t="shared" si="136"/>
        <v/>
      </c>
      <c r="T335" s="113"/>
      <c r="U335" s="113"/>
      <c r="V335" s="167" t="str">
        <f t="shared" si="129"/>
        <v/>
      </c>
      <c r="W335" s="113"/>
      <c r="X335" s="113"/>
      <c r="Y335" s="113"/>
      <c r="Z335" s="165" t="str">
        <f>IFERROR(IF(S335="Probabilidad",(K331-(+K331*V335)),IF(S335="Impacto",K331,"")),"")</f>
        <v/>
      </c>
      <c r="AA335" s="166" t="str">
        <f t="shared" si="137"/>
        <v/>
      </c>
      <c r="AB335" s="167" t="str">
        <f t="shared" si="138"/>
        <v/>
      </c>
      <c r="AC335" s="166" t="str">
        <f t="shared" si="139"/>
        <v/>
      </c>
      <c r="AD335" s="167" t="str">
        <f t="shared" si="141"/>
        <v/>
      </c>
      <c r="AE335" s="168" t="str">
        <f t="shared" si="140"/>
        <v/>
      </c>
      <c r="AF335" s="113"/>
      <c r="AG335" s="191"/>
      <c r="AH335" s="192"/>
      <c r="AI335" s="114"/>
      <c r="AJ335" s="114"/>
      <c r="AK335" s="191"/>
      <c r="AL335" s="192"/>
      <c r="AM335" s="155"/>
      <c r="AN335" s="155"/>
      <c r="AO335" s="155"/>
      <c r="AP335" s="155"/>
      <c r="AQ335" s="155"/>
      <c r="AR335" s="155"/>
      <c r="AS335" s="155"/>
      <c r="AT335" s="155"/>
      <c r="AU335" s="155"/>
      <c r="AV335" s="155"/>
      <c r="AW335" s="155"/>
      <c r="AX335" s="155"/>
      <c r="AY335" s="155"/>
      <c r="AZ335" s="155"/>
      <c r="BA335" s="155"/>
      <c r="BB335" s="155"/>
      <c r="BC335" s="155"/>
      <c r="BD335" s="155"/>
      <c r="BE335" s="155"/>
      <c r="BF335" s="155"/>
      <c r="BG335" s="155"/>
      <c r="BH335" s="155"/>
      <c r="BI335" s="155"/>
      <c r="BJ335" s="155"/>
      <c r="BK335" s="155"/>
      <c r="BL335" s="155"/>
      <c r="BM335" s="155"/>
      <c r="BN335" s="155"/>
      <c r="BO335" s="155"/>
      <c r="BP335" s="155"/>
      <c r="BQ335" s="155"/>
      <c r="BR335" s="155"/>
    </row>
    <row r="336" spans="1:70" s="156" customFormat="1" ht="16.5" hidden="1" customHeight="1" x14ac:dyDescent="0.25">
      <c r="A336" s="266"/>
      <c r="B336" s="269"/>
      <c r="C336" s="269"/>
      <c r="D336" s="271"/>
      <c r="E336" s="271"/>
      <c r="F336" s="271"/>
      <c r="G336" s="363"/>
      <c r="H336" s="271"/>
      <c r="I336" s="266"/>
      <c r="J336" s="276"/>
      <c r="K336" s="278"/>
      <c r="L336" s="274"/>
      <c r="M336" s="278">
        <f ca="1">IF(NOT(ISERROR(MATCH(L336,_xlfn.ANCHORARRAY(G347),0))),K349&amp;"Por favor no seleccionar los criterios de impacto",L336)</f>
        <v>0</v>
      </c>
      <c r="N336" s="276"/>
      <c r="O336" s="278"/>
      <c r="P336" s="280"/>
      <c r="Q336" s="201">
        <v>6</v>
      </c>
      <c r="R336" s="112"/>
      <c r="S336" s="201" t="str">
        <f t="shared" si="136"/>
        <v/>
      </c>
      <c r="T336" s="113"/>
      <c r="U336" s="113"/>
      <c r="V336" s="167" t="str">
        <f t="shared" si="129"/>
        <v/>
      </c>
      <c r="W336" s="113"/>
      <c r="X336" s="113"/>
      <c r="Y336" s="113"/>
      <c r="Z336" s="165" t="str">
        <f>IFERROR(IF(S336="Probabilidad",(K331-(+K331*V336)),IF(S336="Impacto",K331,"")),"")</f>
        <v/>
      </c>
      <c r="AA336" s="166" t="str">
        <f t="shared" si="137"/>
        <v/>
      </c>
      <c r="AB336" s="167" t="str">
        <f t="shared" si="138"/>
        <v/>
      </c>
      <c r="AC336" s="166" t="str">
        <f t="shared" si="139"/>
        <v/>
      </c>
      <c r="AD336" s="167" t="str">
        <f t="shared" si="141"/>
        <v/>
      </c>
      <c r="AE336" s="168" t="str">
        <f t="shared" si="140"/>
        <v/>
      </c>
      <c r="AF336" s="113"/>
      <c r="AG336" s="191"/>
      <c r="AH336" s="192"/>
      <c r="AI336" s="114"/>
      <c r="AJ336" s="114"/>
      <c r="AK336" s="191"/>
      <c r="AL336" s="192"/>
      <c r="AM336" s="155"/>
      <c r="AN336" s="155"/>
      <c r="AO336" s="155"/>
      <c r="AP336" s="155"/>
      <c r="AQ336" s="155"/>
      <c r="AR336" s="155"/>
      <c r="AS336" s="155"/>
      <c r="AT336" s="155"/>
      <c r="AU336" s="155"/>
      <c r="AV336" s="155"/>
      <c r="AW336" s="155"/>
      <c r="AX336" s="155"/>
      <c r="AY336" s="155"/>
      <c r="AZ336" s="155"/>
      <c r="BA336" s="155"/>
      <c r="BB336" s="155"/>
      <c r="BC336" s="155"/>
      <c r="BD336" s="155"/>
      <c r="BE336" s="155"/>
      <c r="BF336" s="155"/>
      <c r="BG336" s="155"/>
      <c r="BH336" s="155"/>
      <c r="BI336" s="155"/>
      <c r="BJ336" s="155"/>
      <c r="BK336" s="155"/>
      <c r="BL336" s="155"/>
      <c r="BM336" s="155"/>
      <c r="BN336" s="155"/>
      <c r="BO336" s="155"/>
      <c r="BP336" s="155"/>
      <c r="BQ336" s="155"/>
      <c r="BR336" s="155"/>
    </row>
    <row r="337" spans="1:70" s="156" customFormat="1" ht="112.5" customHeight="1" x14ac:dyDescent="0.25">
      <c r="A337" s="266">
        <v>55</v>
      </c>
      <c r="B337" s="267" t="s">
        <v>218</v>
      </c>
      <c r="C337" s="267" t="s">
        <v>744</v>
      </c>
      <c r="D337" s="270" t="s">
        <v>132</v>
      </c>
      <c r="E337" s="270" t="s">
        <v>745</v>
      </c>
      <c r="F337" s="270" t="s">
        <v>748</v>
      </c>
      <c r="G337" s="362" t="s">
        <v>749</v>
      </c>
      <c r="H337" s="270" t="s">
        <v>437</v>
      </c>
      <c r="I337" s="281">
        <v>365</v>
      </c>
      <c r="J337" s="275" t="str">
        <f>IF(I337&lt;=0,"",IF(I337&lt;=2,"Muy Baja",IF(I337&lt;=24,"Baja",IF(I337&lt;=500,"Media",IF(I337&lt;=5000,"Alta","Muy Alta")))))</f>
        <v>Media</v>
      </c>
      <c r="K337" s="277">
        <f>IF(J337="","",IF(J337="Muy Baja",0.2,IF(J337="Baja",0.4,IF(J337="Media",0.6,IF(J337="Alta",0.8,IF(J337="Muy Alta",1,))))))</f>
        <v>0.6</v>
      </c>
      <c r="L337" s="273" t="s">
        <v>97</v>
      </c>
      <c r="M337" s="277" t="str">
        <f>IF(NOT(ISERROR(MATCH(L337,'[11]Tabla Impacto'!$B$221:$B$223,0))),'[11]Tabla Impacto'!$F$223&amp;"Por favor no seleccionar los criterios de impacto(Afectación Económica o presupuestal y Pérdida Reputacional)",L337)</f>
        <v>El riesgo afecta la imagen de de la entidad con efecto publicitario sostenido a nivel de sector administrativo, nivel departamental o municipal</v>
      </c>
      <c r="N337" s="275" t="str">
        <f>+IF(OR(M337='[11]Tabla Impacto'!$C$11,M337='[11]Tabla Impacto'!$D$11),"Leve",IF(OR(M337='[11]Tabla Impacto'!$C$12,M337='[11]Tabla Impacto'!$D$12),"Menor",IF(OR(M337='[11]Tabla Impacto'!$C$13,M337='[11]Tabla Impacto'!$D$13),"Moderado",IF(OR(M337='[11]Tabla Impacto'!$C$14,M337='[11]Tabla Impacto'!$D$14),"Mayor",IF(OR(M337='[11]Tabla Impacto'!$C$15,M337='[11]Tabla Impacto'!$D$15),"Catastrófico","")))))</f>
        <v>Mayor</v>
      </c>
      <c r="O337" s="277">
        <f>IF(N337="","",IF(N337="Leve",0.2,IF(N337="Menor",0.4,IF(N337="Moderado",0.6,IF(N337="Mayor",0.8,IF(N337="Catastrófico",1,))))))</f>
        <v>0.8</v>
      </c>
      <c r="P337" s="279" t="str">
        <f>IF(OR(AND(J337="Muy Baja",N337="Leve"),AND(J337="Muy Baja",N337="Menor"),AND(J337="Baja",N337="Leve")),"Bajo",IF(OR(AND(J337="Muy baja",N337="Moderado"),AND(J337="Baja",N337="Menor"),AND(J337="Baja",N337="Moderado"),AND(J337="Media",N337="Leve"),AND(J337="Media",N337="Menor"),AND(J337="Media",N337="Moderado"),AND(J337="Alta",N337="Leve"),AND(J337="Alta",N337="Menor")),"Moderado",IF(OR(AND(J337="Muy Baja",N337="Mayor"),AND(J337="Baja",N337="Mayor"),AND(J337="Media",N337="Mayor"),AND(J337="Alta",N337="Moderado"),AND(J337="Alta",N337="Mayor"),AND(J337="Muy Alta",N337="Leve"),AND(J337="Muy Alta",N337="Menor"),AND(J337="Muy Alta",N337="Moderado"),AND(J337="Muy Alta",N337="Mayor")),"Alto",IF(OR(AND(J337="Muy Baja",N337="Catastrófico"),AND(J337="Baja",N337="Catastrófico"),AND(J337="Media",N337="Catastrófico"),AND(J337="Alta",N337="Catastrófico"),AND(J337="Muy Alta",N337="Catastrófico")),"Extremo",""))))</f>
        <v>Alto</v>
      </c>
      <c r="Q337" s="201">
        <v>1</v>
      </c>
      <c r="R337" s="112" t="s">
        <v>801</v>
      </c>
      <c r="S337" s="201" t="str">
        <f t="shared" si="136"/>
        <v>Probabilidad</v>
      </c>
      <c r="T337" s="113" t="s">
        <v>14</v>
      </c>
      <c r="U337" s="113" t="s">
        <v>9</v>
      </c>
      <c r="V337" s="167" t="str">
        <f t="shared" si="129"/>
        <v>40%</v>
      </c>
      <c r="W337" s="113" t="s">
        <v>19</v>
      </c>
      <c r="X337" s="113" t="s">
        <v>22</v>
      </c>
      <c r="Y337" s="113" t="s">
        <v>117</v>
      </c>
      <c r="Z337" s="165">
        <f t="shared" si="142"/>
        <v>0.36</v>
      </c>
      <c r="AA337" s="166" t="str">
        <f t="shared" si="137"/>
        <v>Baja</v>
      </c>
      <c r="AB337" s="167">
        <f t="shared" si="138"/>
        <v>0.36</v>
      </c>
      <c r="AC337" s="166" t="str">
        <f t="shared" si="139"/>
        <v>Mayor</v>
      </c>
      <c r="AD337" s="167">
        <f t="shared" si="141"/>
        <v>0.8</v>
      </c>
      <c r="AE337" s="168" t="str">
        <f t="shared" si="140"/>
        <v>Alto</v>
      </c>
      <c r="AF337" s="113" t="s">
        <v>31</v>
      </c>
      <c r="AG337" s="191"/>
      <c r="AH337" s="192"/>
      <c r="AI337" s="114"/>
      <c r="AJ337" s="114"/>
      <c r="AK337" s="191"/>
      <c r="AL337" s="192"/>
      <c r="AM337" s="155"/>
      <c r="AN337" s="155"/>
      <c r="AO337" s="155"/>
      <c r="AP337" s="155"/>
      <c r="AQ337" s="155"/>
      <c r="AR337" s="155"/>
      <c r="AS337" s="155"/>
      <c r="AT337" s="155"/>
      <c r="AU337" s="155"/>
      <c r="AV337" s="155"/>
      <c r="AW337" s="155"/>
      <c r="AX337" s="155"/>
      <c r="AY337" s="155"/>
      <c r="AZ337" s="155"/>
      <c r="BA337" s="155"/>
      <c r="BB337" s="155"/>
      <c r="BC337" s="155"/>
      <c r="BD337" s="155"/>
      <c r="BE337" s="155"/>
      <c r="BF337" s="155"/>
      <c r="BG337" s="155"/>
      <c r="BH337" s="155"/>
      <c r="BI337" s="155"/>
      <c r="BJ337" s="155"/>
      <c r="BK337" s="155"/>
      <c r="BL337" s="155"/>
      <c r="BM337" s="155"/>
      <c r="BN337" s="155"/>
      <c r="BO337" s="155"/>
      <c r="BP337" s="155"/>
      <c r="BQ337" s="155"/>
      <c r="BR337" s="155"/>
    </row>
    <row r="338" spans="1:70" s="156" customFormat="1" ht="75" hidden="1" customHeight="1" x14ac:dyDescent="0.25">
      <c r="A338" s="266"/>
      <c r="B338" s="268"/>
      <c r="C338" s="268"/>
      <c r="D338" s="271"/>
      <c r="E338" s="271"/>
      <c r="F338" s="271"/>
      <c r="G338" s="363"/>
      <c r="H338" s="271"/>
      <c r="I338" s="266"/>
      <c r="J338" s="276"/>
      <c r="K338" s="278"/>
      <c r="L338" s="274"/>
      <c r="M338" s="278">
        <f ca="1">IF(NOT(ISERROR(MATCH(L338,_xlfn.ANCHORARRAY(G349),0))),K351&amp;"Por favor no seleccionar los criterios de impacto",L338)</f>
        <v>0</v>
      </c>
      <c r="N338" s="276"/>
      <c r="O338" s="278"/>
      <c r="P338" s="280"/>
      <c r="Q338" s="201">
        <v>2</v>
      </c>
      <c r="R338" s="112"/>
      <c r="S338" s="201" t="str">
        <f t="shared" si="136"/>
        <v/>
      </c>
      <c r="T338" s="113"/>
      <c r="U338" s="113"/>
      <c r="V338" s="167" t="str">
        <f t="shared" si="129"/>
        <v/>
      </c>
      <c r="W338" s="113"/>
      <c r="X338" s="113"/>
      <c r="Y338" s="113"/>
      <c r="Z338" s="165" t="str">
        <f>IFERROR(IF(S338="Probabilidad",(K337-(+K337*V338)),IF(S338="Impacto",K337,"")),"")</f>
        <v/>
      </c>
      <c r="AA338" s="166" t="str">
        <f t="shared" si="137"/>
        <v/>
      </c>
      <c r="AB338" s="167" t="str">
        <f t="shared" si="138"/>
        <v/>
      </c>
      <c r="AC338" s="166" t="str">
        <f t="shared" si="139"/>
        <v/>
      </c>
      <c r="AD338" s="167" t="str">
        <f t="shared" si="141"/>
        <v/>
      </c>
      <c r="AE338" s="168" t="str">
        <f t="shared" si="140"/>
        <v/>
      </c>
      <c r="AF338" s="113" t="s">
        <v>134</v>
      </c>
      <c r="AG338" s="191"/>
      <c r="AH338" s="192"/>
      <c r="AI338" s="114"/>
      <c r="AJ338" s="114"/>
      <c r="AK338" s="191"/>
      <c r="AL338" s="192"/>
      <c r="AM338" s="155"/>
      <c r="AN338" s="155"/>
      <c r="AO338" s="155"/>
      <c r="AP338" s="155"/>
      <c r="AQ338" s="155"/>
      <c r="AR338" s="155"/>
      <c r="AS338" s="155"/>
      <c r="AT338" s="155"/>
      <c r="AU338" s="155"/>
      <c r="AV338" s="155"/>
      <c r="AW338" s="155"/>
      <c r="AX338" s="155"/>
      <c r="AY338" s="155"/>
      <c r="AZ338" s="155"/>
      <c r="BA338" s="155"/>
      <c r="BB338" s="155"/>
      <c r="BC338" s="155"/>
      <c r="BD338" s="155"/>
      <c r="BE338" s="155"/>
      <c r="BF338" s="155"/>
      <c r="BG338" s="155"/>
      <c r="BH338" s="155"/>
      <c r="BI338" s="155"/>
      <c r="BJ338" s="155"/>
      <c r="BK338" s="155"/>
      <c r="BL338" s="155"/>
      <c r="BM338" s="155"/>
      <c r="BN338" s="155"/>
      <c r="BO338" s="155"/>
      <c r="BP338" s="155"/>
      <c r="BQ338" s="155"/>
      <c r="BR338" s="155"/>
    </row>
    <row r="339" spans="1:70" s="156" customFormat="1" ht="75" hidden="1" customHeight="1" x14ac:dyDescent="0.25">
      <c r="A339" s="266"/>
      <c r="B339" s="268"/>
      <c r="C339" s="268"/>
      <c r="D339" s="271"/>
      <c r="E339" s="271"/>
      <c r="F339" s="271"/>
      <c r="G339" s="363"/>
      <c r="H339" s="271"/>
      <c r="I339" s="266"/>
      <c r="J339" s="276"/>
      <c r="K339" s="278"/>
      <c r="L339" s="274"/>
      <c r="M339" s="278">
        <f ca="1">IF(NOT(ISERROR(MATCH(L339,_xlfn.ANCHORARRAY(G350),0))),K352&amp;"Por favor no seleccionar los criterios de impacto",L339)</f>
        <v>0</v>
      </c>
      <c r="N339" s="276"/>
      <c r="O339" s="278"/>
      <c r="P339" s="280"/>
      <c r="Q339" s="201">
        <v>3</v>
      </c>
      <c r="R339" s="112"/>
      <c r="S339" s="201" t="str">
        <f t="shared" si="136"/>
        <v/>
      </c>
      <c r="T339" s="113"/>
      <c r="U339" s="113"/>
      <c r="V339" s="167" t="str">
        <f t="shared" si="129"/>
        <v/>
      </c>
      <c r="W339" s="113"/>
      <c r="X339" s="113"/>
      <c r="Y339" s="113"/>
      <c r="Z339" s="165" t="str">
        <f>IFERROR(IF(S339="Probabilidad",(K337-(+K337*V339)),IF(S339="Impacto",K337,"")),"")</f>
        <v/>
      </c>
      <c r="AA339" s="166" t="str">
        <f t="shared" si="137"/>
        <v/>
      </c>
      <c r="AB339" s="167" t="str">
        <f t="shared" si="138"/>
        <v/>
      </c>
      <c r="AC339" s="166" t="str">
        <f t="shared" si="139"/>
        <v/>
      </c>
      <c r="AD339" s="167" t="str">
        <f t="shared" si="141"/>
        <v/>
      </c>
      <c r="AE339" s="168" t="str">
        <f t="shared" si="140"/>
        <v/>
      </c>
      <c r="AF339" s="113" t="s">
        <v>134</v>
      </c>
      <c r="AG339" s="191"/>
      <c r="AH339" s="192"/>
      <c r="AI339" s="114"/>
      <c r="AJ339" s="114"/>
      <c r="AK339" s="191"/>
      <c r="AL339" s="192"/>
      <c r="AM339" s="155"/>
      <c r="AN339" s="155"/>
      <c r="AO339" s="155"/>
      <c r="AP339" s="155"/>
      <c r="AQ339" s="155"/>
      <c r="AR339" s="155"/>
      <c r="AS339" s="155"/>
      <c r="AT339" s="155"/>
      <c r="AU339" s="155"/>
      <c r="AV339" s="155"/>
      <c r="AW339" s="155"/>
      <c r="AX339" s="155"/>
      <c r="AY339" s="155"/>
      <c r="AZ339" s="155"/>
      <c r="BA339" s="155"/>
      <c r="BB339" s="155"/>
      <c r="BC339" s="155"/>
      <c r="BD339" s="155"/>
      <c r="BE339" s="155"/>
      <c r="BF339" s="155"/>
      <c r="BG339" s="155"/>
      <c r="BH339" s="155"/>
      <c r="BI339" s="155"/>
      <c r="BJ339" s="155"/>
      <c r="BK339" s="155"/>
      <c r="BL339" s="155"/>
      <c r="BM339" s="155"/>
      <c r="BN339" s="155"/>
      <c r="BO339" s="155"/>
      <c r="BP339" s="155"/>
      <c r="BQ339" s="155"/>
      <c r="BR339" s="155"/>
    </row>
    <row r="340" spans="1:70" s="156" customFormat="1" ht="75" hidden="1" customHeight="1" x14ac:dyDescent="0.25">
      <c r="A340" s="266"/>
      <c r="B340" s="268"/>
      <c r="C340" s="268"/>
      <c r="D340" s="271"/>
      <c r="E340" s="271"/>
      <c r="F340" s="271"/>
      <c r="G340" s="363"/>
      <c r="H340" s="271"/>
      <c r="I340" s="266"/>
      <c r="J340" s="276"/>
      <c r="K340" s="278"/>
      <c r="L340" s="274"/>
      <c r="M340" s="278">
        <f ca="1">IF(NOT(ISERROR(MATCH(L340,_xlfn.ANCHORARRAY(G351),0))),K353&amp;"Por favor no seleccionar los criterios de impacto",L340)</f>
        <v>0</v>
      </c>
      <c r="N340" s="276"/>
      <c r="O340" s="278"/>
      <c r="P340" s="280"/>
      <c r="Q340" s="201">
        <v>4</v>
      </c>
      <c r="R340" s="112"/>
      <c r="S340" s="201" t="str">
        <f t="shared" si="136"/>
        <v/>
      </c>
      <c r="T340" s="113"/>
      <c r="U340" s="113"/>
      <c r="V340" s="167" t="str">
        <f t="shared" si="129"/>
        <v/>
      </c>
      <c r="W340" s="113"/>
      <c r="X340" s="113"/>
      <c r="Y340" s="113"/>
      <c r="Z340" s="165" t="str">
        <f>IFERROR(IF(S340="Probabilidad",(K337-(+K337*V340)),IF(S340="Impacto",K337,"")),"")</f>
        <v/>
      </c>
      <c r="AA340" s="166" t="str">
        <f t="shared" si="137"/>
        <v/>
      </c>
      <c r="AB340" s="167" t="str">
        <f t="shared" si="138"/>
        <v/>
      </c>
      <c r="AC340" s="166" t="str">
        <f t="shared" si="139"/>
        <v/>
      </c>
      <c r="AD340" s="167" t="str">
        <f t="shared" si="141"/>
        <v/>
      </c>
      <c r="AE340" s="168" t="str">
        <f t="shared" si="140"/>
        <v/>
      </c>
      <c r="AF340" s="113" t="s">
        <v>134</v>
      </c>
      <c r="AG340" s="191"/>
      <c r="AH340" s="192"/>
      <c r="AI340" s="114"/>
      <c r="AJ340" s="114"/>
      <c r="AK340" s="191"/>
      <c r="AL340" s="192"/>
      <c r="AM340" s="155"/>
      <c r="AN340" s="155"/>
      <c r="AO340" s="155"/>
      <c r="AP340" s="155"/>
      <c r="AQ340" s="155"/>
      <c r="AR340" s="155"/>
      <c r="AS340" s="155"/>
      <c r="AT340" s="155"/>
      <c r="AU340" s="155"/>
      <c r="AV340" s="155"/>
      <c r="AW340" s="155"/>
      <c r="AX340" s="155"/>
      <c r="AY340" s="155"/>
      <c r="AZ340" s="155"/>
      <c r="BA340" s="155"/>
      <c r="BB340" s="155"/>
      <c r="BC340" s="155"/>
      <c r="BD340" s="155"/>
      <c r="BE340" s="155"/>
      <c r="BF340" s="155"/>
      <c r="BG340" s="155"/>
      <c r="BH340" s="155"/>
      <c r="BI340" s="155"/>
      <c r="BJ340" s="155"/>
      <c r="BK340" s="155"/>
      <c r="BL340" s="155"/>
      <c r="BM340" s="155"/>
      <c r="BN340" s="155"/>
      <c r="BO340" s="155"/>
      <c r="BP340" s="155"/>
      <c r="BQ340" s="155"/>
      <c r="BR340" s="155"/>
    </row>
    <row r="341" spans="1:70" s="156" customFormat="1" ht="75" hidden="1" customHeight="1" x14ac:dyDescent="0.25">
      <c r="A341" s="266"/>
      <c r="B341" s="268"/>
      <c r="C341" s="268"/>
      <c r="D341" s="271"/>
      <c r="E341" s="271"/>
      <c r="F341" s="271"/>
      <c r="G341" s="363"/>
      <c r="H341" s="271"/>
      <c r="I341" s="266"/>
      <c r="J341" s="276"/>
      <c r="K341" s="278"/>
      <c r="L341" s="274"/>
      <c r="M341" s="278">
        <f ca="1">IF(NOT(ISERROR(MATCH(L341,_xlfn.ANCHORARRAY(G352),0))),K354&amp;"Por favor no seleccionar los criterios de impacto",L341)</f>
        <v>0</v>
      </c>
      <c r="N341" s="276"/>
      <c r="O341" s="278"/>
      <c r="P341" s="280"/>
      <c r="Q341" s="201">
        <v>5</v>
      </c>
      <c r="R341" s="112"/>
      <c r="S341" s="201" t="str">
        <f t="shared" si="136"/>
        <v/>
      </c>
      <c r="T341" s="113"/>
      <c r="U341" s="113"/>
      <c r="V341" s="167" t="str">
        <f t="shared" si="129"/>
        <v/>
      </c>
      <c r="W341" s="113"/>
      <c r="X341" s="113"/>
      <c r="Y341" s="113"/>
      <c r="Z341" s="165" t="str">
        <f>IFERROR(IF(S341="Probabilidad",(K337-(+K337*V341)),IF(S341="Impacto",K337,"")),"")</f>
        <v/>
      </c>
      <c r="AA341" s="166" t="str">
        <f t="shared" si="137"/>
        <v/>
      </c>
      <c r="AB341" s="167" t="str">
        <f t="shared" si="138"/>
        <v/>
      </c>
      <c r="AC341" s="166" t="str">
        <f t="shared" si="139"/>
        <v/>
      </c>
      <c r="AD341" s="167" t="str">
        <f t="shared" si="141"/>
        <v/>
      </c>
      <c r="AE341" s="168" t="str">
        <f t="shared" si="140"/>
        <v/>
      </c>
      <c r="AF341" s="113" t="s">
        <v>134</v>
      </c>
      <c r="AG341" s="191"/>
      <c r="AH341" s="192"/>
      <c r="AI341" s="114"/>
      <c r="AJ341" s="114"/>
      <c r="AK341" s="191"/>
      <c r="AL341" s="192"/>
      <c r="AM341" s="155"/>
      <c r="AN341" s="155"/>
      <c r="AO341" s="155"/>
      <c r="AP341" s="155"/>
      <c r="AQ341" s="155"/>
      <c r="AR341" s="155"/>
      <c r="AS341" s="155"/>
      <c r="AT341" s="155"/>
      <c r="AU341" s="155"/>
      <c r="AV341" s="155"/>
      <c r="AW341" s="155"/>
      <c r="AX341" s="155"/>
      <c r="AY341" s="155"/>
      <c r="AZ341" s="155"/>
      <c r="BA341" s="155"/>
      <c r="BB341" s="155"/>
      <c r="BC341" s="155"/>
      <c r="BD341" s="155"/>
      <c r="BE341" s="155"/>
      <c r="BF341" s="155"/>
      <c r="BG341" s="155"/>
      <c r="BH341" s="155"/>
      <c r="BI341" s="155"/>
      <c r="BJ341" s="155"/>
      <c r="BK341" s="155"/>
      <c r="BL341" s="155"/>
      <c r="BM341" s="155"/>
      <c r="BN341" s="155"/>
      <c r="BO341" s="155"/>
      <c r="BP341" s="155"/>
      <c r="BQ341" s="155"/>
      <c r="BR341" s="155"/>
    </row>
    <row r="342" spans="1:70" s="156" customFormat="1" ht="75" hidden="1" customHeight="1" x14ac:dyDescent="0.25">
      <c r="A342" s="266"/>
      <c r="B342" s="269"/>
      <c r="C342" s="269"/>
      <c r="D342" s="271"/>
      <c r="E342" s="271"/>
      <c r="F342" s="271"/>
      <c r="G342" s="363"/>
      <c r="H342" s="271"/>
      <c r="I342" s="266"/>
      <c r="J342" s="276"/>
      <c r="K342" s="278"/>
      <c r="L342" s="274"/>
      <c r="M342" s="278">
        <f ca="1">IF(NOT(ISERROR(MATCH(L342,_xlfn.ANCHORARRAY(G353),0))),K355&amp;"Por favor no seleccionar los criterios de impacto",L342)</f>
        <v>0</v>
      </c>
      <c r="N342" s="276"/>
      <c r="O342" s="278"/>
      <c r="P342" s="280"/>
      <c r="Q342" s="201">
        <v>6</v>
      </c>
      <c r="R342" s="112"/>
      <c r="S342" s="201" t="str">
        <f t="shared" si="136"/>
        <v/>
      </c>
      <c r="T342" s="113"/>
      <c r="U342" s="113"/>
      <c r="V342" s="167" t="str">
        <f t="shared" si="129"/>
        <v/>
      </c>
      <c r="W342" s="113"/>
      <c r="X342" s="113"/>
      <c r="Y342" s="113"/>
      <c r="Z342" s="165" t="str">
        <f>IFERROR(IF(S342="Probabilidad",(K337-(+K337*V342)),IF(S342="Impacto",K337,"")),"")</f>
        <v/>
      </c>
      <c r="AA342" s="166" t="str">
        <f t="shared" si="137"/>
        <v/>
      </c>
      <c r="AB342" s="167" t="str">
        <f t="shared" si="138"/>
        <v/>
      </c>
      <c r="AC342" s="166" t="str">
        <f t="shared" si="139"/>
        <v/>
      </c>
      <c r="AD342" s="167" t="str">
        <f t="shared" si="141"/>
        <v/>
      </c>
      <c r="AE342" s="168" t="str">
        <f t="shared" si="140"/>
        <v/>
      </c>
      <c r="AF342" s="113" t="s">
        <v>134</v>
      </c>
      <c r="AG342" s="191"/>
      <c r="AH342" s="192"/>
      <c r="AI342" s="114"/>
      <c r="AJ342" s="114"/>
      <c r="AK342" s="191"/>
      <c r="AL342" s="192"/>
      <c r="AM342" s="155"/>
      <c r="AN342" s="155"/>
      <c r="AO342" s="155"/>
      <c r="AP342" s="155"/>
      <c r="AQ342" s="155"/>
      <c r="AR342" s="155"/>
      <c r="AS342" s="155"/>
      <c r="AT342" s="155"/>
      <c r="AU342" s="155"/>
      <c r="AV342" s="155"/>
      <c r="AW342" s="155"/>
      <c r="AX342" s="155"/>
      <c r="AY342" s="155"/>
      <c r="AZ342" s="155"/>
      <c r="BA342" s="155"/>
      <c r="BB342" s="155"/>
      <c r="BC342" s="155"/>
      <c r="BD342" s="155"/>
      <c r="BE342" s="155"/>
      <c r="BF342" s="155"/>
      <c r="BG342" s="155"/>
      <c r="BH342" s="155"/>
      <c r="BI342" s="155"/>
      <c r="BJ342" s="155"/>
      <c r="BK342" s="155"/>
      <c r="BL342" s="155"/>
      <c r="BM342" s="155"/>
      <c r="BN342" s="155"/>
      <c r="BO342" s="155"/>
      <c r="BP342" s="155"/>
      <c r="BQ342" s="155"/>
      <c r="BR342" s="155"/>
    </row>
    <row r="343" spans="1:70" s="156" customFormat="1" ht="64.5" x14ac:dyDescent="0.25">
      <c r="A343" s="266">
        <v>56</v>
      </c>
      <c r="B343" s="267" t="s">
        <v>218</v>
      </c>
      <c r="C343" s="267" t="s">
        <v>744</v>
      </c>
      <c r="D343" s="270" t="s">
        <v>132</v>
      </c>
      <c r="E343" s="270" t="s">
        <v>750</v>
      </c>
      <c r="F343" s="270" t="s">
        <v>751</v>
      </c>
      <c r="G343" s="362" t="s">
        <v>752</v>
      </c>
      <c r="H343" s="270" t="s">
        <v>437</v>
      </c>
      <c r="I343" s="281">
        <v>365</v>
      </c>
      <c r="J343" s="275" t="str">
        <f>IF(I343&lt;=0,"",IF(I343&lt;=2,"Muy Baja",IF(I343&lt;=24,"Baja",IF(I343&lt;=500,"Media",IF(I343&lt;=5000,"Alta","Muy Alta")))))</f>
        <v>Media</v>
      </c>
      <c r="K343" s="277">
        <f>IF(J343="","",IF(J343="Muy Baja",0.2,IF(J343="Baja",0.4,IF(J343="Media",0.6,IF(J343="Alta",0.8,IF(J343="Muy Alta",1,))))))</f>
        <v>0.6</v>
      </c>
      <c r="L343" s="273" t="s">
        <v>94</v>
      </c>
      <c r="M343" s="277" t="str">
        <f>IF(NOT(ISERROR(MATCH(L343,'[11]Tabla Impacto'!$B$221:$B$223,0))),'[11]Tabla Impacto'!$F$223&amp;"Por favor no seleccionar los criterios de impacto(Afectación Económica o presupuestal y Pérdida Reputacional)",L343)</f>
        <v xml:space="preserve">Mayor a 500 SMLMV </v>
      </c>
      <c r="N343" s="275" t="str">
        <f>+IF(OR(M343='[11]Tabla Impacto'!$C$11,M343='[11]Tabla Impacto'!$D$11),"Leve",IF(OR(M343='[11]Tabla Impacto'!$C$12,M343='[11]Tabla Impacto'!$D$12),"Menor",IF(OR(M343='[11]Tabla Impacto'!$C$13,M343='[11]Tabla Impacto'!$D$13),"Moderado",IF(OR(M343='[11]Tabla Impacto'!$C$14,M343='[11]Tabla Impacto'!$D$14),"Mayor",IF(OR(M343='[11]Tabla Impacto'!$C$15,M343='[11]Tabla Impacto'!$D$15),"Catastrófico","")))))</f>
        <v>Catastrófico</v>
      </c>
      <c r="O343" s="277">
        <f>IF(N343="","",IF(N343="Leve",0.2,IF(N343="Menor",0.4,IF(N343="Moderado",0.6,IF(N343="Mayor",0.8,IF(N343="Catastrófico",1,))))))</f>
        <v>1</v>
      </c>
      <c r="P343" s="279" t="str">
        <f>IF(OR(AND(J343="Muy Baja",N343="Leve"),AND(J343="Muy Baja",N343="Menor"),AND(J343="Baja",N343="Leve")),"Bajo",IF(OR(AND(J343="Muy baja",N343="Moderado"),AND(J343="Baja",N343="Menor"),AND(J343="Baja",N343="Moderado"),AND(J343="Media",N343="Leve"),AND(J343="Media",N343="Menor"),AND(J343="Media",N343="Moderado"),AND(J343="Alta",N343="Leve"),AND(J343="Alta",N343="Menor")),"Moderado",IF(OR(AND(J343="Muy Baja",N343="Mayor"),AND(J343="Baja",N343="Mayor"),AND(J343="Media",N343="Mayor"),AND(J343="Alta",N343="Moderado"),AND(J343="Alta",N343="Mayor"),AND(J343="Muy Alta",N343="Leve"),AND(J343="Muy Alta",N343="Menor"),AND(J343="Muy Alta",N343="Moderado"),AND(J343="Muy Alta",N343="Mayor")),"Alto",IF(OR(AND(J343="Muy Baja",N343="Catastrófico"),AND(J343="Baja",N343="Catastrófico"),AND(J343="Media",N343="Catastrófico"),AND(J343="Alta",N343="Catastrófico"),AND(J343="Muy Alta",N343="Catastrófico")),"Extremo",""))))</f>
        <v>Extremo</v>
      </c>
      <c r="Q343" s="201">
        <v>1</v>
      </c>
      <c r="R343" s="112" t="s">
        <v>802</v>
      </c>
      <c r="S343" s="201" t="str">
        <f t="shared" si="136"/>
        <v>Probabilidad</v>
      </c>
      <c r="T343" s="113" t="s">
        <v>14</v>
      </c>
      <c r="U343" s="113" t="s">
        <v>9</v>
      </c>
      <c r="V343" s="167" t="str">
        <f t="shared" si="129"/>
        <v>40%</v>
      </c>
      <c r="W343" s="113" t="s">
        <v>19</v>
      </c>
      <c r="X343" s="113" t="s">
        <v>22</v>
      </c>
      <c r="Y343" s="113" t="s">
        <v>117</v>
      </c>
      <c r="Z343" s="165">
        <f t="shared" si="142"/>
        <v>0.36</v>
      </c>
      <c r="AA343" s="166" t="str">
        <f t="shared" si="137"/>
        <v>Baja</v>
      </c>
      <c r="AB343" s="167">
        <f t="shared" si="138"/>
        <v>0.36</v>
      </c>
      <c r="AC343" s="166" t="str">
        <f t="shared" si="139"/>
        <v>Catastrófico</v>
      </c>
      <c r="AD343" s="167">
        <f t="shared" si="141"/>
        <v>1</v>
      </c>
      <c r="AE343" s="168" t="str">
        <f t="shared" si="140"/>
        <v>Extremo</v>
      </c>
      <c r="AF343" s="113" t="s">
        <v>31</v>
      </c>
      <c r="AG343" s="191"/>
      <c r="AH343" s="192"/>
      <c r="AI343" s="114"/>
      <c r="AJ343" s="114"/>
      <c r="AK343" s="191"/>
      <c r="AL343" s="192"/>
      <c r="AM343" s="155"/>
      <c r="AN343" s="155"/>
      <c r="AO343" s="155"/>
      <c r="AP343" s="155"/>
      <c r="AQ343" s="155"/>
      <c r="AR343" s="155"/>
      <c r="AS343" s="155"/>
      <c r="AT343" s="155"/>
      <c r="AU343" s="155"/>
      <c r="AV343" s="155"/>
      <c r="AW343" s="155"/>
      <c r="AX343" s="155"/>
      <c r="AY343" s="155"/>
      <c r="AZ343" s="155"/>
      <c r="BA343" s="155"/>
      <c r="BB343" s="155"/>
      <c r="BC343" s="155"/>
      <c r="BD343" s="155"/>
      <c r="BE343" s="155"/>
      <c r="BF343" s="155"/>
      <c r="BG343" s="155"/>
      <c r="BH343" s="155"/>
      <c r="BI343" s="155"/>
      <c r="BJ343" s="155"/>
      <c r="BK343" s="155"/>
      <c r="BL343" s="155"/>
      <c r="BM343" s="155"/>
      <c r="BN343" s="155"/>
      <c r="BO343" s="155"/>
      <c r="BP343" s="155"/>
      <c r="BQ343" s="155"/>
      <c r="BR343" s="155"/>
    </row>
    <row r="344" spans="1:70" s="156" customFormat="1" ht="75" x14ac:dyDescent="0.25">
      <c r="A344" s="266"/>
      <c r="B344" s="294"/>
      <c r="C344" s="294"/>
      <c r="D344" s="270"/>
      <c r="E344" s="270"/>
      <c r="F344" s="270"/>
      <c r="G344" s="362"/>
      <c r="H344" s="270"/>
      <c r="I344" s="281"/>
      <c r="J344" s="275"/>
      <c r="K344" s="277"/>
      <c r="L344" s="273"/>
      <c r="M344" s="277">
        <f ca="1">IF(NOT(ISERROR(MATCH(L344,_xlfn.ANCHORARRAY(G355),0))),K357&amp;"Por favor no seleccionar los criterios de impacto",L344)</f>
        <v>0</v>
      </c>
      <c r="N344" s="275"/>
      <c r="O344" s="277"/>
      <c r="P344" s="279"/>
      <c r="Q344" s="201">
        <v>2</v>
      </c>
      <c r="R344" s="112" t="s">
        <v>803</v>
      </c>
      <c r="S344" s="201" t="str">
        <f t="shared" si="136"/>
        <v>Probabilidad</v>
      </c>
      <c r="T344" s="113" t="s">
        <v>14</v>
      </c>
      <c r="U344" s="113" t="s">
        <v>9</v>
      </c>
      <c r="V344" s="167" t="str">
        <f t="shared" si="129"/>
        <v>40%</v>
      </c>
      <c r="W344" s="113" t="s">
        <v>19</v>
      </c>
      <c r="X344" s="113" t="s">
        <v>22</v>
      </c>
      <c r="Y344" s="113" t="s">
        <v>117</v>
      </c>
      <c r="Z344" s="165">
        <f>IFERROR(IF(S344="Probabilidad",(K343-(+K343*V344)),IF(S344="Impacto",K343,"")),"")</f>
        <v>0.36</v>
      </c>
      <c r="AA344" s="166" t="str">
        <f t="shared" si="137"/>
        <v>Baja</v>
      </c>
      <c r="AB344" s="167">
        <f t="shared" si="138"/>
        <v>0.36</v>
      </c>
      <c r="AC344" s="166" t="str">
        <f t="shared" si="139"/>
        <v>Catastrófico</v>
      </c>
      <c r="AD344" s="167">
        <f>IFERROR(IF(S344="Impacto",(O343-(+O343*V344)),IF(S344="Probabilidad",O343,"")),"")</f>
        <v>1</v>
      </c>
      <c r="AE344" s="168" t="str">
        <f t="shared" si="140"/>
        <v>Extremo</v>
      </c>
      <c r="AF344" s="113" t="s">
        <v>134</v>
      </c>
      <c r="AG344" s="191"/>
      <c r="AH344" s="192"/>
      <c r="AI344" s="114"/>
      <c r="AJ344" s="114"/>
      <c r="AK344" s="191"/>
      <c r="AL344" s="192"/>
      <c r="AM344" s="155"/>
      <c r="AN344" s="155"/>
      <c r="AO344" s="155"/>
      <c r="AP344" s="155"/>
      <c r="AQ344" s="155"/>
      <c r="AR344" s="155"/>
      <c r="AS344" s="155"/>
      <c r="AT344" s="155"/>
      <c r="AU344" s="155"/>
      <c r="AV344" s="155"/>
      <c r="AW344" s="155"/>
      <c r="AX344" s="155"/>
      <c r="AY344" s="155"/>
      <c r="AZ344" s="155"/>
      <c r="BA344" s="155"/>
      <c r="BB344" s="155"/>
      <c r="BC344" s="155"/>
      <c r="BD344" s="155"/>
      <c r="BE344" s="155"/>
      <c r="BF344" s="155"/>
      <c r="BG344" s="155"/>
      <c r="BH344" s="155"/>
      <c r="BI344" s="155"/>
      <c r="BJ344" s="155"/>
      <c r="BK344" s="155"/>
      <c r="BL344" s="155"/>
      <c r="BM344" s="155"/>
      <c r="BN344" s="155"/>
      <c r="BO344" s="155"/>
      <c r="BP344" s="155"/>
      <c r="BQ344" s="155"/>
      <c r="BR344" s="155"/>
    </row>
    <row r="345" spans="1:70" s="156" customFormat="1" ht="16.5" hidden="1" customHeight="1" x14ac:dyDescent="0.25">
      <c r="A345" s="266"/>
      <c r="B345" s="268"/>
      <c r="C345" s="268"/>
      <c r="D345" s="271"/>
      <c r="E345" s="271"/>
      <c r="F345" s="271"/>
      <c r="G345" s="363"/>
      <c r="H345" s="271"/>
      <c r="I345" s="266"/>
      <c r="J345" s="276"/>
      <c r="K345" s="278"/>
      <c r="L345" s="274"/>
      <c r="M345" s="278">
        <f ca="1">IF(NOT(ISERROR(MATCH(L345,_xlfn.ANCHORARRAY(G356),0))),K358&amp;"Por favor no seleccionar los criterios de impacto",L345)</f>
        <v>0</v>
      </c>
      <c r="N345" s="276"/>
      <c r="O345" s="278"/>
      <c r="P345" s="280"/>
      <c r="Q345" s="201">
        <v>3</v>
      </c>
      <c r="R345" s="112"/>
      <c r="S345" s="201" t="str">
        <f t="shared" si="136"/>
        <v/>
      </c>
      <c r="T345" s="113"/>
      <c r="U345" s="113"/>
      <c r="V345" s="167" t="str">
        <f t="shared" si="129"/>
        <v/>
      </c>
      <c r="W345" s="113"/>
      <c r="X345" s="113"/>
      <c r="Y345" s="113"/>
      <c r="Z345" s="165" t="str">
        <f>IFERROR(IF(S345="Probabilidad",(K343-(+K343*V345)),IF(S345="Impacto",K343,"")),"")</f>
        <v/>
      </c>
      <c r="AA345" s="166" t="str">
        <f t="shared" si="137"/>
        <v/>
      </c>
      <c r="AB345" s="167" t="str">
        <f t="shared" si="138"/>
        <v/>
      </c>
      <c r="AC345" s="166" t="str">
        <f t="shared" si="139"/>
        <v/>
      </c>
      <c r="AD345" s="167" t="str">
        <f t="shared" si="141"/>
        <v/>
      </c>
      <c r="AE345" s="168" t="str">
        <f t="shared" si="140"/>
        <v/>
      </c>
      <c r="AF345" s="113"/>
      <c r="AG345" s="191"/>
      <c r="AH345" s="192"/>
      <c r="AI345" s="114"/>
      <c r="AJ345" s="114"/>
      <c r="AK345" s="191"/>
      <c r="AL345" s="192"/>
      <c r="AM345" s="155"/>
      <c r="AN345" s="155"/>
      <c r="AO345" s="155"/>
      <c r="AP345" s="155"/>
      <c r="AQ345" s="155"/>
      <c r="AR345" s="155"/>
      <c r="AS345" s="155"/>
      <c r="AT345" s="155"/>
      <c r="AU345" s="155"/>
      <c r="AV345" s="155"/>
      <c r="AW345" s="155"/>
      <c r="AX345" s="155"/>
      <c r="AY345" s="155"/>
      <c r="AZ345" s="155"/>
      <c r="BA345" s="155"/>
      <c r="BB345" s="155"/>
      <c r="BC345" s="155"/>
      <c r="BD345" s="155"/>
      <c r="BE345" s="155"/>
      <c r="BF345" s="155"/>
      <c r="BG345" s="155"/>
      <c r="BH345" s="155"/>
      <c r="BI345" s="155"/>
      <c r="BJ345" s="155"/>
      <c r="BK345" s="155"/>
      <c r="BL345" s="155"/>
      <c r="BM345" s="155"/>
      <c r="BN345" s="155"/>
      <c r="BO345" s="155"/>
      <c r="BP345" s="155"/>
      <c r="BQ345" s="155"/>
      <c r="BR345" s="155"/>
    </row>
    <row r="346" spans="1:70" s="156" customFormat="1" ht="16.5" hidden="1" customHeight="1" x14ac:dyDescent="0.25">
      <c r="A346" s="266"/>
      <c r="B346" s="268"/>
      <c r="C346" s="268"/>
      <c r="D346" s="271"/>
      <c r="E346" s="271"/>
      <c r="F346" s="271"/>
      <c r="G346" s="363"/>
      <c r="H346" s="271"/>
      <c r="I346" s="266"/>
      <c r="J346" s="276"/>
      <c r="K346" s="278"/>
      <c r="L346" s="274"/>
      <c r="M346" s="278">
        <f ca="1">IF(NOT(ISERROR(MATCH(L346,_xlfn.ANCHORARRAY(G357),0))),K359&amp;"Por favor no seleccionar los criterios de impacto",L346)</f>
        <v>0</v>
      </c>
      <c r="N346" s="276"/>
      <c r="O346" s="278"/>
      <c r="P346" s="280"/>
      <c r="Q346" s="201">
        <v>4</v>
      </c>
      <c r="R346" s="112"/>
      <c r="S346" s="201" t="str">
        <f t="shared" si="136"/>
        <v/>
      </c>
      <c r="T346" s="113"/>
      <c r="U346" s="113"/>
      <c r="V346" s="167" t="str">
        <f t="shared" si="129"/>
        <v/>
      </c>
      <c r="W346" s="113"/>
      <c r="X346" s="113"/>
      <c r="Y346" s="113"/>
      <c r="Z346" s="165" t="str">
        <f>IFERROR(IF(S346="Probabilidad",(K343-(+K343*V346)),IF(S346="Impacto",K343,"")),"")</f>
        <v/>
      </c>
      <c r="AA346" s="166" t="str">
        <f t="shared" si="137"/>
        <v/>
      </c>
      <c r="AB346" s="167" t="str">
        <f t="shared" si="138"/>
        <v/>
      </c>
      <c r="AC346" s="166" t="str">
        <f t="shared" si="139"/>
        <v/>
      </c>
      <c r="AD346" s="167" t="str">
        <f t="shared" si="141"/>
        <v/>
      </c>
      <c r="AE346" s="168" t="str">
        <f t="shared" si="140"/>
        <v/>
      </c>
      <c r="AF346" s="113"/>
      <c r="AG346" s="191"/>
      <c r="AH346" s="192"/>
      <c r="AI346" s="114"/>
      <c r="AJ346" s="114"/>
      <c r="AK346" s="191"/>
      <c r="AL346" s="192"/>
      <c r="AM346" s="155"/>
      <c r="AN346" s="155"/>
      <c r="AO346" s="155"/>
      <c r="AP346" s="155"/>
      <c r="AQ346" s="155"/>
      <c r="AR346" s="155"/>
      <c r="AS346" s="155"/>
      <c r="AT346" s="155"/>
      <c r="AU346" s="155"/>
      <c r="AV346" s="155"/>
      <c r="AW346" s="155"/>
      <c r="AX346" s="155"/>
      <c r="AY346" s="155"/>
      <c r="AZ346" s="155"/>
      <c r="BA346" s="155"/>
      <c r="BB346" s="155"/>
      <c r="BC346" s="155"/>
      <c r="BD346" s="155"/>
      <c r="BE346" s="155"/>
      <c r="BF346" s="155"/>
      <c r="BG346" s="155"/>
      <c r="BH346" s="155"/>
      <c r="BI346" s="155"/>
      <c r="BJ346" s="155"/>
      <c r="BK346" s="155"/>
      <c r="BL346" s="155"/>
      <c r="BM346" s="155"/>
      <c r="BN346" s="155"/>
      <c r="BO346" s="155"/>
      <c r="BP346" s="155"/>
      <c r="BQ346" s="155"/>
      <c r="BR346" s="155"/>
    </row>
    <row r="347" spans="1:70" s="156" customFormat="1" ht="16.5" hidden="1" customHeight="1" x14ac:dyDescent="0.25">
      <c r="A347" s="266"/>
      <c r="B347" s="268"/>
      <c r="C347" s="268"/>
      <c r="D347" s="271"/>
      <c r="E347" s="271"/>
      <c r="F347" s="271"/>
      <c r="G347" s="363"/>
      <c r="H347" s="271"/>
      <c r="I347" s="266"/>
      <c r="J347" s="276"/>
      <c r="K347" s="278"/>
      <c r="L347" s="274"/>
      <c r="M347" s="278">
        <f ca="1">IF(NOT(ISERROR(MATCH(L347,_xlfn.ANCHORARRAY(G358),0))),K360&amp;"Por favor no seleccionar los criterios de impacto",L347)</f>
        <v>0</v>
      </c>
      <c r="N347" s="276"/>
      <c r="O347" s="278"/>
      <c r="P347" s="280"/>
      <c r="Q347" s="201">
        <v>5</v>
      </c>
      <c r="R347" s="112"/>
      <c r="S347" s="201" t="str">
        <f t="shared" si="136"/>
        <v/>
      </c>
      <c r="T347" s="113"/>
      <c r="U347" s="113"/>
      <c r="V347" s="167" t="str">
        <f t="shared" si="129"/>
        <v/>
      </c>
      <c r="W347" s="113"/>
      <c r="X347" s="113"/>
      <c r="Y347" s="113"/>
      <c r="Z347" s="165" t="str">
        <f>IFERROR(IF(S347="Probabilidad",(K343-(+K343*V347)),IF(S347="Impacto",K343,"")),"")</f>
        <v/>
      </c>
      <c r="AA347" s="166" t="str">
        <f t="shared" si="137"/>
        <v/>
      </c>
      <c r="AB347" s="167" t="str">
        <f t="shared" si="138"/>
        <v/>
      </c>
      <c r="AC347" s="166" t="str">
        <f t="shared" si="139"/>
        <v/>
      </c>
      <c r="AD347" s="167" t="str">
        <f t="shared" si="141"/>
        <v/>
      </c>
      <c r="AE347" s="168" t="str">
        <f t="shared" si="140"/>
        <v/>
      </c>
      <c r="AF347" s="113"/>
      <c r="AG347" s="191"/>
      <c r="AH347" s="192"/>
      <c r="AI347" s="114"/>
      <c r="AJ347" s="114"/>
      <c r="AK347" s="191"/>
      <c r="AL347" s="192"/>
      <c r="AM347" s="155"/>
      <c r="AN347" s="155"/>
      <c r="AO347" s="155"/>
      <c r="AP347" s="155"/>
      <c r="AQ347" s="155"/>
      <c r="AR347" s="155"/>
      <c r="AS347" s="155"/>
      <c r="AT347" s="155"/>
      <c r="AU347" s="155"/>
      <c r="AV347" s="155"/>
      <c r="AW347" s="155"/>
      <c r="AX347" s="155"/>
      <c r="AY347" s="155"/>
      <c r="AZ347" s="155"/>
      <c r="BA347" s="155"/>
      <c r="BB347" s="155"/>
      <c r="BC347" s="155"/>
      <c r="BD347" s="155"/>
      <c r="BE347" s="155"/>
      <c r="BF347" s="155"/>
      <c r="BG347" s="155"/>
      <c r="BH347" s="155"/>
      <c r="BI347" s="155"/>
      <c r="BJ347" s="155"/>
      <c r="BK347" s="155"/>
      <c r="BL347" s="155"/>
      <c r="BM347" s="155"/>
      <c r="BN347" s="155"/>
      <c r="BO347" s="155"/>
      <c r="BP347" s="155"/>
      <c r="BQ347" s="155"/>
      <c r="BR347" s="155"/>
    </row>
    <row r="348" spans="1:70" s="156" customFormat="1" ht="16.5" hidden="1" customHeight="1" x14ac:dyDescent="0.25">
      <c r="A348" s="266"/>
      <c r="B348" s="269"/>
      <c r="C348" s="269"/>
      <c r="D348" s="271"/>
      <c r="E348" s="271"/>
      <c r="F348" s="271"/>
      <c r="G348" s="363"/>
      <c r="H348" s="271"/>
      <c r="I348" s="266"/>
      <c r="J348" s="276"/>
      <c r="K348" s="278"/>
      <c r="L348" s="274"/>
      <c r="M348" s="278">
        <f ca="1">IF(NOT(ISERROR(MATCH(L348,_xlfn.ANCHORARRAY(G359),0))),K361&amp;"Por favor no seleccionar los criterios de impacto",L348)</f>
        <v>0</v>
      </c>
      <c r="N348" s="276"/>
      <c r="O348" s="278"/>
      <c r="P348" s="280"/>
      <c r="Q348" s="201">
        <v>6</v>
      </c>
      <c r="R348" s="112"/>
      <c r="S348" s="201" t="str">
        <f t="shared" si="136"/>
        <v/>
      </c>
      <c r="T348" s="113"/>
      <c r="U348" s="113"/>
      <c r="V348" s="167" t="str">
        <f t="shared" si="129"/>
        <v/>
      </c>
      <c r="W348" s="113"/>
      <c r="X348" s="113"/>
      <c r="Y348" s="113"/>
      <c r="Z348" s="165" t="str">
        <f>IFERROR(IF(S348="Probabilidad",(K343-(+K343*V348)),IF(S348="Impacto",K343,"")),"")</f>
        <v/>
      </c>
      <c r="AA348" s="166" t="str">
        <f t="shared" si="137"/>
        <v/>
      </c>
      <c r="AB348" s="167" t="str">
        <f t="shared" si="138"/>
        <v/>
      </c>
      <c r="AC348" s="166" t="str">
        <f t="shared" si="139"/>
        <v/>
      </c>
      <c r="AD348" s="167" t="str">
        <f t="shared" si="141"/>
        <v/>
      </c>
      <c r="AE348" s="168" t="str">
        <f t="shared" si="140"/>
        <v/>
      </c>
      <c r="AF348" s="113"/>
      <c r="AG348" s="191"/>
      <c r="AH348" s="192"/>
      <c r="AI348" s="114"/>
      <c r="AJ348" s="114"/>
      <c r="AK348" s="191"/>
      <c r="AL348" s="192"/>
      <c r="AM348" s="155"/>
      <c r="AN348" s="155"/>
      <c r="AO348" s="155"/>
      <c r="AP348" s="155"/>
      <c r="AQ348" s="155"/>
      <c r="AR348" s="155"/>
      <c r="AS348" s="155"/>
      <c r="AT348" s="155"/>
      <c r="AU348" s="155"/>
      <c r="AV348" s="155"/>
      <c r="AW348" s="155"/>
      <c r="AX348" s="155"/>
      <c r="AY348" s="155"/>
      <c r="AZ348" s="155"/>
      <c r="BA348" s="155"/>
      <c r="BB348" s="155"/>
      <c r="BC348" s="155"/>
      <c r="BD348" s="155"/>
      <c r="BE348" s="155"/>
      <c r="BF348" s="155"/>
      <c r="BG348" s="155"/>
      <c r="BH348" s="155"/>
      <c r="BI348" s="155"/>
      <c r="BJ348" s="155"/>
      <c r="BK348" s="155"/>
      <c r="BL348" s="155"/>
      <c r="BM348" s="155"/>
      <c r="BN348" s="155"/>
      <c r="BO348" s="155"/>
      <c r="BP348" s="155"/>
      <c r="BQ348" s="155"/>
      <c r="BR348" s="155"/>
    </row>
    <row r="349" spans="1:70" s="156" customFormat="1" ht="87" customHeight="1" x14ac:dyDescent="0.25">
      <c r="A349" s="266">
        <v>57</v>
      </c>
      <c r="B349" s="267" t="s">
        <v>218</v>
      </c>
      <c r="C349" s="267" t="s">
        <v>753</v>
      </c>
      <c r="D349" s="270" t="s">
        <v>132</v>
      </c>
      <c r="E349" s="270" t="s">
        <v>464</v>
      </c>
      <c r="F349" s="270" t="s">
        <v>754</v>
      </c>
      <c r="G349" s="362" t="s">
        <v>755</v>
      </c>
      <c r="H349" s="270" t="s">
        <v>436</v>
      </c>
      <c r="I349" s="281">
        <v>365</v>
      </c>
      <c r="J349" s="275" t="str">
        <f>IF(I349&lt;=0,"",IF(I349&lt;=2,"Muy Baja",IF(I349&lt;=24,"Baja",IF(I349&lt;=500,"Media",IF(I349&lt;=5000,"Alta","Muy Alta")))))</f>
        <v>Media</v>
      </c>
      <c r="K349" s="277">
        <f>IF(J349="","",IF(J349="Muy Baja",0.2,IF(J349="Baja",0.4,IF(J349="Media",0.6,IF(J349="Alta",0.8,IF(J349="Muy Alta",1,))))))</f>
        <v>0.6</v>
      </c>
      <c r="L349" s="273" t="s">
        <v>98</v>
      </c>
      <c r="M349" s="277" t="str">
        <f>IF(NOT(ISERROR(MATCH(L349,'[11]Tabla Impacto'!$B$221:$B$223,0))),'[11]Tabla Impacto'!$F$223&amp;"Por favor no seleccionar los criterios de impacto(Afectación Económica o presupuestal y Pérdida Reputacional)",L349)</f>
        <v>El riesgo afecta la imagen de la entidad con algunos usuarios de relevancia frente al logro de los objetivos</v>
      </c>
      <c r="N349" s="275" t="str">
        <f>+IF(OR(M349='[11]Tabla Impacto'!$C$11,M349='[11]Tabla Impacto'!$D$11),"Leve",IF(OR(M349='[11]Tabla Impacto'!$C$12,M349='[11]Tabla Impacto'!$D$12),"Menor",IF(OR(M349='[11]Tabla Impacto'!$C$13,M349='[11]Tabla Impacto'!$D$13),"Moderado",IF(OR(M349='[11]Tabla Impacto'!$C$14,M349='[11]Tabla Impacto'!$D$14),"Mayor",IF(OR(M349='[11]Tabla Impacto'!$C$15,M349='[11]Tabla Impacto'!$D$15),"Catastrófico","")))))</f>
        <v>Moderado</v>
      </c>
      <c r="O349" s="277">
        <f>IF(N349="","",IF(N349="Leve",0.2,IF(N349="Menor",0.4,IF(N349="Moderado",0.6,IF(N349="Mayor",0.8,IF(N349="Catastrófico",1,))))))</f>
        <v>0.6</v>
      </c>
      <c r="P349" s="279" t="str">
        <f>IF(OR(AND(J349="Muy Baja",N349="Leve"),AND(J349="Muy Baja",N349="Menor"),AND(J349="Baja",N349="Leve")),"Bajo",IF(OR(AND(J349="Muy baja",N349="Moderado"),AND(J349="Baja",N349="Menor"),AND(J349="Baja",N349="Moderado"),AND(J349="Media",N349="Leve"),AND(J349="Media",N349="Menor"),AND(J349="Media",N349="Moderado"),AND(J349="Alta",N349="Leve"),AND(J349="Alta",N349="Menor")),"Moderado",IF(OR(AND(J349="Muy Baja",N349="Mayor"),AND(J349="Baja",N349="Mayor"),AND(J349="Media",N349="Mayor"),AND(J349="Alta",N349="Moderado"),AND(J349="Alta",N349="Mayor"),AND(J349="Muy Alta",N349="Leve"),AND(J349="Muy Alta",N349="Menor"),AND(J349="Muy Alta",N349="Moderado"),AND(J349="Muy Alta",N349="Mayor")),"Alto",IF(OR(AND(J349="Muy Baja",N349="Catastrófico"),AND(J349="Baja",N349="Catastrófico"),AND(J349="Media",N349="Catastrófico"),AND(J349="Alta",N349="Catastrófico"),AND(J349="Muy Alta",N349="Catastrófico")),"Extremo",""))))</f>
        <v>Moderado</v>
      </c>
      <c r="Q349" s="201">
        <v>1</v>
      </c>
      <c r="R349" s="112" t="s">
        <v>804</v>
      </c>
      <c r="S349" s="201" t="str">
        <f t="shared" si="136"/>
        <v>Probabilidad</v>
      </c>
      <c r="T349" s="113" t="s">
        <v>15</v>
      </c>
      <c r="U349" s="113" t="s">
        <v>10</v>
      </c>
      <c r="V349" s="167" t="str">
        <f t="shared" si="129"/>
        <v>40%</v>
      </c>
      <c r="W349" s="113" t="s">
        <v>19</v>
      </c>
      <c r="X349" s="113" t="s">
        <v>23</v>
      </c>
      <c r="Y349" s="113" t="s">
        <v>117</v>
      </c>
      <c r="Z349" s="165">
        <f t="shared" si="142"/>
        <v>0.36</v>
      </c>
      <c r="AA349" s="166" t="str">
        <f t="shared" si="137"/>
        <v>Baja</v>
      </c>
      <c r="AB349" s="167">
        <f t="shared" si="138"/>
        <v>0.36</v>
      </c>
      <c r="AC349" s="166" t="str">
        <f t="shared" si="139"/>
        <v>Moderado</v>
      </c>
      <c r="AD349" s="167">
        <f t="shared" si="141"/>
        <v>0.6</v>
      </c>
      <c r="AE349" s="168" t="str">
        <f t="shared" si="140"/>
        <v>Moderado</v>
      </c>
      <c r="AF349" s="113" t="s">
        <v>31</v>
      </c>
      <c r="AG349" s="191"/>
      <c r="AH349" s="192"/>
      <c r="AI349" s="114"/>
      <c r="AJ349" s="114"/>
      <c r="AK349" s="191"/>
      <c r="AL349" s="192"/>
      <c r="AM349" s="155"/>
      <c r="AN349" s="155"/>
      <c r="AO349" s="155"/>
      <c r="AP349" s="155"/>
      <c r="AQ349" s="155"/>
      <c r="AR349" s="155"/>
      <c r="AS349" s="155"/>
      <c r="AT349" s="155"/>
      <c r="AU349" s="155"/>
      <c r="AV349" s="155"/>
      <c r="AW349" s="155"/>
      <c r="AX349" s="155"/>
      <c r="AY349" s="155"/>
      <c r="AZ349" s="155"/>
      <c r="BA349" s="155"/>
      <c r="BB349" s="155"/>
      <c r="BC349" s="155"/>
      <c r="BD349" s="155"/>
      <c r="BE349" s="155"/>
      <c r="BF349" s="155"/>
      <c r="BG349" s="155"/>
      <c r="BH349" s="155"/>
      <c r="BI349" s="155"/>
      <c r="BJ349" s="155"/>
      <c r="BK349" s="155"/>
      <c r="BL349" s="155"/>
      <c r="BM349" s="155"/>
      <c r="BN349" s="155"/>
      <c r="BO349" s="155"/>
      <c r="BP349" s="155"/>
      <c r="BQ349" s="155"/>
      <c r="BR349" s="155"/>
    </row>
    <row r="350" spans="1:70" s="156" customFormat="1" ht="75" x14ac:dyDescent="0.25">
      <c r="A350" s="266"/>
      <c r="B350" s="294"/>
      <c r="C350" s="294"/>
      <c r="D350" s="270"/>
      <c r="E350" s="270"/>
      <c r="F350" s="270"/>
      <c r="G350" s="362"/>
      <c r="H350" s="270"/>
      <c r="I350" s="281"/>
      <c r="J350" s="275"/>
      <c r="K350" s="277"/>
      <c r="L350" s="273"/>
      <c r="M350" s="277">
        <f ca="1">IF(NOT(ISERROR(MATCH(L350,_xlfn.ANCHORARRAY(G361),0))),K363&amp;"Por favor no seleccionar los criterios de impacto",L350)</f>
        <v>0</v>
      </c>
      <c r="N350" s="275"/>
      <c r="O350" s="277"/>
      <c r="P350" s="279"/>
      <c r="Q350" s="201">
        <v>2</v>
      </c>
      <c r="R350" s="112" t="s">
        <v>805</v>
      </c>
      <c r="S350" s="201" t="str">
        <f t="shared" si="136"/>
        <v>Probabilidad</v>
      </c>
      <c r="T350" s="113" t="s">
        <v>14</v>
      </c>
      <c r="U350" s="113" t="s">
        <v>9</v>
      </c>
      <c r="V350" s="167" t="str">
        <f t="shared" si="129"/>
        <v>40%</v>
      </c>
      <c r="W350" s="113" t="s">
        <v>19</v>
      </c>
      <c r="X350" s="113" t="s">
        <v>23</v>
      </c>
      <c r="Y350" s="113" t="s">
        <v>117</v>
      </c>
      <c r="Z350" s="165">
        <f>IFERROR(IF(S350="Probabilidad",(K349-(+K349*V350)),IF(S350="Impacto",K349,"")),"")</f>
        <v>0.36</v>
      </c>
      <c r="AA350" s="166" t="str">
        <f t="shared" si="137"/>
        <v>Baja</v>
      </c>
      <c r="AB350" s="167">
        <f t="shared" si="138"/>
        <v>0.36</v>
      </c>
      <c r="AC350" s="166" t="str">
        <f t="shared" si="139"/>
        <v>Moderado</v>
      </c>
      <c r="AD350" s="167">
        <f>IFERROR(IF(S349="Impacto",(O349-(+O349*V350)),IF(S349="Probabilidad",O349,"")),"")</f>
        <v>0.6</v>
      </c>
      <c r="AE350" s="168" t="str">
        <f t="shared" si="140"/>
        <v>Moderado</v>
      </c>
      <c r="AF350" s="113" t="s">
        <v>134</v>
      </c>
      <c r="AG350" s="191"/>
      <c r="AH350" s="192"/>
      <c r="AI350" s="114"/>
      <c r="AJ350" s="114"/>
      <c r="AK350" s="191"/>
      <c r="AL350" s="192"/>
      <c r="AM350" s="155"/>
      <c r="AN350" s="155"/>
      <c r="AO350" s="155"/>
      <c r="AP350" s="155"/>
      <c r="AQ350" s="155"/>
      <c r="AR350" s="155"/>
      <c r="AS350" s="155"/>
      <c r="AT350" s="155"/>
      <c r="AU350" s="155"/>
      <c r="AV350" s="155"/>
      <c r="AW350" s="155"/>
      <c r="AX350" s="155"/>
      <c r="AY350" s="155"/>
      <c r="AZ350" s="155"/>
      <c r="BA350" s="155"/>
      <c r="BB350" s="155"/>
      <c r="BC350" s="155"/>
      <c r="BD350" s="155"/>
      <c r="BE350" s="155"/>
      <c r="BF350" s="155"/>
      <c r="BG350" s="155"/>
      <c r="BH350" s="155"/>
      <c r="BI350" s="155"/>
      <c r="BJ350" s="155"/>
      <c r="BK350" s="155"/>
      <c r="BL350" s="155"/>
      <c r="BM350" s="155"/>
      <c r="BN350" s="155"/>
      <c r="BO350" s="155"/>
      <c r="BP350" s="155"/>
      <c r="BQ350" s="155"/>
      <c r="BR350" s="155"/>
    </row>
    <row r="351" spans="1:70" s="156" customFormat="1" ht="16.5" hidden="1" customHeight="1" x14ac:dyDescent="0.25">
      <c r="A351" s="266"/>
      <c r="B351" s="268"/>
      <c r="C351" s="268"/>
      <c r="D351" s="271"/>
      <c r="E351" s="271"/>
      <c r="F351" s="271"/>
      <c r="G351" s="363"/>
      <c r="H351" s="271"/>
      <c r="I351" s="266"/>
      <c r="J351" s="276"/>
      <c r="K351" s="278"/>
      <c r="L351" s="274"/>
      <c r="M351" s="278">
        <f ca="1">IF(NOT(ISERROR(MATCH(L351,_xlfn.ANCHORARRAY(G362),0))),K364&amp;"Por favor no seleccionar los criterios de impacto",L351)</f>
        <v>0</v>
      </c>
      <c r="N351" s="276"/>
      <c r="O351" s="278"/>
      <c r="P351" s="280"/>
      <c r="Q351" s="201">
        <v>3</v>
      </c>
      <c r="R351" s="112"/>
      <c r="S351" s="201" t="str">
        <f t="shared" si="136"/>
        <v/>
      </c>
      <c r="T351" s="113"/>
      <c r="U351" s="113"/>
      <c r="V351" s="167" t="str">
        <f t="shared" si="129"/>
        <v/>
      </c>
      <c r="W351" s="113"/>
      <c r="X351" s="113"/>
      <c r="Y351" s="113"/>
      <c r="Z351" s="165" t="str">
        <f>IFERROR(IF(S351="Probabilidad",(K349-(+K349*V351)),IF(S351="Impacto",K349,"")),"")</f>
        <v/>
      </c>
      <c r="AA351" s="166" t="str">
        <f t="shared" si="137"/>
        <v/>
      </c>
      <c r="AB351" s="167" t="str">
        <f t="shared" si="138"/>
        <v/>
      </c>
      <c r="AC351" s="166" t="str">
        <f t="shared" si="139"/>
        <v/>
      </c>
      <c r="AD351" s="167" t="str">
        <f t="shared" si="141"/>
        <v/>
      </c>
      <c r="AE351" s="168" t="str">
        <f t="shared" si="140"/>
        <v/>
      </c>
      <c r="AF351" s="113"/>
      <c r="AG351" s="191"/>
      <c r="AH351" s="192"/>
      <c r="AI351" s="114"/>
      <c r="AJ351" s="114"/>
      <c r="AK351" s="191"/>
      <c r="AL351" s="192"/>
      <c r="AM351" s="155"/>
      <c r="AN351" s="155"/>
      <c r="AO351" s="155"/>
      <c r="AP351" s="155"/>
      <c r="AQ351" s="155"/>
      <c r="AR351" s="155"/>
      <c r="AS351" s="155"/>
      <c r="AT351" s="155"/>
      <c r="AU351" s="155"/>
      <c r="AV351" s="155"/>
      <c r="AW351" s="155"/>
      <c r="AX351" s="155"/>
      <c r="AY351" s="155"/>
      <c r="AZ351" s="155"/>
      <c r="BA351" s="155"/>
      <c r="BB351" s="155"/>
      <c r="BC351" s="155"/>
      <c r="BD351" s="155"/>
      <c r="BE351" s="155"/>
      <c r="BF351" s="155"/>
      <c r="BG351" s="155"/>
      <c r="BH351" s="155"/>
      <c r="BI351" s="155"/>
      <c r="BJ351" s="155"/>
      <c r="BK351" s="155"/>
      <c r="BL351" s="155"/>
      <c r="BM351" s="155"/>
      <c r="BN351" s="155"/>
      <c r="BO351" s="155"/>
      <c r="BP351" s="155"/>
      <c r="BQ351" s="155"/>
      <c r="BR351" s="155"/>
    </row>
    <row r="352" spans="1:70" s="156" customFormat="1" ht="16.5" hidden="1" customHeight="1" x14ac:dyDescent="0.25">
      <c r="A352" s="266"/>
      <c r="B352" s="268"/>
      <c r="C352" s="268"/>
      <c r="D352" s="271"/>
      <c r="E352" s="271"/>
      <c r="F352" s="271"/>
      <c r="G352" s="363"/>
      <c r="H352" s="271"/>
      <c r="I352" s="266"/>
      <c r="J352" s="276"/>
      <c r="K352" s="278"/>
      <c r="L352" s="274"/>
      <c r="M352" s="278">
        <f ca="1">IF(NOT(ISERROR(MATCH(L352,_xlfn.ANCHORARRAY(G363),0))),K365&amp;"Por favor no seleccionar los criterios de impacto",L352)</f>
        <v>0</v>
      </c>
      <c r="N352" s="276"/>
      <c r="O352" s="278"/>
      <c r="P352" s="280"/>
      <c r="Q352" s="201">
        <v>4</v>
      </c>
      <c r="R352" s="112"/>
      <c r="S352" s="201" t="str">
        <f t="shared" si="136"/>
        <v/>
      </c>
      <c r="T352" s="113"/>
      <c r="U352" s="113"/>
      <c r="V352" s="167" t="str">
        <f t="shared" si="129"/>
        <v/>
      </c>
      <c r="W352" s="113"/>
      <c r="X352" s="113"/>
      <c r="Y352" s="113"/>
      <c r="Z352" s="165" t="str">
        <f>IFERROR(IF(S352="Probabilidad",(K349-(+K349*V352)),IF(S352="Impacto",K349,"")),"")</f>
        <v/>
      </c>
      <c r="AA352" s="166" t="str">
        <f t="shared" si="137"/>
        <v/>
      </c>
      <c r="AB352" s="167" t="str">
        <f t="shared" si="138"/>
        <v/>
      </c>
      <c r="AC352" s="166" t="str">
        <f t="shared" si="139"/>
        <v/>
      </c>
      <c r="AD352" s="167" t="str">
        <f t="shared" si="141"/>
        <v/>
      </c>
      <c r="AE352" s="168" t="str">
        <f t="shared" si="140"/>
        <v/>
      </c>
      <c r="AF352" s="113"/>
      <c r="AG352" s="191"/>
      <c r="AH352" s="192"/>
      <c r="AI352" s="114"/>
      <c r="AJ352" s="114"/>
      <c r="AK352" s="191"/>
      <c r="AL352" s="192"/>
      <c r="AM352" s="155"/>
      <c r="AN352" s="155"/>
      <c r="AO352" s="155"/>
      <c r="AP352" s="155"/>
      <c r="AQ352" s="155"/>
      <c r="AR352" s="155"/>
      <c r="AS352" s="155"/>
      <c r="AT352" s="155"/>
      <c r="AU352" s="155"/>
      <c r="AV352" s="155"/>
      <c r="AW352" s="155"/>
      <c r="AX352" s="155"/>
      <c r="AY352" s="155"/>
      <c r="AZ352" s="155"/>
      <c r="BA352" s="155"/>
      <c r="BB352" s="155"/>
      <c r="BC352" s="155"/>
      <c r="BD352" s="155"/>
      <c r="BE352" s="155"/>
      <c r="BF352" s="155"/>
      <c r="BG352" s="155"/>
      <c r="BH352" s="155"/>
      <c r="BI352" s="155"/>
      <c r="BJ352" s="155"/>
      <c r="BK352" s="155"/>
      <c r="BL352" s="155"/>
      <c r="BM352" s="155"/>
      <c r="BN352" s="155"/>
      <c r="BO352" s="155"/>
      <c r="BP352" s="155"/>
      <c r="BQ352" s="155"/>
      <c r="BR352" s="155"/>
    </row>
    <row r="353" spans="1:70" s="156" customFormat="1" ht="16.5" hidden="1" customHeight="1" x14ac:dyDescent="0.25">
      <c r="A353" s="266"/>
      <c r="B353" s="268"/>
      <c r="C353" s="268"/>
      <c r="D353" s="271"/>
      <c r="E353" s="271"/>
      <c r="F353" s="271"/>
      <c r="G353" s="363"/>
      <c r="H353" s="271"/>
      <c r="I353" s="266"/>
      <c r="J353" s="276"/>
      <c r="K353" s="278"/>
      <c r="L353" s="274"/>
      <c r="M353" s="278">
        <f ca="1">IF(NOT(ISERROR(MATCH(L353,_xlfn.ANCHORARRAY(G364),0))),K366&amp;"Por favor no seleccionar los criterios de impacto",L353)</f>
        <v>0</v>
      </c>
      <c r="N353" s="276"/>
      <c r="O353" s="278"/>
      <c r="P353" s="280"/>
      <c r="Q353" s="201">
        <v>5</v>
      </c>
      <c r="R353" s="112"/>
      <c r="S353" s="201" t="str">
        <f t="shared" si="136"/>
        <v/>
      </c>
      <c r="T353" s="113"/>
      <c r="U353" s="113"/>
      <c r="V353" s="167" t="str">
        <f t="shared" si="129"/>
        <v/>
      </c>
      <c r="W353" s="113"/>
      <c r="X353" s="113"/>
      <c r="Y353" s="113"/>
      <c r="Z353" s="165" t="str">
        <f>IFERROR(IF(S353="Probabilidad",(K349-(+K349*V353)),IF(S353="Impacto",K349,"")),"")</f>
        <v/>
      </c>
      <c r="AA353" s="166" t="str">
        <f t="shared" si="137"/>
        <v/>
      </c>
      <c r="AB353" s="167" t="str">
        <f t="shared" si="138"/>
        <v/>
      </c>
      <c r="AC353" s="166" t="str">
        <f t="shared" si="139"/>
        <v/>
      </c>
      <c r="AD353" s="167" t="str">
        <f t="shared" si="141"/>
        <v/>
      </c>
      <c r="AE353" s="168" t="str">
        <f t="shared" si="140"/>
        <v/>
      </c>
      <c r="AF353" s="113"/>
      <c r="AG353" s="191"/>
      <c r="AH353" s="192"/>
      <c r="AI353" s="114"/>
      <c r="AJ353" s="114"/>
      <c r="AK353" s="191"/>
      <c r="AL353" s="192"/>
      <c r="AM353" s="155"/>
      <c r="AN353" s="155"/>
      <c r="AO353" s="155"/>
      <c r="AP353" s="155"/>
      <c r="AQ353" s="155"/>
      <c r="AR353" s="155"/>
      <c r="AS353" s="155"/>
      <c r="AT353" s="155"/>
      <c r="AU353" s="155"/>
      <c r="AV353" s="155"/>
      <c r="AW353" s="155"/>
      <c r="AX353" s="155"/>
      <c r="AY353" s="155"/>
      <c r="AZ353" s="155"/>
      <c r="BA353" s="155"/>
      <c r="BB353" s="155"/>
      <c r="BC353" s="155"/>
      <c r="BD353" s="155"/>
      <c r="BE353" s="155"/>
      <c r="BF353" s="155"/>
      <c r="BG353" s="155"/>
      <c r="BH353" s="155"/>
      <c r="BI353" s="155"/>
      <c r="BJ353" s="155"/>
      <c r="BK353" s="155"/>
      <c r="BL353" s="155"/>
      <c r="BM353" s="155"/>
      <c r="BN353" s="155"/>
      <c r="BO353" s="155"/>
      <c r="BP353" s="155"/>
      <c r="BQ353" s="155"/>
      <c r="BR353" s="155"/>
    </row>
    <row r="354" spans="1:70" s="156" customFormat="1" ht="16.5" hidden="1" customHeight="1" x14ac:dyDescent="0.25">
      <c r="A354" s="266"/>
      <c r="B354" s="269"/>
      <c r="C354" s="269"/>
      <c r="D354" s="271"/>
      <c r="E354" s="271"/>
      <c r="F354" s="271"/>
      <c r="G354" s="363"/>
      <c r="H354" s="271"/>
      <c r="I354" s="266"/>
      <c r="J354" s="276"/>
      <c r="K354" s="278"/>
      <c r="L354" s="274"/>
      <c r="M354" s="278">
        <f ca="1">IF(NOT(ISERROR(MATCH(L354,_xlfn.ANCHORARRAY(G365),0))),K367&amp;"Por favor no seleccionar los criterios de impacto",L354)</f>
        <v>0</v>
      </c>
      <c r="N354" s="276"/>
      <c r="O354" s="278"/>
      <c r="P354" s="280"/>
      <c r="Q354" s="201">
        <v>6</v>
      </c>
      <c r="R354" s="112"/>
      <c r="S354" s="201" t="str">
        <f t="shared" si="136"/>
        <v/>
      </c>
      <c r="T354" s="113"/>
      <c r="U354" s="113"/>
      <c r="V354" s="167" t="str">
        <f t="shared" si="129"/>
        <v/>
      </c>
      <c r="W354" s="113"/>
      <c r="X354" s="113"/>
      <c r="Y354" s="113"/>
      <c r="Z354" s="165" t="str">
        <f>IFERROR(IF(S354="Probabilidad",(K349-(+K349*V354)),IF(S354="Impacto",K349,"")),"")</f>
        <v/>
      </c>
      <c r="AA354" s="166" t="str">
        <f t="shared" si="137"/>
        <v/>
      </c>
      <c r="AB354" s="167" t="str">
        <f t="shared" si="138"/>
        <v/>
      </c>
      <c r="AC354" s="166" t="str">
        <f t="shared" si="139"/>
        <v/>
      </c>
      <c r="AD354" s="167" t="str">
        <f t="shared" si="141"/>
        <v/>
      </c>
      <c r="AE354" s="168" t="str">
        <f t="shared" si="140"/>
        <v/>
      </c>
      <c r="AF354" s="113"/>
      <c r="AG354" s="191"/>
      <c r="AH354" s="192"/>
      <c r="AI354" s="114"/>
      <c r="AJ354" s="114"/>
      <c r="AK354" s="191"/>
      <c r="AL354" s="192"/>
      <c r="AM354" s="155"/>
      <c r="AN354" s="155"/>
      <c r="AO354" s="155"/>
      <c r="AP354" s="155"/>
      <c r="AQ354" s="155"/>
      <c r="AR354" s="155"/>
      <c r="AS354" s="155"/>
      <c r="AT354" s="155"/>
      <c r="AU354" s="155"/>
      <c r="AV354" s="155"/>
      <c r="AW354" s="155"/>
      <c r="AX354" s="155"/>
      <c r="AY354" s="155"/>
      <c r="AZ354" s="155"/>
      <c r="BA354" s="155"/>
      <c r="BB354" s="155"/>
      <c r="BC354" s="155"/>
      <c r="BD354" s="155"/>
      <c r="BE354" s="155"/>
      <c r="BF354" s="155"/>
      <c r="BG354" s="155"/>
      <c r="BH354" s="155"/>
      <c r="BI354" s="155"/>
      <c r="BJ354" s="155"/>
      <c r="BK354" s="155"/>
      <c r="BL354" s="155"/>
      <c r="BM354" s="155"/>
      <c r="BN354" s="155"/>
      <c r="BO354" s="155"/>
      <c r="BP354" s="155"/>
      <c r="BQ354" s="155"/>
      <c r="BR354" s="155"/>
    </row>
    <row r="355" spans="1:70" s="156" customFormat="1" ht="64.5" x14ac:dyDescent="0.25">
      <c r="A355" s="266">
        <v>58</v>
      </c>
      <c r="B355" s="267" t="s">
        <v>218</v>
      </c>
      <c r="C355" s="267" t="s">
        <v>753</v>
      </c>
      <c r="D355" s="270" t="s">
        <v>132</v>
      </c>
      <c r="E355" s="270" t="s">
        <v>756</v>
      </c>
      <c r="F355" s="270" t="s">
        <v>757</v>
      </c>
      <c r="G355" s="362" t="s">
        <v>758</v>
      </c>
      <c r="H355" s="270" t="s">
        <v>438</v>
      </c>
      <c r="I355" s="281">
        <v>365</v>
      </c>
      <c r="J355" s="275" t="str">
        <f>IF(I355&lt;=0,"",IF(I355&lt;=2,"Muy Baja",IF(I355&lt;=24,"Baja",IF(I355&lt;=500,"Media",IF(I355&lt;=5000,"Alta","Muy Alta")))))</f>
        <v>Media</v>
      </c>
      <c r="K355" s="277">
        <f>IF(J355="","",IF(J355="Muy Baja",0.2,IF(J355="Baja",0.4,IF(J355="Media",0.6,IF(J355="Alta",0.8,IF(J355="Muy Alta",1,))))))</f>
        <v>0.6</v>
      </c>
      <c r="L355" s="273" t="s">
        <v>98</v>
      </c>
      <c r="M355" s="277" t="str">
        <f>IF(NOT(ISERROR(MATCH(L355,'[11]Tabla Impacto'!$B$221:$B$223,0))),'[11]Tabla Impacto'!$F$223&amp;"Por favor no seleccionar los criterios de impacto(Afectación Económica o presupuestal y Pérdida Reputacional)",L355)</f>
        <v>El riesgo afecta la imagen de la entidad con algunos usuarios de relevancia frente al logro de los objetivos</v>
      </c>
      <c r="N355" s="275" t="str">
        <f>+IF(OR(M355='[11]Tabla Impacto'!$C$11,M355='[11]Tabla Impacto'!$D$11),"Leve",IF(OR(M355='[11]Tabla Impacto'!$C$12,M355='[11]Tabla Impacto'!$D$12),"Menor",IF(OR(M355='[11]Tabla Impacto'!$C$13,M355='[11]Tabla Impacto'!$D$13),"Moderado",IF(OR(M355='[11]Tabla Impacto'!$C$14,M355='[11]Tabla Impacto'!$D$14),"Mayor",IF(OR(M355='[11]Tabla Impacto'!$C$15,M355='[11]Tabla Impacto'!$D$15),"Catastrófico","")))))</f>
        <v>Moderado</v>
      </c>
      <c r="O355" s="277">
        <f>IF(N355="","",IF(N355="Leve",0.2,IF(N355="Menor",0.4,IF(N355="Moderado",0.6,IF(N355="Mayor",0.8,IF(N355="Catastrófico",1,))))))</f>
        <v>0.6</v>
      </c>
      <c r="P355" s="279" t="str">
        <f>IF(OR(AND(J355="Muy Baja",N355="Leve"),AND(J355="Muy Baja",N355="Menor"),AND(J355="Baja",N355="Leve")),"Bajo",IF(OR(AND(J355="Muy baja",N355="Moderado"),AND(J355="Baja",N355="Menor"),AND(J355="Baja",N355="Moderado"),AND(J355="Media",N355="Leve"),AND(J355="Media",N355="Menor"),AND(J355="Media",N355="Moderado"),AND(J355="Alta",N355="Leve"),AND(J355="Alta",N355="Menor")),"Moderado",IF(OR(AND(J355="Muy Baja",N355="Mayor"),AND(J355="Baja",N355="Mayor"),AND(J355="Media",N355="Mayor"),AND(J355="Alta",N355="Moderado"),AND(J355="Alta",N355="Mayor"),AND(J355="Muy Alta",N355="Leve"),AND(J355="Muy Alta",N355="Menor"),AND(J355="Muy Alta",N355="Moderado"),AND(J355="Muy Alta",N355="Mayor")),"Alto",IF(OR(AND(J355="Muy Baja",N355="Catastrófico"),AND(J355="Baja",N355="Catastrófico"),AND(J355="Media",N355="Catastrófico"),AND(J355="Alta",N355="Catastrófico"),AND(J355="Muy Alta",N355="Catastrófico")),"Extremo",""))))</f>
        <v>Moderado</v>
      </c>
      <c r="Q355" s="201">
        <v>1</v>
      </c>
      <c r="R355" s="112" t="s">
        <v>806</v>
      </c>
      <c r="S355" s="201" t="str">
        <f t="shared" si="136"/>
        <v>Probabilidad</v>
      </c>
      <c r="T355" s="113" t="s">
        <v>14</v>
      </c>
      <c r="U355" s="113" t="s">
        <v>9</v>
      </c>
      <c r="V355" s="167" t="str">
        <f t="shared" si="129"/>
        <v>40%</v>
      </c>
      <c r="W355" s="113" t="s">
        <v>19</v>
      </c>
      <c r="X355" s="113" t="s">
        <v>22</v>
      </c>
      <c r="Y355" s="113" t="s">
        <v>117</v>
      </c>
      <c r="Z355" s="165">
        <f t="shared" si="142"/>
        <v>0.36</v>
      </c>
      <c r="AA355" s="166" t="str">
        <f t="shared" si="137"/>
        <v>Baja</v>
      </c>
      <c r="AB355" s="167">
        <f t="shared" si="138"/>
        <v>0.36</v>
      </c>
      <c r="AC355" s="166" t="str">
        <f t="shared" si="139"/>
        <v>Moderado</v>
      </c>
      <c r="AD355" s="167">
        <f t="shared" si="141"/>
        <v>0.6</v>
      </c>
      <c r="AE355" s="168" t="str">
        <f t="shared" si="140"/>
        <v>Moderado</v>
      </c>
      <c r="AF355" s="113" t="s">
        <v>31</v>
      </c>
      <c r="AG355" s="191"/>
      <c r="AH355" s="192"/>
      <c r="AI355" s="114"/>
      <c r="AJ355" s="114"/>
      <c r="AK355" s="191"/>
      <c r="AL355" s="192"/>
      <c r="AM355" s="155"/>
      <c r="AN355" s="155"/>
      <c r="AO355" s="155"/>
      <c r="AP355" s="155"/>
      <c r="AQ355" s="155"/>
      <c r="AR355" s="155"/>
      <c r="AS355" s="155"/>
      <c r="AT355" s="155"/>
      <c r="AU355" s="155"/>
      <c r="AV355" s="155"/>
      <c r="AW355" s="155"/>
      <c r="AX355" s="155"/>
      <c r="AY355" s="155"/>
      <c r="AZ355" s="155"/>
      <c r="BA355" s="155"/>
      <c r="BB355" s="155"/>
      <c r="BC355" s="155"/>
      <c r="BD355" s="155"/>
      <c r="BE355" s="155"/>
      <c r="BF355" s="155"/>
      <c r="BG355" s="155"/>
      <c r="BH355" s="155"/>
      <c r="BI355" s="155"/>
      <c r="BJ355" s="155"/>
      <c r="BK355" s="155"/>
      <c r="BL355" s="155"/>
      <c r="BM355" s="155"/>
      <c r="BN355" s="155"/>
      <c r="BO355" s="155"/>
      <c r="BP355" s="155"/>
      <c r="BQ355" s="155"/>
      <c r="BR355" s="155"/>
    </row>
    <row r="356" spans="1:70" s="156" customFormat="1" ht="75" x14ac:dyDescent="0.25">
      <c r="A356" s="266"/>
      <c r="B356" s="294"/>
      <c r="C356" s="294"/>
      <c r="D356" s="270"/>
      <c r="E356" s="270"/>
      <c r="F356" s="270"/>
      <c r="G356" s="362"/>
      <c r="H356" s="270"/>
      <c r="I356" s="281"/>
      <c r="J356" s="275"/>
      <c r="K356" s="277"/>
      <c r="L356" s="273"/>
      <c r="M356" s="277">
        <f ca="1">IF(NOT(ISERROR(MATCH(L356,_xlfn.ANCHORARRAY(G367),0))),K369&amp;"Por favor no seleccionar los criterios de impacto",L356)</f>
        <v>0</v>
      </c>
      <c r="N356" s="275"/>
      <c r="O356" s="277"/>
      <c r="P356" s="279"/>
      <c r="Q356" s="201">
        <v>2</v>
      </c>
      <c r="R356" s="112" t="s">
        <v>807</v>
      </c>
      <c r="S356" s="201" t="str">
        <f t="shared" si="136"/>
        <v>Probabilidad</v>
      </c>
      <c r="T356" s="113" t="s">
        <v>14</v>
      </c>
      <c r="U356" s="113" t="s">
        <v>9</v>
      </c>
      <c r="V356" s="167" t="str">
        <f t="shared" si="129"/>
        <v>40%</v>
      </c>
      <c r="W356" s="113" t="s">
        <v>19</v>
      </c>
      <c r="X356" s="113" t="s">
        <v>22</v>
      </c>
      <c r="Y356" s="113" t="s">
        <v>117</v>
      </c>
      <c r="Z356" s="165">
        <f>IFERROR(IF(S356="Probabilidad",(K355-(+K355*V356)),IF(S356="Impacto",K355,"")),"")</f>
        <v>0.36</v>
      </c>
      <c r="AA356" s="166" t="str">
        <f t="shared" si="137"/>
        <v>Baja</v>
      </c>
      <c r="AB356" s="167">
        <f t="shared" si="138"/>
        <v>0.36</v>
      </c>
      <c r="AC356" s="166" t="str">
        <f t="shared" si="139"/>
        <v>Moderado</v>
      </c>
      <c r="AD356" s="167">
        <f>IFERROR(IF(S356="Impacto",(O355-(+O355*V356)),IF(S356="Probabilidad",O355,"")),"")</f>
        <v>0.6</v>
      </c>
      <c r="AE356" s="168" t="str">
        <f t="shared" si="140"/>
        <v>Moderado</v>
      </c>
      <c r="AF356" s="113" t="s">
        <v>134</v>
      </c>
      <c r="AG356" s="191"/>
      <c r="AH356" s="192"/>
      <c r="AI356" s="114"/>
      <c r="AJ356" s="114"/>
      <c r="AK356" s="191"/>
      <c r="AL356" s="192"/>
      <c r="AM356" s="155"/>
      <c r="AN356" s="155"/>
      <c r="AO356" s="155"/>
      <c r="AP356" s="155"/>
      <c r="AQ356" s="155"/>
      <c r="AR356" s="155"/>
      <c r="AS356" s="155"/>
      <c r="AT356" s="155"/>
      <c r="AU356" s="155"/>
      <c r="AV356" s="155"/>
      <c r="AW356" s="155"/>
      <c r="AX356" s="155"/>
      <c r="AY356" s="155"/>
      <c r="AZ356" s="155"/>
      <c r="BA356" s="155"/>
      <c r="BB356" s="155"/>
      <c r="BC356" s="155"/>
      <c r="BD356" s="155"/>
      <c r="BE356" s="155"/>
      <c r="BF356" s="155"/>
      <c r="BG356" s="155"/>
      <c r="BH356" s="155"/>
      <c r="BI356" s="155"/>
      <c r="BJ356" s="155"/>
      <c r="BK356" s="155"/>
      <c r="BL356" s="155"/>
      <c r="BM356" s="155"/>
      <c r="BN356" s="155"/>
      <c r="BO356" s="155"/>
      <c r="BP356" s="155"/>
      <c r="BQ356" s="155"/>
      <c r="BR356" s="155"/>
    </row>
    <row r="357" spans="1:70" s="156" customFormat="1" ht="16.5" hidden="1" customHeight="1" x14ac:dyDescent="0.25">
      <c r="A357" s="266"/>
      <c r="B357" s="268"/>
      <c r="C357" s="268"/>
      <c r="D357" s="271"/>
      <c r="E357" s="271"/>
      <c r="F357" s="271"/>
      <c r="G357" s="363"/>
      <c r="H357" s="271"/>
      <c r="I357" s="266"/>
      <c r="J357" s="276"/>
      <c r="K357" s="278"/>
      <c r="L357" s="274"/>
      <c r="M357" s="278">
        <f ca="1">IF(NOT(ISERROR(MATCH(L357,_xlfn.ANCHORARRAY(G368),0))),K370&amp;"Por favor no seleccionar los criterios de impacto",L357)</f>
        <v>0</v>
      </c>
      <c r="N357" s="276"/>
      <c r="O357" s="278"/>
      <c r="P357" s="280"/>
      <c r="Q357" s="201">
        <v>3</v>
      </c>
      <c r="R357" s="112"/>
      <c r="S357" s="201" t="str">
        <f t="shared" si="136"/>
        <v/>
      </c>
      <c r="T357" s="113"/>
      <c r="U357" s="113"/>
      <c r="V357" s="167" t="str">
        <f t="shared" si="129"/>
        <v/>
      </c>
      <c r="W357" s="113"/>
      <c r="X357" s="113"/>
      <c r="Y357" s="113"/>
      <c r="Z357" s="165" t="str">
        <f>IFERROR(IF(S357="Probabilidad",(K355-(+K355*V357)),IF(S357="Impacto",K355,"")),"")</f>
        <v/>
      </c>
      <c r="AA357" s="166" t="str">
        <f t="shared" si="137"/>
        <v/>
      </c>
      <c r="AB357" s="167" t="str">
        <f t="shared" si="138"/>
        <v/>
      </c>
      <c r="AC357" s="166" t="str">
        <f t="shared" si="139"/>
        <v/>
      </c>
      <c r="AD357" s="167" t="str">
        <f t="shared" si="141"/>
        <v/>
      </c>
      <c r="AE357" s="168" t="str">
        <f t="shared" si="140"/>
        <v/>
      </c>
      <c r="AF357" s="113"/>
      <c r="AG357" s="191"/>
      <c r="AH357" s="192"/>
      <c r="AI357" s="114"/>
      <c r="AJ357" s="114"/>
      <c r="AK357" s="191"/>
      <c r="AL357" s="192"/>
      <c r="AM357" s="155"/>
      <c r="AN357" s="155"/>
      <c r="AO357" s="155"/>
      <c r="AP357" s="155"/>
      <c r="AQ357" s="155"/>
      <c r="AR357" s="155"/>
      <c r="AS357" s="155"/>
      <c r="AT357" s="155"/>
      <c r="AU357" s="155"/>
      <c r="AV357" s="155"/>
      <c r="AW357" s="155"/>
      <c r="AX357" s="155"/>
      <c r="AY357" s="155"/>
      <c r="AZ357" s="155"/>
      <c r="BA357" s="155"/>
      <c r="BB357" s="155"/>
      <c r="BC357" s="155"/>
      <c r="BD357" s="155"/>
      <c r="BE357" s="155"/>
      <c r="BF357" s="155"/>
      <c r="BG357" s="155"/>
      <c r="BH357" s="155"/>
      <c r="BI357" s="155"/>
      <c r="BJ357" s="155"/>
      <c r="BK357" s="155"/>
      <c r="BL357" s="155"/>
      <c r="BM357" s="155"/>
      <c r="BN357" s="155"/>
      <c r="BO357" s="155"/>
      <c r="BP357" s="155"/>
      <c r="BQ357" s="155"/>
      <c r="BR357" s="155"/>
    </row>
    <row r="358" spans="1:70" s="156" customFormat="1" ht="16.5" hidden="1" customHeight="1" x14ac:dyDescent="0.25">
      <c r="A358" s="266"/>
      <c r="B358" s="268"/>
      <c r="C358" s="268"/>
      <c r="D358" s="271"/>
      <c r="E358" s="271"/>
      <c r="F358" s="271"/>
      <c r="G358" s="363"/>
      <c r="H358" s="271"/>
      <c r="I358" s="266"/>
      <c r="J358" s="276"/>
      <c r="K358" s="278"/>
      <c r="L358" s="274"/>
      <c r="M358" s="278">
        <f ca="1">IF(NOT(ISERROR(MATCH(L358,_xlfn.ANCHORARRAY(G369),0))),K371&amp;"Por favor no seleccionar los criterios de impacto",L358)</f>
        <v>0</v>
      </c>
      <c r="N358" s="276"/>
      <c r="O358" s="278"/>
      <c r="P358" s="280"/>
      <c r="Q358" s="201">
        <v>4</v>
      </c>
      <c r="R358" s="112"/>
      <c r="S358" s="201" t="str">
        <f t="shared" si="136"/>
        <v/>
      </c>
      <c r="T358" s="113"/>
      <c r="U358" s="113"/>
      <c r="V358" s="167" t="str">
        <f t="shared" si="129"/>
        <v/>
      </c>
      <c r="W358" s="113"/>
      <c r="X358" s="113"/>
      <c r="Y358" s="113"/>
      <c r="Z358" s="165" t="str">
        <f>IFERROR(IF(S358="Probabilidad",(K355-(+K355*V358)),IF(S358="Impacto",K355,"")),"")</f>
        <v/>
      </c>
      <c r="AA358" s="166" t="str">
        <f t="shared" si="137"/>
        <v/>
      </c>
      <c r="AB358" s="167" t="str">
        <f t="shared" si="138"/>
        <v/>
      </c>
      <c r="AC358" s="166" t="str">
        <f t="shared" si="139"/>
        <v/>
      </c>
      <c r="AD358" s="167" t="str">
        <f t="shared" si="141"/>
        <v/>
      </c>
      <c r="AE358" s="168" t="str">
        <f t="shared" si="140"/>
        <v/>
      </c>
      <c r="AF358" s="113"/>
      <c r="AG358" s="191"/>
      <c r="AH358" s="192"/>
      <c r="AI358" s="114"/>
      <c r="AJ358" s="114"/>
      <c r="AK358" s="191"/>
      <c r="AL358" s="192"/>
      <c r="AM358" s="155"/>
      <c r="AN358" s="155"/>
      <c r="AO358" s="155"/>
      <c r="AP358" s="155"/>
      <c r="AQ358" s="155"/>
      <c r="AR358" s="155"/>
      <c r="AS358" s="155"/>
      <c r="AT358" s="155"/>
      <c r="AU358" s="155"/>
      <c r="AV358" s="155"/>
      <c r="AW358" s="155"/>
      <c r="AX358" s="155"/>
      <c r="AY358" s="155"/>
      <c r="AZ358" s="155"/>
      <c r="BA358" s="155"/>
      <c r="BB358" s="155"/>
      <c r="BC358" s="155"/>
      <c r="BD358" s="155"/>
      <c r="BE358" s="155"/>
      <c r="BF358" s="155"/>
      <c r="BG358" s="155"/>
      <c r="BH358" s="155"/>
      <c r="BI358" s="155"/>
      <c r="BJ358" s="155"/>
      <c r="BK358" s="155"/>
      <c r="BL358" s="155"/>
      <c r="BM358" s="155"/>
      <c r="BN358" s="155"/>
      <c r="BO358" s="155"/>
      <c r="BP358" s="155"/>
      <c r="BQ358" s="155"/>
      <c r="BR358" s="155"/>
    </row>
    <row r="359" spans="1:70" s="156" customFormat="1" ht="16.5" hidden="1" customHeight="1" x14ac:dyDescent="0.25">
      <c r="A359" s="266"/>
      <c r="B359" s="268"/>
      <c r="C359" s="268"/>
      <c r="D359" s="271"/>
      <c r="E359" s="271"/>
      <c r="F359" s="271"/>
      <c r="G359" s="363"/>
      <c r="H359" s="271"/>
      <c r="I359" s="266"/>
      <c r="J359" s="276"/>
      <c r="K359" s="278"/>
      <c r="L359" s="274"/>
      <c r="M359" s="278">
        <f ca="1">IF(NOT(ISERROR(MATCH(L359,_xlfn.ANCHORARRAY(G370),0))),K372&amp;"Por favor no seleccionar los criterios de impacto",L359)</f>
        <v>0</v>
      </c>
      <c r="N359" s="276"/>
      <c r="O359" s="278"/>
      <c r="P359" s="280"/>
      <c r="Q359" s="201">
        <v>5</v>
      </c>
      <c r="R359" s="112"/>
      <c r="S359" s="201" t="str">
        <f t="shared" si="136"/>
        <v/>
      </c>
      <c r="T359" s="113"/>
      <c r="U359" s="113"/>
      <c r="V359" s="167" t="str">
        <f t="shared" si="129"/>
        <v/>
      </c>
      <c r="W359" s="113"/>
      <c r="X359" s="113"/>
      <c r="Y359" s="113"/>
      <c r="Z359" s="165" t="str">
        <f>IFERROR(IF(S359="Probabilidad",(K355-(+K355*V359)),IF(S359="Impacto",K355,"")),"")</f>
        <v/>
      </c>
      <c r="AA359" s="166" t="str">
        <f t="shared" si="137"/>
        <v/>
      </c>
      <c r="AB359" s="167" t="str">
        <f t="shared" si="138"/>
        <v/>
      </c>
      <c r="AC359" s="166" t="str">
        <f t="shared" si="139"/>
        <v/>
      </c>
      <c r="AD359" s="167" t="str">
        <f t="shared" si="141"/>
        <v/>
      </c>
      <c r="AE359" s="168" t="str">
        <f t="shared" si="140"/>
        <v/>
      </c>
      <c r="AF359" s="113"/>
      <c r="AG359" s="191"/>
      <c r="AH359" s="192"/>
      <c r="AI359" s="114"/>
      <c r="AJ359" s="114"/>
      <c r="AK359" s="191"/>
      <c r="AL359" s="192"/>
      <c r="AM359" s="155"/>
      <c r="AN359" s="155"/>
      <c r="AO359" s="155"/>
      <c r="AP359" s="155"/>
      <c r="AQ359" s="155"/>
      <c r="AR359" s="155"/>
      <c r="AS359" s="155"/>
      <c r="AT359" s="155"/>
      <c r="AU359" s="155"/>
      <c r="AV359" s="155"/>
      <c r="AW359" s="155"/>
      <c r="AX359" s="155"/>
      <c r="AY359" s="155"/>
      <c r="AZ359" s="155"/>
      <c r="BA359" s="155"/>
      <c r="BB359" s="155"/>
      <c r="BC359" s="155"/>
      <c r="BD359" s="155"/>
      <c r="BE359" s="155"/>
      <c r="BF359" s="155"/>
      <c r="BG359" s="155"/>
      <c r="BH359" s="155"/>
      <c r="BI359" s="155"/>
      <c r="BJ359" s="155"/>
      <c r="BK359" s="155"/>
      <c r="BL359" s="155"/>
      <c r="BM359" s="155"/>
      <c r="BN359" s="155"/>
      <c r="BO359" s="155"/>
      <c r="BP359" s="155"/>
      <c r="BQ359" s="155"/>
      <c r="BR359" s="155"/>
    </row>
    <row r="360" spans="1:70" s="156" customFormat="1" ht="16.5" hidden="1" customHeight="1" x14ac:dyDescent="0.25">
      <c r="A360" s="266"/>
      <c r="B360" s="269"/>
      <c r="C360" s="269"/>
      <c r="D360" s="271"/>
      <c r="E360" s="271"/>
      <c r="F360" s="271"/>
      <c r="G360" s="363"/>
      <c r="H360" s="271"/>
      <c r="I360" s="266"/>
      <c r="J360" s="276"/>
      <c r="K360" s="278"/>
      <c r="L360" s="274"/>
      <c r="M360" s="278">
        <f ca="1">IF(NOT(ISERROR(MATCH(L360,_xlfn.ANCHORARRAY(G371),0))),K373&amp;"Por favor no seleccionar los criterios de impacto",L360)</f>
        <v>0</v>
      </c>
      <c r="N360" s="276"/>
      <c r="O360" s="278"/>
      <c r="P360" s="280"/>
      <c r="Q360" s="201">
        <v>6</v>
      </c>
      <c r="R360" s="112"/>
      <c r="S360" s="201" t="str">
        <f t="shared" si="136"/>
        <v/>
      </c>
      <c r="T360" s="113"/>
      <c r="U360" s="113"/>
      <c r="V360" s="167" t="str">
        <f t="shared" si="129"/>
        <v/>
      </c>
      <c r="W360" s="113"/>
      <c r="X360" s="113"/>
      <c r="Y360" s="113"/>
      <c r="Z360" s="165" t="str">
        <f>IFERROR(IF(S360="Probabilidad",(K355-(+K355*V360)),IF(S360="Impacto",K355,"")),"")</f>
        <v/>
      </c>
      <c r="AA360" s="166" t="str">
        <f t="shared" si="137"/>
        <v/>
      </c>
      <c r="AB360" s="167" t="str">
        <f t="shared" si="138"/>
        <v/>
      </c>
      <c r="AC360" s="166" t="str">
        <f t="shared" si="139"/>
        <v/>
      </c>
      <c r="AD360" s="167" t="str">
        <f t="shared" si="141"/>
        <v/>
      </c>
      <c r="AE360" s="168" t="str">
        <f t="shared" si="140"/>
        <v/>
      </c>
      <c r="AF360" s="113"/>
      <c r="AG360" s="191"/>
      <c r="AH360" s="192"/>
      <c r="AI360" s="114"/>
      <c r="AJ360" s="114"/>
      <c r="AK360" s="191"/>
      <c r="AL360" s="192"/>
      <c r="AM360" s="155"/>
      <c r="AN360" s="155"/>
      <c r="AO360" s="155"/>
      <c r="AP360" s="155"/>
      <c r="AQ360" s="155"/>
      <c r="AR360" s="155"/>
      <c r="AS360" s="155"/>
      <c r="AT360" s="155"/>
      <c r="AU360" s="155"/>
      <c r="AV360" s="155"/>
      <c r="AW360" s="155"/>
      <c r="AX360" s="155"/>
      <c r="AY360" s="155"/>
      <c r="AZ360" s="155"/>
      <c r="BA360" s="155"/>
      <c r="BB360" s="155"/>
      <c r="BC360" s="155"/>
      <c r="BD360" s="155"/>
      <c r="BE360" s="155"/>
      <c r="BF360" s="155"/>
      <c r="BG360" s="155"/>
      <c r="BH360" s="155"/>
      <c r="BI360" s="155"/>
      <c r="BJ360" s="155"/>
      <c r="BK360" s="155"/>
      <c r="BL360" s="155"/>
      <c r="BM360" s="155"/>
      <c r="BN360" s="155"/>
      <c r="BO360" s="155"/>
      <c r="BP360" s="155"/>
      <c r="BQ360" s="155"/>
      <c r="BR360" s="155"/>
    </row>
    <row r="361" spans="1:70" s="156" customFormat="1" ht="64.5" x14ac:dyDescent="0.25">
      <c r="A361" s="266">
        <v>59</v>
      </c>
      <c r="B361" s="267" t="s">
        <v>218</v>
      </c>
      <c r="C361" s="267" t="s">
        <v>753</v>
      </c>
      <c r="D361" s="270" t="s">
        <v>132</v>
      </c>
      <c r="E361" s="270" t="s">
        <v>759</v>
      </c>
      <c r="F361" s="270" t="s">
        <v>760</v>
      </c>
      <c r="G361" s="362" t="s">
        <v>761</v>
      </c>
      <c r="H361" s="270" t="s">
        <v>438</v>
      </c>
      <c r="I361" s="281">
        <v>365</v>
      </c>
      <c r="J361" s="275" t="str">
        <f>IF(I361&lt;=0,"",IF(I361&lt;=2,"Muy Baja",IF(I361&lt;=24,"Baja",IF(I361&lt;=500,"Media",IF(I361&lt;=5000,"Alta","Muy Alta")))))</f>
        <v>Media</v>
      </c>
      <c r="K361" s="277">
        <f>IF(J361="","",IF(J361="Muy Baja",0.2,IF(J361="Baja",0.4,IF(J361="Media",0.6,IF(J361="Alta",0.8,IF(J361="Muy Alta",1,))))))</f>
        <v>0.6</v>
      </c>
      <c r="L361" s="273" t="s">
        <v>93</v>
      </c>
      <c r="M361" s="277" t="str">
        <f>IF(NOT(ISERROR(MATCH(L361,'[11]Tabla Impacto'!$B$221:$B$223,0))),'[11]Tabla Impacto'!$F$223&amp;"Por favor no seleccionar los criterios de impacto(Afectación Económica o presupuestal y Pérdida Reputacional)",L361)</f>
        <v xml:space="preserve">Entre 100 y 500 SMLMV </v>
      </c>
      <c r="N361" s="275" t="str">
        <f>+IF(OR(M361='[11]Tabla Impacto'!$C$11,M361='[11]Tabla Impacto'!$D$11),"Leve",IF(OR(M361='[11]Tabla Impacto'!$C$12,M361='[11]Tabla Impacto'!$D$12),"Menor",IF(OR(M361='[11]Tabla Impacto'!$C$13,M361='[11]Tabla Impacto'!$D$13),"Moderado",IF(OR(M361='[11]Tabla Impacto'!$C$14,M361='[11]Tabla Impacto'!$D$14),"Mayor",IF(OR(M361='[11]Tabla Impacto'!$C$15,M361='[11]Tabla Impacto'!$D$15),"Catastrófico","")))))</f>
        <v>Mayor</v>
      </c>
      <c r="O361" s="277">
        <f>IF(N361="","",IF(N361="Leve",0.2,IF(N361="Menor",0.4,IF(N361="Moderado",0.6,IF(N361="Mayor",0.8,IF(N361="Catastrófico",1,))))))</f>
        <v>0.8</v>
      </c>
      <c r="P361" s="279" t="str">
        <f>IF(OR(AND(J361="Muy Baja",N361="Leve"),AND(J361="Muy Baja",N361="Menor"),AND(J361="Baja",N361="Leve")),"Bajo",IF(OR(AND(J361="Muy baja",N361="Moderado"),AND(J361="Baja",N361="Menor"),AND(J361="Baja",N361="Moderado"),AND(J361="Media",N361="Leve"),AND(J361="Media",N361="Menor"),AND(J361="Media",N361="Moderado"),AND(J361="Alta",N361="Leve"),AND(J361="Alta",N361="Menor")),"Moderado",IF(OR(AND(J361="Muy Baja",N361="Mayor"),AND(J361="Baja",N361="Mayor"),AND(J361="Media",N361="Mayor"),AND(J361="Alta",N361="Moderado"),AND(J361="Alta",N361="Mayor"),AND(J361="Muy Alta",N361="Leve"),AND(J361="Muy Alta",N361="Menor"),AND(J361="Muy Alta",N361="Moderado"),AND(J361="Muy Alta",N361="Mayor")),"Alto",IF(OR(AND(J361="Muy Baja",N361="Catastrófico"),AND(J361="Baja",N361="Catastrófico"),AND(J361="Media",N361="Catastrófico"),AND(J361="Alta",N361="Catastrófico"),AND(J361="Muy Alta",N361="Catastrófico")),"Extremo",""))))</f>
        <v>Alto</v>
      </c>
      <c r="Q361" s="201">
        <v>1</v>
      </c>
      <c r="R361" s="112" t="s">
        <v>808</v>
      </c>
      <c r="S361" s="201" t="str">
        <f t="shared" si="136"/>
        <v>Probabilidad</v>
      </c>
      <c r="T361" s="113" t="s">
        <v>14</v>
      </c>
      <c r="U361" s="113" t="s">
        <v>9</v>
      </c>
      <c r="V361" s="167" t="str">
        <f t="shared" si="129"/>
        <v>40%</v>
      </c>
      <c r="W361" s="113" t="s">
        <v>19</v>
      </c>
      <c r="X361" s="113" t="s">
        <v>22</v>
      </c>
      <c r="Y361" s="113" t="s">
        <v>117</v>
      </c>
      <c r="Z361" s="165">
        <f t="shared" si="142"/>
        <v>0.36</v>
      </c>
      <c r="AA361" s="166" t="str">
        <f t="shared" si="137"/>
        <v>Baja</v>
      </c>
      <c r="AB361" s="167">
        <f t="shared" si="138"/>
        <v>0.36</v>
      </c>
      <c r="AC361" s="166" t="str">
        <f t="shared" si="139"/>
        <v>Mayor</v>
      </c>
      <c r="AD361" s="167">
        <f t="shared" si="141"/>
        <v>0.8</v>
      </c>
      <c r="AE361" s="168" t="str">
        <f t="shared" si="140"/>
        <v>Alto</v>
      </c>
      <c r="AF361" s="113" t="s">
        <v>31</v>
      </c>
      <c r="AG361" s="191"/>
      <c r="AH361" s="192"/>
      <c r="AI361" s="114"/>
      <c r="AJ361" s="114"/>
      <c r="AK361" s="191"/>
      <c r="AL361" s="192"/>
      <c r="AM361" s="155"/>
      <c r="AN361" s="155"/>
      <c r="AO361" s="155"/>
      <c r="AP361" s="155"/>
      <c r="AQ361" s="155"/>
      <c r="AR361" s="155"/>
      <c r="AS361" s="155"/>
      <c r="AT361" s="155"/>
      <c r="AU361" s="155"/>
      <c r="AV361" s="155"/>
      <c r="AW361" s="155"/>
      <c r="AX361" s="155"/>
      <c r="AY361" s="155"/>
      <c r="AZ361" s="155"/>
      <c r="BA361" s="155"/>
      <c r="BB361" s="155"/>
      <c r="BC361" s="155"/>
      <c r="BD361" s="155"/>
      <c r="BE361" s="155"/>
      <c r="BF361" s="155"/>
      <c r="BG361" s="155"/>
      <c r="BH361" s="155"/>
      <c r="BI361" s="155"/>
      <c r="BJ361" s="155"/>
      <c r="BK361" s="155"/>
      <c r="BL361" s="155"/>
      <c r="BM361" s="155"/>
      <c r="BN361" s="155"/>
      <c r="BO361" s="155"/>
      <c r="BP361" s="155"/>
      <c r="BQ361" s="155"/>
      <c r="BR361" s="155"/>
    </row>
    <row r="362" spans="1:70" s="156" customFormat="1" ht="75" x14ac:dyDescent="0.25">
      <c r="A362" s="266"/>
      <c r="B362" s="294"/>
      <c r="C362" s="294"/>
      <c r="D362" s="270"/>
      <c r="E362" s="270"/>
      <c r="F362" s="270"/>
      <c r="G362" s="362"/>
      <c r="H362" s="270"/>
      <c r="I362" s="281"/>
      <c r="J362" s="275"/>
      <c r="K362" s="277"/>
      <c r="L362" s="273"/>
      <c r="M362" s="277">
        <f ca="1">IF(NOT(ISERROR(MATCH(L362,_xlfn.ANCHORARRAY(G373),0))),K375&amp;"Por favor no seleccionar los criterios de impacto",L362)</f>
        <v>0</v>
      </c>
      <c r="N362" s="275"/>
      <c r="O362" s="277"/>
      <c r="P362" s="279"/>
      <c r="Q362" s="201">
        <v>2</v>
      </c>
      <c r="R362" s="112" t="s">
        <v>809</v>
      </c>
      <c r="S362" s="201" t="str">
        <f t="shared" si="136"/>
        <v>Impacto</v>
      </c>
      <c r="T362" s="113" t="s">
        <v>16</v>
      </c>
      <c r="U362" s="113" t="s">
        <v>9</v>
      </c>
      <c r="V362" s="167" t="str">
        <f t="shared" si="129"/>
        <v>25%</v>
      </c>
      <c r="W362" s="113" t="s">
        <v>19</v>
      </c>
      <c r="X362" s="113" t="s">
        <v>22</v>
      </c>
      <c r="Y362" s="113" t="s">
        <v>117</v>
      </c>
      <c r="Z362" s="165">
        <f>IFERROR(IF(S362="Probabilidad",(K361-(+K361*V362)),IF(S362="Impacto",K361,"")),"")</f>
        <v>0.6</v>
      </c>
      <c r="AA362" s="166" t="str">
        <f t="shared" si="137"/>
        <v>Media</v>
      </c>
      <c r="AB362" s="167">
        <f t="shared" si="138"/>
        <v>0.6</v>
      </c>
      <c r="AC362" s="166" t="str">
        <f t="shared" si="139"/>
        <v>Moderado</v>
      </c>
      <c r="AD362" s="167">
        <f>IFERROR(IF(S362="Impacto",(O361-(+O361*V362)),IF(S362="Probabilidad",O361,"")),"")</f>
        <v>0.60000000000000009</v>
      </c>
      <c r="AE362" s="168" t="str">
        <f t="shared" si="140"/>
        <v>Moderado</v>
      </c>
      <c r="AF362" s="113" t="s">
        <v>134</v>
      </c>
      <c r="AG362" s="191"/>
      <c r="AH362" s="192"/>
      <c r="AI362" s="114"/>
      <c r="AJ362" s="114"/>
      <c r="AK362" s="191"/>
      <c r="AL362" s="192"/>
      <c r="AM362" s="155"/>
      <c r="AN362" s="155"/>
      <c r="AO362" s="155"/>
      <c r="AP362" s="155"/>
      <c r="AQ362" s="155"/>
      <c r="AR362" s="155"/>
      <c r="AS362" s="155"/>
      <c r="AT362" s="155"/>
      <c r="AU362" s="155"/>
      <c r="AV362" s="155"/>
      <c r="AW362" s="155"/>
      <c r="AX362" s="155"/>
      <c r="AY362" s="155"/>
      <c r="AZ362" s="155"/>
      <c r="BA362" s="155"/>
      <c r="BB362" s="155"/>
      <c r="BC362" s="155"/>
      <c r="BD362" s="155"/>
      <c r="BE362" s="155"/>
      <c r="BF362" s="155"/>
      <c r="BG362" s="155"/>
      <c r="BH362" s="155"/>
      <c r="BI362" s="155"/>
      <c r="BJ362" s="155"/>
      <c r="BK362" s="155"/>
      <c r="BL362" s="155"/>
      <c r="BM362" s="155"/>
      <c r="BN362" s="155"/>
      <c r="BO362" s="155"/>
      <c r="BP362" s="155"/>
      <c r="BQ362" s="155"/>
      <c r="BR362" s="155"/>
    </row>
    <row r="363" spans="1:70" s="156" customFormat="1" ht="16.5" hidden="1" customHeight="1" x14ac:dyDescent="0.25">
      <c r="A363" s="266"/>
      <c r="B363" s="268"/>
      <c r="C363" s="268"/>
      <c r="D363" s="271"/>
      <c r="E363" s="271"/>
      <c r="F363" s="271"/>
      <c r="G363" s="363"/>
      <c r="H363" s="271"/>
      <c r="I363" s="266"/>
      <c r="J363" s="276"/>
      <c r="K363" s="278"/>
      <c r="L363" s="274"/>
      <c r="M363" s="278">
        <f ca="1">IF(NOT(ISERROR(MATCH(L363,_xlfn.ANCHORARRAY(G374),0))),K376&amp;"Por favor no seleccionar los criterios de impacto",L363)</f>
        <v>0</v>
      </c>
      <c r="N363" s="276"/>
      <c r="O363" s="278"/>
      <c r="P363" s="280"/>
      <c r="Q363" s="201">
        <v>3</v>
      </c>
      <c r="R363" s="112"/>
      <c r="S363" s="201" t="str">
        <f t="shared" si="136"/>
        <v/>
      </c>
      <c r="T363" s="113"/>
      <c r="U363" s="113"/>
      <c r="V363" s="167" t="str">
        <f t="shared" si="129"/>
        <v/>
      </c>
      <c r="W363" s="113"/>
      <c r="X363" s="113"/>
      <c r="Y363" s="113"/>
      <c r="Z363" s="165" t="str">
        <f>IFERROR(IF(S363="Probabilidad",(K361-(+K361*V363)),IF(S363="Impacto",K361,"")),"")</f>
        <v/>
      </c>
      <c r="AA363" s="166" t="str">
        <f t="shared" si="137"/>
        <v/>
      </c>
      <c r="AB363" s="167" t="str">
        <f t="shared" si="138"/>
        <v/>
      </c>
      <c r="AC363" s="166" t="str">
        <f t="shared" si="139"/>
        <v/>
      </c>
      <c r="AD363" s="167" t="str">
        <f t="shared" si="141"/>
        <v/>
      </c>
      <c r="AE363" s="168" t="str">
        <f t="shared" si="140"/>
        <v/>
      </c>
      <c r="AF363" s="113"/>
      <c r="AG363" s="191"/>
      <c r="AH363" s="192"/>
      <c r="AI363" s="114"/>
      <c r="AJ363" s="114"/>
      <c r="AK363" s="191"/>
      <c r="AL363" s="192"/>
      <c r="AM363" s="155"/>
      <c r="AN363" s="155"/>
      <c r="AO363" s="155"/>
      <c r="AP363" s="155"/>
      <c r="AQ363" s="155"/>
      <c r="AR363" s="155"/>
      <c r="AS363" s="155"/>
      <c r="AT363" s="155"/>
      <c r="AU363" s="155"/>
      <c r="AV363" s="155"/>
      <c r="AW363" s="155"/>
      <c r="AX363" s="155"/>
      <c r="AY363" s="155"/>
      <c r="AZ363" s="155"/>
      <c r="BA363" s="155"/>
      <c r="BB363" s="155"/>
      <c r="BC363" s="155"/>
      <c r="BD363" s="155"/>
      <c r="BE363" s="155"/>
      <c r="BF363" s="155"/>
      <c r="BG363" s="155"/>
      <c r="BH363" s="155"/>
      <c r="BI363" s="155"/>
      <c r="BJ363" s="155"/>
      <c r="BK363" s="155"/>
      <c r="BL363" s="155"/>
      <c r="BM363" s="155"/>
      <c r="BN363" s="155"/>
      <c r="BO363" s="155"/>
      <c r="BP363" s="155"/>
      <c r="BQ363" s="155"/>
      <c r="BR363" s="155"/>
    </row>
    <row r="364" spans="1:70" s="156" customFormat="1" ht="16.5" hidden="1" customHeight="1" x14ac:dyDescent="0.25">
      <c r="A364" s="266"/>
      <c r="B364" s="268"/>
      <c r="C364" s="268"/>
      <c r="D364" s="271"/>
      <c r="E364" s="271"/>
      <c r="F364" s="271"/>
      <c r="G364" s="363"/>
      <c r="H364" s="271"/>
      <c r="I364" s="266"/>
      <c r="J364" s="276"/>
      <c r="K364" s="278"/>
      <c r="L364" s="274"/>
      <c r="M364" s="278">
        <f ca="1">IF(NOT(ISERROR(MATCH(L364,_xlfn.ANCHORARRAY(G375),0))),K377&amp;"Por favor no seleccionar los criterios de impacto",L364)</f>
        <v>0</v>
      </c>
      <c r="N364" s="276"/>
      <c r="O364" s="278"/>
      <c r="P364" s="280"/>
      <c r="Q364" s="201">
        <v>4</v>
      </c>
      <c r="R364" s="112"/>
      <c r="S364" s="201" t="str">
        <f t="shared" si="136"/>
        <v/>
      </c>
      <c r="T364" s="113"/>
      <c r="U364" s="113"/>
      <c r="V364" s="167" t="str">
        <f t="shared" si="129"/>
        <v/>
      </c>
      <c r="W364" s="113"/>
      <c r="X364" s="113"/>
      <c r="Y364" s="113"/>
      <c r="Z364" s="165" t="str">
        <f>IFERROR(IF(S364="Probabilidad",(K361-(+K361*V364)),IF(S364="Impacto",K361,"")),"")</f>
        <v/>
      </c>
      <c r="AA364" s="166" t="str">
        <f t="shared" si="137"/>
        <v/>
      </c>
      <c r="AB364" s="167" t="str">
        <f t="shared" si="138"/>
        <v/>
      </c>
      <c r="AC364" s="166" t="str">
        <f t="shared" si="139"/>
        <v/>
      </c>
      <c r="AD364" s="167" t="str">
        <f t="shared" si="141"/>
        <v/>
      </c>
      <c r="AE364" s="168" t="str">
        <f t="shared" si="140"/>
        <v/>
      </c>
      <c r="AF364" s="113"/>
      <c r="AG364" s="191"/>
      <c r="AH364" s="192"/>
      <c r="AI364" s="114"/>
      <c r="AJ364" s="114"/>
      <c r="AK364" s="191"/>
      <c r="AL364" s="192"/>
      <c r="AM364" s="155"/>
      <c r="AN364" s="155"/>
      <c r="AO364" s="155"/>
      <c r="AP364" s="155"/>
      <c r="AQ364" s="155"/>
      <c r="AR364" s="155"/>
      <c r="AS364" s="155"/>
      <c r="AT364" s="155"/>
      <c r="AU364" s="155"/>
      <c r="AV364" s="155"/>
      <c r="AW364" s="155"/>
      <c r="AX364" s="155"/>
      <c r="AY364" s="155"/>
      <c r="AZ364" s="155"/>
      <c r="BA364" s="155"/>
      <c r="BB364" s="155"/>
      <c r="BC364" s="155"/>
      <c r="BD364" s="155"/>
      <c r="BE364" s="155"/>
      <c r="BF364" s="155"/>
      <c r="BG364" s="155"/>
      <c r="BH364" s="155"/>
      <c r="BI364" s="155"/>
      <c r="BJ364" s="155"/>
      <c r="BK364" s="155"/>
      <c r="BL364" s="155"/>
      <c r="BM364" s="155"/>
      <c r="BN364" s="155"/>
      <c r="BO364" s="155"/>
      <c r="BP364" s="155"/>
      <c r="BQ364" s="155"/>
      <c r="BR364" s="155"/>
    </row>
    <row r="365" spans="1:70" s="156" customFormat="1" ht="16.5" hidden="1" customHeight="1" x14ac:dyDescent="0.25">
      <c r="A365" s="266"/>
      <c r="B365" s="268"/>
      <c r="C365" s="268"/>
      <c r="D365" s="271"/>
      <c r="E365" s="271"/>
      <c r="F365" s="271"/>
      <c r="G365" s="363"/>
      <c r="H365" s="271"/>
      <c r="I365" s="266"/>
      <c r="J365" s="276"/>
      <c r="K365" s="278"/>
      <c r="L365" s="274"/>
      <c r="M365" s="278">
        <f ca="1">IF(NOT(ISERROR(MATCH(L365,_xlfn.ANCHORARRAY(G376),0))),K378&amp;"Por favor no seleccionar los criterios de impacto",L365)</f>
        <v>0</v>
      </c>
      <c r="N365" s="276"/>
      <c r="O365" s="278"/>
      <c r="P365" s="280"/>
      <c r="Q365" s="201">
        <v>5</v>
      </c>
      <c r="R365" s="112"/>
      <c r="S365" s="201" t="str">
        <f t="shared" si="136"/>
        <v/>
      </c>
      <c r="T365" s="113"/>
      <c r="U365" s="113"/>
      <c r="V365" s="167" t="str">
        <f t="shared" si="129"/>
        <v/>
      </c>
      <c r="W365" s="113"/>
      <c r="X365" s="113"/>
      <c r="Y365" s="113"/>
      <c r="Z365" s="165" t="str">
        <f>IFERROR(IF(S365="Probabilidad",(K361-(+K361*V365)),IF(S365="Impacto",K361,"")),"")</f>
        <v/>
      </c>
      <c r="AA365" s="166" t="str">
        <f t="shared" si="137"/>
        <v/>
      </c>
      <c r="AB365" s="167" t="str">
        <f t="shared" si="138"/>
        <v/>
      </c>
      <c r="AC365" s="166" t="str">
        <f t="shared" si="139"/>
        <v/>
      </c>
      <c r="AD365" s="167" t="str">
        <f t="shared" si="141"/>
        <v/>
      </c>
      <c r="AE365" s="168" t="str">
        <f t="shared" si="140"/>
        <v/>
      </c>
      <c r="AF365" s="113"/>
      <c r="AG365" s="191"/>
      <c r="AH365" s="192"/>
      <c r="AI365" s="114"/>
      <c r="AJ365" s="114"/>
      <c r="AK365" s="191"/>
      <c r="AL365" s="192"/>
      <c r="AM365" s="155"/>
      <c r="AN365" s="155"/>
      <c r="AO365" s="155"/>
      <c r="AP365" s="155"/>
      <c r="AQ365" s="155"/>
      <c r="AR365" s="155"/>
      <c r="AS365" s="155"/>
      <c r="AT365" s="155"/>
      <c r="AU365" s="155"/>
      <c r="AV365" s="155"/>
      <c r="AW365" s="155"/>
      <c r="AX365" s="155"/>
      <c r="AY365" s="155"/>
      <c r="AZ365" s="155"/>
      <c r="BA365" s="155"/>
      <c r="BB365" s="155"/>
      <c r="BC365" s="155"/>
      <c r="BD365" s="155"/>
      <c r="BE365" s="155"/>
      <c r="BF365" s="155"/>
      <c r="BG365" s="155"/>
      <c r="BH365" s="155"/>
      <c r="BI365" s="155"/>
      <c r="BJ365" s="155"/>
      <c r="BK365" s="155"/>
      <c r="BL365" s="155"/>
      <c r="BM365" s="155"/>
      <c r="BN365" s="155"/>
      <c r="BO365" s="155"/>
      <c r="BP365" s="155"/>
      <c r="BQ365" s="155"/>
      <c r="BR365" s="155"/>
    </row>
    <row r="366" spans="1:70" s="156" customFormat="1" ht="16.5" hidden="1" customHeight="1" x14ac:dyDescent="0.25">
      <c r="A366" s="266"/>
      <c r="B366" s="269"/>
      <c r="C366" s="269"/>
      <c r="D366" s="271"/>
      <c r="E366" s="271"/>
      <c r="F366" s="271"/>
      <c r="G366" s="363"/>
      <c r="H366" s="271"/>
      <c r="I366" s="266"/>
      <c r="J366" s="276"/>
      <c r="K366" s="278"/>
      <c r="L366" s="274"/>
      <c r="M366" s="278">
        <f ca="1">IF(NOT(ISERROR(MATCH(L366,_xlfn.ANCHORARRAY(G377),0))),K379&amp;"Por favor no seleccionar los criterios de impacto",L366)</f>
        <v>0</v>
      </c>
      <c r="N366" s="276"/>
      <c r="O366" s="278"/>
      <c r="P366" s="280"/>
      <c r="Q366" s="201">
        <v>6</v>
      </c>
      <c r="R366" s="112"/>
      <c r="S366" s="201" t="str">
        <f t="shared" si="136"/>
        <v/>
      </c>
      <c r="T366" s="113"/>
      <c r="U366" s="113"/>
      <c r="V366" s="167" t="str">
        <f t="shared" si="129"/>
        <v/>
      </c>
      <c r="W366" s="113"/>
      <c r="X366" s="113"/>
      <c r="Y366" s="113"/>
      <c r="Z366" s="165" t="str">
        <f>IFERROR(IF(S366="Probabilidad",(K361-(+K361*V366)),IF(S366="Impacto",K361,"")),"")</f>
        <v/>
      </c>
      <c r="AA366" s="166" t="str">
        <f t="shared" si="137"/>
        <v/>
      </c>
      <c r="AB366" s="167" t="str">
        <f t="shared" si="138"/>
        <v/>
      </c>
      <c r="AC366" s="166" t="str">
        <f t="shared" si="139"/>
        <v/>
      </c>
      <c r="AD366" s="167" t="str">
        <f t="shared" si="141"/>
        <v/>
      </c>
      <c r="AE366" s="168" t="str">
        <f t="shared" si="140"/>
        <v/>
      </c>
      <c r="AF366" s="113"/>
      <c r="AG366" s="191"/>
      <c r="AH366" s="192"/>
      <c r="AI366" s="114"/>
      <c r="AJ366" s="114"/>
      <c r="AK366" s="191"/>
      <c r="AL366" s="192"/>
      <c r="AM366" s="155"/>
      <c r="AN366" s="155"/>
      <c r="AO366" s="155"/>
      <c r="AP366" s="155"/>
      <c r="AQ366" s="155"/>
      <c r="AR366" s="155"/>
      <c r="AS366" s="155"/>
      <c r="AT366" s="155"/>
      <c r="AU366" s="155"/>
      <c r="AV366" s="155"/>
      <c r="AW366" s="155"/>
      <c r="AX366" s="155"/>
      <c r="AY366" s="155"/>
      <c r="AZ366" s="155"/>
      <c r="BA366" s="155"/>
      <c r="BB366" s="155"/>
      <c r="BC366" s="155"/>
      <c r="BD366" s="155"/>
      <c r="BE366" s="155"/>
      <c r="BF366" s="155"/>
      <c r="BG366" s="155"/>
      <c r="BH366" s="155"/>
      <c r="BI366" s="155"/>
      <c r="BJ366" s="155"/>
      <c r="BK366" s="155"/>
      <c r="BL366" s="155"/>
      <c r="BM366" s="155"/>
      <c r="BN366" s="155"/>
      <c r="BO366" s="155"/>
      <c r="BP366" s="155"/>
      <c r="BQ366" s="155"/>
      <c r="BR366" s="155"/>
    </row>
    <row r="367" spans="1:70" s="156" customFormat="1" ht="75" x14ac:dyDescent="0.25">
      <c r="A367" s="266">
        <v>60</v>
      </c>
      <c r="B367" s="267" t="s">
        <v>218</v>
      </c>
      <c r="C367" s="267" t="s">
        <v>744</v>
      </c>
      <c r="D367" s="270" t="s">
        <v>132</v>
      </c>
      <c r="E367" s="270" t="s">
        <v>762</v>
      </c>
      <c r="F367" s="270" t="s">
        <v>763</v>
      </c>
      <c r="G367" s="362" t="s">
        <v>764</v>
      </c>
      <c r="H367" s="364" t="s">
        <v>123</v>
      </c>
      <c r="I367" s="281">
        <v>60</v>
      </c>
      <c r="J367" s="275" t="str">
        <f>IF(I367&lt;=0,"",IF(I367&lt;=2,"Muy Baja",IF(I367&lt;=24,"Baja",IF(I367&lt;=500,"Media",IF(I367&lt;=5000,"Alta","Muy Alta")))))</f>
        <v>Media</v>
      </c>
      <c r="K367" s="277">
        <f>IF(J367="","",IF(J367="Muy Baja",0.2,IF(J367="Baja",0.4,IF(J367="Media",0.6,IF(J367="Alta",0.8,IF(J367="Muy Alta",1,))))))</f>
        <v>0.6</v>
      </c>
      <c r="L367" s="273" t="s">
        <v>96</v>
      </c>
      <c r="M367" s="277" t="str">
        <f>IF(NOT(ISERROR(MATCH(L367,'[11]Tabla Impacto'!$B$221:$B$223,0))),'[11]Tabla Impacto'!$F$223&amp;"Por favor no seleccionar los criterios de impacto(Afectación Económica o presupuestal y Pérdida Reputacional)",L367)</f>
        <v>El riesgo afecta la imagen de la entidad internamente, de conocimiento general, nivel interno, de junta dircetiva y accionistas y/o de provedores</v>
      </c>
      <c r="N367" s="275" t="str">
        <f>+IF(OR(M367='[11]Tabla Impacto'!$C$11,M367='[11]Tabla Impacto'!$D$11),"Leve",IF(OR(M367='[11]Tabla Impacto'!$C$12,M367='[11]Tabla Impacto'!$D$12),"Menor",IF(OR(M367='[11]Tabla Impacto'!$C$13,M367='[11]Tabla Impacto'!$D$13),"Moderado",IF(OR(M367='[11]Tabla Impacto'!$C$14,M367='[11]Tabla Impacto'!$D$14),"Mayor",IF(OR(M367='[11]Tabla Impacto'!$C$15,M367='[11]Tabla Impacto'!$D$15),"Catastrófico","")))))</f>
        <v>Menor</v>
      </c>
      <c r="O367" s="277">
        <f>IF(N367="","",IF(N367="Leve",0.2,IF(N367="Menor",0.4,IF(N367="Moderado",0.6,IF(N367="Mayor",0.8,IF(N367="Catastrófico",1,))))))</f>
        <v>0.4</v>
      </c>
      <c r="P367" s="279" t="str">
        <f>IF(OR(AND(J367="Muy Baja",N367="Leve"),AND(J367="Muy Baja",N367="Menor"),AND(J367="Baja",N367="Leve")),"Bajo",IF(OR(AND(J367="Muy baja",N367="Moderado"),AND(J367="Baja",N367="Menor"),AND(J367="Baja",N367="Moderado"),AND(J367="Media",N367="Leve"),AND(J367="Media",N367="Menor"),AND(J367="Media",N367="Moderado"),AND(J367="Alta",N367="Leve"),AND(J367="Alta",N367="Menor")),"Moderado",IF(OR(AND(J367="Muy Baja",N367="Mayor"),AND(J367="Baja",N367="Mayor"),AND(J367="Media",N367="Mayor"),AND(J367="Alta",N367="Moderado"),AND(J367="Alta",N367="Mayor"),AND(J367="Muy Alta",N367="Leve"),AND(J367="Muy Alta",N367="Menor"),AND(J367="Muy Alta",N367="Moderado"),AND(J367="Muy Alta",N367="Mayor")),"Alto",IF(OR(AND(J367="Muy Baja",N367="Catastrófico"),AND(J367="Baja",N367="Catastrófico"),AND(J367="Media",N367="Catastrófico"),AND(J367="Alta",N367="Catastrófico"),AND(J367="Muy Alta",N367="Catastrófico")),"Extremo",""))))</f>
        <v>Moderado</v>
      </c>
      <c r="Q367" s="201">
        <v>1</v>
      </c>
      <c r="R367" s="112" t="s">
        <v>810</v>
      </c>
      <c r="S367" s="201" t="str">
        <f t="shared" si="136"/>
        <v>Probabilidad</v>
      </c>
      <c r="T367" s="113" t="s">
        <v>14</v>
      </c>
      <c r="U367" s="113" t="s">
        <v>9</v>
      </c>
      <c r="V367" s="167" t="str">
        <f t="shared" si="129"/>
        <v>40%</v>
      </c>
      <c r="W367" s="113" t="s">
        <v>19</v>
      </c>
      <c r="X367" s="113" t="s">
        <v>22</v>
      </c>
      <c r="Y367" s="113" t="s">
        <v>117</v>
      </c>
      <c r="Z367" s="165">
        <f t="shared" si="142"/>
        <v>0.36</v>
      </c>
      <c r="AA367" s="166" t="str">
        <f t="shared" si="137"/>
        <v>Baja</v>
      </c>
      <c r="AB367" s="167">
        <f t="shared" si="138"/>
        <v>0.36</v>
      </c>
      <c r="AC367" s="166" t="str">
        <f t="shared" si="139"/>
        <v>Menor</v>
      </c>
      <c r="AD367" s="167">
        <f t="shared" si="141"/>
        <v>0.4</v>
      </c>
      <c r="AE367" s="168" t="str">
        <f t="shared" si="140"/>
        <v>Moderado</v>
      </c>
      <c r="AF367" s="113" t="s">
        <v>134</v>
      </c>
      <c r="AG367" s="191"/>
      <c r="AH367" s="192"/>
      <c r="AI367" s="114"/>
      <c r="AJ367" s="114"/>
      <c r="AK367" s="191"/>
      <c r="AL367" s="192"/>
      <c r="AM367" s="155"/>
      <c r="AN367" s="155"/>
      <c r="AO367" s="155"/>
      <c r="AP367" s="155"/>
      <c r="AQ367" s="155"/>
      <c r="AR367" s="155"/>
      <c r="AS367" s="155"/>
      <c r="AT367" s="155"/>
      <c r="AU367" s="155"/>
      <c r="AV367" s="155"/>
      <c r="AW367" s="155"/>
      <c r="AX367" s="155"/>
      <c r="AY367" s="155"/>
      <c r="AZ367" s="155"/>
      <c r="BA367" s="155"/>
      <c r="BB367" s="155"/>
      <c r="BC367" s="155"/>
      <c r="BD367" s="155"/>
      <c r="BE367" s="155"/>
      <c r="BF367" s="155"/>
      <c r="BG367" s="155"/>
      <c r="BH367" s="155"/>
      <c r="BI367" s="155"/>
      <c r="BJ367" s="155"/>
      <c r="BK367" s="155"/>
      <c r="BL367" s="155"/>
      <c r="BM367" s="155"/>
      <c r="BN367" s="155"/>
      <c r="BO367" s="155"/>
      <c r="BP367" s="155"/>
      <c r="BQ367" s="155"/>
      <c r="BR367" s="155"/>
    </row>
    <row r="368" spans="1:70" s="156" customFormat="1" ht="75" x14ac:dyDescent="0.25">
      <c r="A368" s="266"/>
      <c r="B368" s="294"/>
      <c r="C368" s="294"/>
      <c r="D368" s="270"/>
      <c r="E368" s="270"/>
      <c r="F368" s="270"/>
      <c r="G368" s="362"/>
      <c r="H368" s="270"/>
      <c r="I368" s="281"/>
      <c r="J368" s="275"/>
      <c r="K368" s="277"/>
      <c r="L368" s="273"/>
      <c r="M368" s="277">
        <f ca="1">IF(NOT(ISERROR(MATCH(L368,_xlfn.ANCHORARRAY(G379),0))),K381&amp;"Por favor no seleccionar los criterios de impacto",L368)</f>
        <v>0</v>
      </c>
      <c r="N368" s="275"/>
      <c r="O368" s="277"/>
      <c r="P368" s="279"/>
      <c r="Q368" s="201">
        <v>2</v>
      </c>
      <c r="R368" s="112" t="s">
        <v>811</v>
      </c>
      <c r="S368" s="201" t="str">
        <f t="shared" si="136"/>
        <v>Probabilidad</v>
      </c>
      <c r="T368" s="113" t="s">
        <v>14</v>
      </c>
      <c r="U368" s="113" t="s">
        <v>9</v>
      </c>
      <c r="V368" s="167" t="str">
        <f t="shared" si="129"/>
        <v>40%</v>
      </c>
      <c r="W368" s="113" t="s">
        <v>20</v>
      </c>
      <c r="X368" s="113" t="s">
        <v>22</v>
      </c>
      <c r="Y368" s="113" t="s">
        <v>117</v>
      </c>
      <c r="Z368" s="165">
        <f>IFERROR(IF(S368="Probabilidad",(K367-(+K367*V368)),IF(S368="Impacto",K367,"")),"")</f>
        <v>0.36</v>
      </c>
      <c r="AA368" s="166" t="str">
        <f t="shared" si="137"/>
        <v>Baja</v>
      </c>
      <c r="AB368" s="167">
        <f t="shared" si="138"/>
        <v>0.36</v>
      </c>
      <c r="AC368" s="166" t="str">
        <f t="shared" si="139"/>
        <v>Leve</v>
      </c>
      <c r="AD368" s="167">
        <f t="shared" si="141"/>
        <v>0</v>
      </c>
      <c r="AE368" s="168" t="str">
        <f t="shared" si="140"/>
        <v>Bajo</v>
      </c>
      <c r="AF368" s="113" t="s">
        <v>134</v>
      </c>
      <c r="AG368" s="191"/>
      <c r="AH368" s="192"/>
      <c r="AI368" s="114"/>
      <c r="AJ368" s="114"/>
      <c r="AK368" s="191"/>
      <c r="AL368" s="192"/>
      <c r="AM368" s="155"/>
      <c r="AN368" s="155"/>
      <c r="AO368" s="155"/>
      <c r="AP368" s="155"/>
      <c r="AQ368" s="155"/>
      <c r="AR368" s="155"/>
      <c r="AS368" s="155"/>
      <c r="AT368" s="155"/>
      <c r="AU368" s="155"/>
      <c r="AV368" s="155"/>
      <c r="AW368" s="155"/>
      <c r="AX368" s="155"/>
      <c r="AY368" s="155"/>
      <c r="AZ368" s="155"/>
      <c r="BA368" s="155"/>
      <c r="BB368" s="155"/>
      <c r="BC368" s="155"/>
      <c r="BD368" s="155"/>
      <c r="BE368" s="155"/>
      <c r="BF368" s="155"/>
      <c r="BG368" s="155"/>
      <c r="BH368" s="155"/>
      <c r="BI368" s="155"/>
      <c r="BJ368" s="155"/>
      <c r="BK368" s="155"/>
      <c r="BL368" s="155"/>
      <c r="BM368" s="155"/>
      <c r="BN368" s="155"/>
      <c r="BO368" s="155"/>
      <c r="BP368" s="155"/>
      <c r="BQ368" s="155"/>
      <c r="BR368" s="155"/>
    </row>
    <row r="369" spans="1:70" s="156" customFormat="1" ht="80.25" customHeight="1" x14ac:dyDescent="0.25">
      <c r="A369" s="266"/>
      <c r="B369" s="294"/>
      <c r="C369" s="294"/>
      <c r="D369" s="270"/>
      <c r="E369" s="270"/>
      <c r="F369" s="270"/>
      <c r="G369" s="362"/>
      <c r="H369" s="270"/>
      <c r="I369" s="281"/>
      <c r="J369" s="275"/>
      <c r="K369" s="277"/>
      <c r="L369" s="273"/>
      <c r="M369" s="277">
        <f ca="1">IF(NOT(ISERROR(MATCH(L369,_xlfn.ANCHORARRAY(G380),0))),K382&amp;"Por favor no seleccionar los criterios de impacto",L369)</f>
        <v>0</v>
      </c>
      <c r="N369" s="275"/>
      <c r="O369" s="277"/>
      <c r="P369" s="279"/>
      <c r="Q369" s="201">
        <v>3</v>
      </c>
      <c r="R369" s="112" t="s">
        <v>812</v>
      </c>
      <c r="S369" s="201" t="str">
        <f t="shared" si="136"/>
        <v>Probabilidad</v>
      </c>
      <c r="T369" s="113" t="s">
        <v>14</v>
      </c>
      <c r="U369" s="113" t="s">
        <v>9</v>
      </c>
      <c r="V369" s="167" t="str">
        <f t="shared" si="129"/>
        <v>40%</v>
      </c>
      <c r="W369" s="113" t="s">
        <v>19</v>
      </c>
      <c r="X369" s="113" t="s">
        <v>22</v>
      </c>
      <c r="Y369" s="113" t="s">
        <v>117</v>
      </c>
      <c r="Z369" s="165">
        <f>IFERROR(IF(S369="Probabilidad",(K367-(+K367*V369)),IF(S369="Impacto",K367,"")),"")</f>
        <v>0.36</v>
      </c>
      <c r="AA369" s="166" t="str">
        <f t="shared" si="137"/>
        <v>Baja</v>
      </c>
      <c r="AB369" s="167">
        <f t="shared" si="138"/>
        <v>0.36</v>
      </c>
      <c r="AC369" s="166" t="str">
        <f t="shared" si="139"/>
        <v>Leve</v>
      </c>
      <c r="AD369" s="167">
        <f t="shared" si="141"/>
        <v>0</v>
      </c>
      <c r="AE369" s="168" t="str">
        <f t="shared" si="140"/>
        <v>Bajo</v>
      </c>
      <c r="AF369" s="113" t="s">
        <v>134</v>
      </c>
      <c r="AG369" s="191"/>
      <c r="AH369" s="192"/>
      <c r="AI369" s="114"/>
      <c r="AJ369" s="114"/>
      <c r="AK369" s="191"/>
      <c r="AL369" s="192"/>
      <c r="AM369" s="155"/>
      <c r="AN369" s="155"/>
      <c r="AO369" s="155"/>
      <c r="AP369" s="155"/>
      <c r="AQ369" s="155"/>
      <c r="AR369" s="155"/>
      <c r="AS369" s="155"/>
      <c r="AT369" s="155"/>
      <c r="AU369" s="155"/>
      <c r="AV369" s="155"/>
      <c r="AW369" s="155"/>
      <c r="AX369" s="155"/>
      <c r="AY369" s="155"/>
      <c r="AZ369" s="155"/>
      <c r="BA369" s="155"/>
      <c r="BB369" s="155"/>
      <c r="BC369" s="155"/>
      <c r="BD369" s="155"/>
      <c r="BE369" s="155"/>
      <c r="BF369" s="155"/>
      <c r="BG369" s="155"/>
      <c r="BH369" s="155"/>
      <c r="BI369" s="155"/>
      <c r="BJ369" s="155"/>
      <c r="BK369" s="155"/>
      <c r="BL369" s="155"/>
      <c r="BM369" s="155"/>
      <c r="BN369" s="155"/>
      <c r="BO369" s="155"/>
      <c r="BP369" s="155"/>
      <c r="BQ369" s="155"/>
      <c r="BR369" s="155"/>
    </row>
    <row r="370" spans="1:70" s="156" customFormat="1" ht="16.5" hidden="1" customHeight="1" x14ac:dyDescent="0.25">
      <c r="A370" s="266"/>
      <c r="B370" s="268"/>
      <c r="C370" s="268"/>
      <c r="D370" s="271"/>
      <c r="E370" s="271"/>
      <c r="F370" s="271"/>
      <c r="G370" s="363"/>
      <c r="H370" s="271"/>
      <c r="I370" s="266"/>
      <c r="J370" s="276"/>
      <c r="K370" s="278"/>
      <c r="L370" s="274"/>
      <c r="M370" s="278">
        <f ca="1">IF(NOT(ISERROR(MATCH(L370,_xlfn.ANCHORARRAY(G381),0))),K383&amp;"Por favor no seleccionar los criterios de impacto",L370)</f>
        <v>0</v>
      </c>
      <c r="N370" s="276"/>
      <c r="O370" s="278"/>
      <c r="P370" s="280"/>
      <c r="Q370" s="201">
        <v>4</v>
      </c>
      <c r="R370" s="112"/>
      <c r="S370" s="201" t="str">
        <f t="shared" si="136"/>
        <v/>
      </c>
      <c r="T370" s="113"/>
      <c r="U370" s="113"/>
      <c r="V370" s="167" t="str">
        <f t="shared" si="129"/>
        <v/>
      </c>
      <c r="W370" s="113"/>
      <c r="X370" s="113"/>
      <c r="Y370" s="113"/>
      <c r="Z370" s="165" t="str">
        <f>IFERROR(IF(S370="Probabilidad",(K367-(+K367*V370)),IF(S370="Impacto",K367,"")),"")</f>
        <v/>
      </c>
      <c r="AA370" s="166" t="str">
        <f t="shared" si="137"/>
        <v/>
      </c>
      <c r="AB370" s="167" t="str">
        <f t="shared" si="138"/>
        <v/>
      </c>
      <c r="AC370" s="166" t="str">
        <f t="shared" si="139"/>
        <v/>
      </c>
      <c r="AD370" s="167" t="str">
        <f t="shared" si="141"/>
        <v/>
      </c>
      <c r="AE370" s="168" t="str">
        <f t="shared" si="140"/>
        <v/>
      </c>
      <c r="AF370" s="113"/>
      <c r="AG370" s="191"/>
      <c r="AH370" s="192"/>
      <c r="AI370" s="114"/>
      <c r="AJ370" s="114"/>
      <c r="AK370" s="191"/>
      <c r="AL370" s="192"/>
      <c r="AM370" s="155"/>
      <c r="AN370" s="155"/>
      <c r="AO370" s="155"/>
      <c r="AP370" s="155"/>
      <c r="AQ370" s="155"/>
      <c r="AR370" s="155"/>
      <c r="AS370" s="155"/>
      <c r="AT370" s="155"/>
      <c r="AU370" s="155"/>
      <c r="AV370" s="155"/>
      <c r="AW370" s="155"/>
      <c r="AX370" s="155"/>
      <c r="AY370" s="155"/>
      <c r="AZ370" s="155"/>
      <c r="BA370" s="155"/>
      <c r="BB370" s="155"/>
      <c r="BC370" s="155"/>
      <c r="BD370" s="155"/>
      <c r="BE370" s="155"/>
      <c r="BF370" s="155"/>
      <c r="BG370" s="155"/>
      <c r="BH370" s="155"/>
      <c r="BI370" s="155"/>
      <c r="BJ370" s="155"/>
      <c r="BK370" s="155"/>
      <c r="BL370" s="155"/>
      <c r="BM370" s="155"/>
      <c r="BN370" s="155"/>
      <c r="BO370" s="155"/>
      <c r="BP370" s="155"/>
      <c r="BQ370" s="155"/>
      <c r="BR370" s="155"/>
    </row>
    <row r="371" spans="1:70" s="156" customFormat="1" ht="16.5" hidden="1" customHeight="1" x14ac:dyDescent="0.25">
      <c r="A371" s="266"/>
      <c r="B371" s="268"/>
      <c r="C371" s="268"/>
      <c r="D371" s="271"/>
      <c r="E371" s="271"/>
      <c r="F371" s="271"/>
      <c r="G371" s="363"/>
      <c r="H371" s="271"/>
      <c r="I371" s="266"/>
      <c r="J371" s="276"/>
      <c r="K371" s="278"/>
      <c r="L371" s="274"/>
      <c r="M371" s="278">
        <f ca="1">IF(NOT(ISERROR(MATCH(L371,_xlfn.ANCHORARRAY(G382),0))),K384&amp;"Por favor no seleccionar los criterios de impacto",L371)</f>
        <v>0</v>
      </c>
      <c r="N371" s="276"/>
      <c r="O371" s="278"/>
      <c r="P371" s="280"/>
      <c r="Q371" s="201">
        <v>5</v>
      </c>
      <c r="R371" s="112"/>
      <c r="S371" s="201" t="str">
        <f t="shared" si="136"/>
        <v/>
      </c>
      <c r="T371" s="113"/>
      <c r="U371" s="113"/>
      <c r="V371" s="167" t="str">
        <f t="shared" si="129"/>
        <v/>
      </c>
      <c r="W371" s="113"/>
      <c r="X371" s="113"/>
      <c r="Y371" s="113"/>
      <c r="Z371" s="165" t="str">
        <f>IFERROR(IF(S371="Probabilidad",(K367-(+K367*V371)),IF(S371="Impacto",K367,"")),"")</f>
        <v/>
      </c>
      <c r="AA371" s="166" t="str">
        <f t="shared" si="137"/>
        <v/>
      </c>
      <c r="AB371" s="167" t="str">
        <f t="shared" si="138"/>
        <v/>
      </c>
      <c r="AC371" s="166" t="str">
        <f t="shared" si="139"/>
        <v/>
      </c>
      <c r="AD371" s="167" t="str">
        <f t="shared" si="141"/>
        <v/>
      </c>
      <c r="AE371" s="168" t="str">
        <f t="shared" si="140"/>
        <v/>
      </c>
      <c r="AF371" s="113"/>
      <c r="AG371" s="191"/>
      <c r="AH371" s="192"/>
      <c r="AI371" s="114"/>
      <c r="AJ371" s="114"/>
      <c r="AK371" s="191"/>
      <c r="AL371" s="192"/>
      <c r="AM371" s="155"/>
      <c r="AN371" s="155"/>
      <c r="AO371" s="155"/>
      <c r="AP371" s="155"/>
      <c r="AQ371" s="155"/>
      <c r="AR371" s="155"/>
      <c r="AS371" s="155"/>
      <c r="AT371" s="155"/>
      <c r="AU371" s="155"/>
      <c r="AV371" s="155"/>
      <c r="AW371" s="155"/>
      <c r="AX371" s="155"/>
      <c r="AY371" s="155"/>
      <c r="AZ371" s="155"/>
      <c r="BA371" s="155"/>
      <c r="BB371" s="155"/>
      <c r="BC371" s="155"/>
      <c r="BD371" s="155"/>
      <c r="BE371" s="155"/>
      <c r="BF371" s="155"/>
      <c r="BG371" s="155"/>
      <c r="BH371" s="155"/>
      <c r="BI371" s="155"/>
      <c r="BJ371" s="155"/>
      <c r="BK371" s="155"/>
      <c r="BL371" s="155"/>
      <c r="BM371" s="155"/>
      <c r="BN371" s="155"/>
      <c r="BO371" s="155"/>
      <c r="BP371" s="155"/>
      <c r="BQ371" s="155"/>
      <c r="BR371" s="155"/>
    </row>
    <row r="372" spans="1:70" s="156" customFormat="1" ht="16.5" hidden="1" customHeight="1" x14ac:dyDescent="0.25">
      <c r="A372" s="266"/>
      <c r="B372" s="269"/>
      <c r="C372" s="269"/>
      <c r="D372" s="271"/>
      <c r="E372" s="271"/>
      <c r="F372" s="271"/>
      <c r="G372" s="363"/>
      <c r="H372" s="271"/>
      <c r="I372" s="266"/>
      <c r="J372" s="276"/>
      <c r="K372" s="278"/>
      <c r="L372" s="274"/>
      <c r="M372" s="278">
        <f ca="1">IF(NOT(ISERROR(MATCH(L372,_xlfn.ANCHORARRAY(G383),0))),K427&amp;"Por favor no seleccionar los criterios de impacto",L372)</f>
        <v>0</v>
      </c>
      <c r="N372" s="276"/>
      <c r="O372" s="278"/>
      <c r="P372" s="280"/>
      <c r="Q372" s="201">
        <v>6</v>
      </c>
      <c r="R372" s="112"/>
      <c r="S372" s="201" t="str">
        <f t="shared" si="136"/>
        <v/>
      </c>
      <c r="T372" s="113"/>
      <c r="U372" s="113"/>
      <c r="V372" s="167" t="str">
        <f t="shared" ref="V372:V435" si="143">IF(AND(T372="Preventivo",U372="Automático"),"50%",IF(AND(T372="Preventivo",U372="Manual"),"40%",IF(AND(T372="Detectivo",U372="Automático"),"40%",IF(AND(T372="Detectivo",U372="Manual"),"30%",IF(AND(T372="Correctivo",U372="Automático"),"35%",IF(AND(T372="Correctivo",U372="Manual"),"25%",""))))))</f>
        <v/>
      </c>
      <c r="W372" s="113"/>
      <c r="X372" s="113"/>
      <c r="Y372" s="113"/>
      <c r="Z372" s="165" t="str">
        <f>IFERROR(IF(S372="Probabilidad",(K367-(+K367*V372)),IF(S372="Impacto",K367,"")),"")</f>
        <v/>
      </c>
      <c r="AA372" s="166" t="str">
        <f t="shared" si="137"/>
        <v/>
      </c>
      <c r="AB372" s="167" t="str">
        <f t="shared" si="138"/>
        <v/>
      </c>
      <c r="AC372" s="166" t="str">
        <f t="shared" si="139"/>
        <v/>
      </c>
      <c r="AD372" s="167" t="str">
        <f t="shared" si="141"/>
        <v/>
      </c>
      <c r="AE372" s="168" t="str">
        <f t="shared" si="140"/>
        <v/>
      </c>
      <c r="AF372" s="113"/>
      <c r="AG372" s="191"/>
      <c r="AH372" s="192"/>
      <c r="AI372" s="114"/>
      <c r="AJ372" s="114"/>
      <c r="AK372" s="191"/>
      <c r="AL372" s="192"/>
      <c r="AM372" s="155"/>
      <c r="AN372" s="155"/>
      <c r="AO372" s="155"/>
      <c r="AP372" s="155"/>
      <c r="AQ372" s="155"/>
      <c r="AR372" s="155"/>
      <c r="AS372" s="155"/>
      <c r="AT372" s="155"/>
      <c r="AU372" s="155"/>
      <c r="AV372" s="155"/>
      <c r="AW372" s="155"/>
      <c r="AX372" s="155"/>
      <c r="AY372" s="155"/>
      <c r="AZ372" s="155"/>
      <c r="BA372" s="155"/>
      <c r="BB372" s="155"/>
      <c r="BC372" s="155"/>
      <c r="BD372" s="155"/>
      <c r="BE372" s="155"/>
      <c r="BF372" s="155"/>
      <c r="BG372" s="155"/>
      <c r="BH372" s="155"/>
      <c r="BI372" s="155"/>
      <c r="BJ372" s="155"/>
      <c r="BK372" s="155"/>
      <c r="BL372" s="155"/>
      <c r="BM372" s="155"/>
      <c r="BN372" s="155"/>
      <c r="BO372" s="155"/>
      <c r="BP372" s="155"/>
      <c r="BQ372" s="155"/>
      <c r="BR372" s="155"/>
    </row>
    <row r="373" spans="1:70" s="156" customFormat="1" ht="64.5" x14ac:dyDescent="0.25">
      <c r="A373" s="266">
        <v>61</v>
      </c>
      <c r="B373" s="267" t="s">
        <v>218</v>
      </c>
      <c r="C373" s="267" t="s">
        <v>765</v>
      </c>
      <c r="D373" s="270" t="s">
        <v>132</v>
      </c>
      <c r="E373" s="270" t="s">
        <v>766</v>
      </c>
      <c r="F373" s="270" t="s">
        <v>767</v>
      </c>
      <c r="G373" s="362" t="s">
        <v>768</v>
      </c>
      <c r="H373" s="270" t="s">
        <v>126</v>
      </c>
      <c r="I373" s="281">
        <v>501</v>
      </c>
      <c r="J373" s="275" t="str">
        <f>IF(I373&lt;=0,"",IF(I373&lt;=2,"Muy Baja",IF(I373&lt;=24,"Baja",IF(I373&lt;=500,"Media",IF(I373&lt;=5000,"Alta","Muy Alta")))))</f>
        <v>Alta</v>
      </c>
      <c r="K373" s="277">
        <f>IF(J373="","",IF(J373="Muy Baja",0.2,IF(J373="Baja",0.4,IF(J373="Media",0.6,IF(J373="Alta",0.8,IF(J373="Muy Alta",1,))))))</f>
        <v>0.8</v>
      </c>
      <c r="L373" s="273" t="s">
        <v>98</v>
      </c>
      <c r="M373" s="277" t="str">
        <f>IF(NOT(ISERROR(MATCH(L373,'[11]Tabla Impacto'!$B$221:$B$223,0))),'[11]Tabla Impacto'!$F$223&amp;"Por favor no seleccionar los criterios de impacto(Afectación Económica o presupuestal y Pérdida Reputacional)",L373)</f>
        <v>El riesgo afecta la imagen de la entidad con algunos usuarios de relevancia frente al logro de los objetivos</v>
      </c>
      <c r="N373" s="275" t="str">
        <f>+IF(OR(M373='[11]Tabla Impacto'!$C$11,M373='[11]Tabla Impacto'!$D$11),"Leve",IF(OR(M373='[11]Tabla Impacto'!$C$12,M373='[11]Tabla Impacto'!$D$12),"Menor",IF(OR(M373='[11]Tabla Impacto'!$C$13,M373='[11]Tabla Impacto'!$D$13),"Moderado",IF(OR(M373='[11]Tabla Impacto'!$C$14,M373='[11]Tabla Impacto'!$D$14),"Mayor",IF(OR(M373='[11]Tabla Impacto'!$C$15,M373='[11]Tabla Impacto'!$D$15),"Catastrófico","")))))</f>
        <v>Moderado</v>
      </c>
      <c r="O373" s="277">
        <f>IF(N373="","",IF(N373="Leve",0.2,IF(N373="Menor",0.4,IF(N373="Moderado",0.6,IF(N373="Mayor",0.8,IF(N373="Catastrófico",1,))))))</f>
        <v>0.6</v>
      </c>
      <c r="P373" s="279" t="str">
        <f>IF(OR(AND(J373="Muy Baja",N373="Leve"),AND(J373="Muy Baja",N373="Menor"),AND(J373="Baja",N373="Leve")),"Bajo",IF(OR(AND(J373="Muy baja",N373="Moderado"),AND(J373="Baja",N373="Menor"),AND(J373="Baja",N373="Moderado"),AND(J373="Media",N373="Leve"),AND(J373="Media",N373="Menor"),AND(J373="Media",N373="Moderado"),AND(J373="Alta",N373="Leve"),AND(J373="Alta",N373="Menor")),"Moderado",IF(OR(AND(J373="Muy Baja",N373="Mayor"),AND(J373="Baja",N373="Mayor"),AND(J373="Media",N373="Mayor"),AND(J373="Alta",N373="Moderado"),AND(J373="Alta",N373="Mayor"),AND(J373="Muy Alta",N373="Leve"),AND(J373="Muy Alta",N373="Menor"),AND(J373="Muy Alta",N373="Moderado"),AND(J373="Muy Alta",N373="Mayor")),"Alto",IF(OR(AND(J373="Muy Baja",N373="Catastrófico"),AND(J373="Baja",N373="Catastrófico"),AND(J373="Media",N373="Catastrófico"),AND(J373="Alta",N373="Catastrófico"),AND(J373="Muy Alta",N373="Catastrófico")),"Extremo",""))))</f>
        <v>Alto</v>
      </c>
      <c r="Q373" s="201">
        <v>1</v>
      </c>
      <c r="R373" s="112" t="s">
        <v>813</v>
      </c>
      <c r="S373" s="201" t="str">
        <f t="shared" si="136"/>
        <v>Probabilidad</v>
      </c>
      <c r="T373" s="113" t="s">
        <v>14</v>
      </c>
      <c r="U373" s="113" t="s">
        <v>9</v>
      </c>
      <c r="V373" s="167" t="str">
        <f t="shared" si="143"/>
        <v>40%</v>
      </c>
      <c r="W373" s="113" t="s">
        <v>19</v>
      </c>
      <c r="X373" s="113" t="s">
        <v>22</v>
      </c>
      <c r="Y373" s="113" t="s">
        <v>117</v>
      </c>
      <c r="Z373" s="165">
        <f t="shared" si="142"/>
        <v>0.48</v>
      </c>
      <c r="AA373" s="166" t="str">
        <f t="shared" si="137"/>
        <v>Media</v>
      </c>
      <c r="AB373" s="167">
        <f t="shared" si="138"/>
        <v>0.48</v>
      </c>
      <c r="AC373" s="166" t="str">
        <f t="shared" si="139"/>
        <v>Moderado</v>
      </c>
      <c r="AD373" s="167">
        <f t="shared" si="141"/>
        <v>0.6</v>
      </c>
      <c r="AE373" s="168" t="str">
        <f t="shared" si="140"/>
        <v>Moderado</v>
      </c>
      <c r="AF373" s="113" t="s">
        <v>31</v>
      </c>
      <c r="AG373" s="191"/>
      <c r="AH373" s="192"/>
      <c r="AI373" s="114"/>
      <c r="AJ373" s="114"/>
      <c r="AK373" s="191"/>
      <c r="AL373" s="192"/>
      <c r="AM373" s="155"/>
      <c r="AN373" s="155"/>
      <c r="AO373" s="155"/>
      <c r="AP373" s="155"/>
      <c r="AQ373" s="155"/>
      <c r="AR373" s="155"/>
      <c r="AS373" s="155"/>
      <c r="AT373" s="155"/>
      <c r="AU373" s="155"/>
      <c r="AV373" s="155"/>
      <c r="AW373" s="155"/>
      <c r="AX373" s="155"/>
      <c r="AY373" s="155"/>
      <c r="AZ373" s="155"/>
      <c r="BA373" s="155"/>
      <c r="BB373" s="155"/>
      <c r="BC373" s="155"/>
      <c r="BD373" s="155"/>
      <c r="BE373" s="155"/>
      <c r="BF373" s="155"/>
      <c r="BG373" s="155"/>
      <c r="BH373" s="155"/>
      <c r="BI373" s="155"/>
      <c r="BJ373" s="155"/>
      <c r="BK373" s="155"/>
      <c r="BL373" s="155"/>
      <c r="BM373" s="155"/>
      <c r="BN373" s="155"/>
      <c r="BO373" s="155"/>
      <c r="BP373" s="155"/>
      <c r="BQ373" s="155"/>
      <c r="BR373" s="155"/>
    </row>
    <row r="374" spans="1:70" s="156" customFormat="1" ht="75" x14ac:dyDescent="0.25">
      <c r="A374" s="266"/>
      <c r="B374" s="294"/>
      <c r="C374" s="294"/>
      <c r="D374" s="270"/>
      <c r="E374" s="270"/>
      <c r="F374" s="270"/>
      <c r="G374" s="362"/>
      <c r="H374" s="270"/>
      <c r="I374" s="281"/>
      <c r="J374" s="275"/>
      <c r="K374" s="277"/>
      <c r="L374" s="273"/>
      <c r="M374" s="277">
        <f ca="1">IF(NOT(ISERROR(MATCH(L374,_xlfn.ANCHORARRAY(G427),0))),K429&amp;"Por favor no seleccionar los criterios de impacto",L374)</f>
        <v>0</v>
      </c>
      <c r="N374" s="275"/>
      <c r="O374" s="277"/>
      <c r="P374" s="279"/>
      <c r="Q374" s="201">
        <v>2</v>
      </c>
      <c r="R374" s="112" t="s">
        <v>814</v>
      </c>
      <c r="S374" s="201" t="str">
        <f t="shared" si="136"/>
        <v>Probabilidad</v>
      </c>
      <c r="T374" s="113" t="s">
        <v>14</v>
      </c>
      <c r="U374" s="113" t="s">
        <v>9</v>
      </c>
      <c r="V374" s="167" t="str">
        <f t="shared" si="143"/>
        <v>40%</v>
      </c>
      <c r="W374" s="113" t="s">
        <v>19</v>
      </c>
      <c r="X374" s="113" t="s">
        <v>22</v>
      </c>
      <c r="Y374" s="113" t="s">
        <v>117</v>
      </c>
      <c r="Z374" s="165">
        <f>IFERROR(IF(S374="Probabilidad",(K373-(+K373*V374)),IF(S374="Impacto",K373,"")),"")</f>
        <v>0.48</v>
      </c>
      <c r="AA374" s="166" t="str">
        <f t="shared" si="137"/>
        <v>Media</v>
      </c>
      <c r="AB374" s="167">
        <f t="shared" si="138"/>
        <v>0.48</v>
      </c>
      <c r="AC374" s="166" t="str">
        <f t="shared" si="139"/>
        <v>Moderado</v>
      </c>
      <c r="AD374" s="167">
        <f>IFERROR(IF(S374="Impacto",(O373-(+O373*V374)),IF(S374="Probabilidad",O373,"")),"")</f>
        <v>0.6</v>
      </c>
      <c r="AE374" s="168" t="str">
        <f t="shared" si="140"/>
        <v>Moderado</v>
      </c>
      <c r="AF374" s="113" t="s">
        <v>134</v>
      </c>
      <c r="AG374" s="191"/>
      <c r="AH374" s="192"/>
      <c r="AI374" s="114"/>
      <c r="AJ374" s="114"/>
      <c r="AK374" s="191"/>
      <c r="AL374" s="192"/>
      <c r="AM374" s="155"/>
      <c r="AN374" s="155"/>
      <c r="AO374" s="155"/>
      <c r="AP374" s="155"/>
      <c r="AQ374" s="155"/>
      <c r="AR374" s="155"/>
      <c r="AS374" s="155"/>
      <c r="AT374" s="155"/>
      <c r="AU374" s="155"/>
      <c r="AV374" s="155"/>
      <c r="AW374" s="155"/>
      <c r="AX374" s="155"/>
      <c r="AY374" s="155"/>
      <c r="AZ374" s="155"/>
      <c r="BA374" s="155"/>
      <c r="BB374" s="155"/>
      <c r="BC374" s="155"/>
      <c r="BD374" s="155"/>
      <c r="BE374" s="155"/>
      <c r="BF374" s="155"/>
      <c r="BG374" s="155"/>
      <c r="BH374" s="155"/>
      <c r="BI374" s="155"/>
      <c r="BJ374" s="155"/>
      <c r="BK374" s="155"/>
      <c r="BL374" s="155"/>
      <c r="BM374" s="155"/>
      <c r="BN374" s="155"/>
      <c r="BO374" s="155"/>
      <c r="BP374" s="155"/>
      <c r="BQ374" s="155"/>
      <c r="BR374" s="155"/>
    </row>
    <row r="375" spans="1:70" s="156" customFormat="1" ht="16.5" hidden="1" customHeight="1" x14ac:dyDescent="0.25">
      <c r="A375" s="266"/>
      <c r="B375" s="268"/>
      <c r="C375" s="268"/>
      <c r="D375" s="271"/>
      <c r="E375" s="271"/>
      <c r="F375" s="271"/>
      <c r="G375" s="363"/>
      <c r="H375" s="271"/>
      <c r="I375" s="266"/>
      <c r="J375" s="276"/>
      <c r="K375" s="278"/>
      <c r="L375" s="274"/>
      <c r="M375" s="278">
        <f ca="1">IF(NOT(ISERROR(MATCH(L375,_xlfn.ANCHORARRAY(G428),0))),K430&amp;"Por favor no seleccionar los criterios de impacto",L375)</f>
        <v>0</v>
      </c>
      <c r="N375" s="276"/>
      <c r="O375" s="278"/>
      <c r="P375" s="280"/>
      <c r="Q375" s="201">
        <v>3</v>
      </c>
      <c r="R375" s="112"/>
      <c r="S375" s="201" t="str">
        <f t="shared" si="136"/>
        <v/>
      </c>
      <c r="T375" s="113"/>
      <c r="U375" s="113"/>
      <c r="V375" s="167" t="str">
        <f t="shared" si="143"/>
        <v/>
      </c>
      <c r="W375" s="113"/>
      <c r="X375" s="113"/>
      <c r="Y375" s="113"/>
      <c r="Z375" s="165" t="str">
        <f>IFERROR(IF(S375="Probabilidad",(K373-(+K373*V375)),IF(S375="Impacto",K373,"")),"")</f>
        <v/>
      </c>
      <c r="AA375" s="166" t="str">
        <f t="shared" si="137"/>
        <v/>
      </c>
      <c r="AB375" s="167" t="str">
        <f t="shared" si="138"/>
        <v/>
      </c>
      <c r="AC375" s="166" t="str">
        <f t="shared" si="139"/>
        <v/>
      </c>
      <c r="AD375" s="167" t="str">
        <f t="shared" si="141"/>
        <v/>
      </c>
      <c r="AE375" s="168" t="str">
        <f t="shared" si="140"/>
        <v/>
      </c>
      <c r="AF375" s="113"/>
      <c r="AG375" s="191"/>
      <c r="AH375" s="192"/>
      <c r="AI375" s="114"/>
      <c r="AJ375" s="114"/>
      <c r="AK375" s="191"/>
      <c r="AL375" s="192"/>
      <c r="AM375" s="155"/>
      <c r="AN375" s="155"/>
      <c r="AO375" s="155"/>
      <c r="AP375" s="155"/>
      <c r="AQ375" s="155"/>
      <c r="AR375" s="155"/>
      <c r="AS375" s="155"/>
      <c r="AT375" s="155"/>
      <c r="AU375" s="155"/>
      <c r="AV375" s="155"/>
      <c r="AW375" s="155"/>
      <c r="AX375" s="155"/>
      <c r="AY375" s="155"/>
      <c r="AZ375" s="155"/>
      <c r="BA375" s="155"/>
      <c r="BB375" s="155"/>
      <c r="BC375" s="155"/>
      <c r="BD375" s="155"/>
      <c r="BE375" s="155"/>
      <c r="BF375" s="155"/>
      <c r="BG375" s="155"/>
      <c r="BH375" s="155"/>
      <c r="BI375" s="155"/>
      <c r="BJ375" s="155"/>
      <c r="BK375" s="155"/>
      <c r="BL375" s="155"/>
      <c r="BM375" s="155"/>
      <c r="BN375" s="155"/>
      <c r="BO375" s="155"/>
      <c r="BP375" s="155"/>
      <c r="BQ375" s="155"/>
      <c r="BR375" s="155"/>
    </row>
    <row r="376" spans="1:70" s="156" customFormat="1" ht="16.5" hidden="1" customHeight="1" x14ac:dyDescent="0.25">
      <c r="A376" s="266"/>
      <c r="B376" s="268"/>
      <c r="C376" s="268"/>
      <c r="D376" s="271"/>
      <c r="E376" s="271"/>
      <c r="F376" s="271"/>
      <c r="G376" s="363"/>
      <c r="H376" s="271"/>
      <c r="I376" s="266"/>
      <c r="J376" s="276"/>
      <c r="K376" s="278"/>
      <c r="L376" s="274"/>
      <c r="M376" s="278">
        <f ca="1">IF(NOT(ISERROR(MATCH(L376,_xlfn.ANCHORARRAY(G429),0))),K431&amp;"Por favor no seleccionar los criterios de impacto",L376)</f>
        <v>0</v>
      </c>
      <c r="N376" s="276"/>
      <c r="O376" s="278"/>
      <c r="P376" s="280"/>
      <c r="Q376" s="201">
        <v>4</v>
      </c>
      <c r="R376" s="112"/>
      <c r="S376" s="201" t="str">
        <f t="shared" si="136"/>
        <v/>
      </c>
      <c r="T376" s="113"/>
      <c r="U376" s="113"/>
      <c r="V376" s="167" t="str">
        <f t="shared" si="143"/>
        <v/>
      </c>
      <c r="W376" s="113"/>
      <c r="X376" s="113"/>
      <c r="Y376" s="113"/>
      <c r="Z376" s="165" t="str">
        <f>IFERROR(IF(S376="Probabilidad",(K373-(+K373*V376)),IF(S376="Impacto",K373,"")),"")</f>
        <v/>
      </c>
      <c r="AA376" s="166" t="str">
        <f t="shared" si="137"/>
        <v/>
      </c>
      <c r="AB376" s="167" t="str">
        <f t="shared" si="138"/>
        <v/>
      </c>
      <c r="AC376" s="166" t="str">
        <f t="shared" si="139"/>
        <v/>
      </c>
      <c r="AD376" s="167" t="str">
        <f t="shared" si="141"/>
        <v/>
      </c>
      <c r="AE376" s="168" t="str">
        <f t="shared" si="140"/>
        <v/>
      </c>
      <c r="AF376" s="113"/>
      <c r="AG376" s="191"/>
      <c r="AH376" s="192"/>
      <c r="AI376" s="114"/>
      <c r="AJ376" s="114"/>
      <c r="AK376" s="191"/>
      <c r="AL376" s="192"/>
      <c r="AM376" s="155"/>
      <c r="AN376" s="155"/>
      <c r="AO376" s="155"/>
      <c r="AP376" s="155"/>
      <c r="AQ376" s="155"/>
      <c r="AR376" s="155"/>
      <c r="AS376" s="155"/>
      <c r="AT376" s="155"/>
      <c r="AU376" s="155"/>
      <c r="AV376" s="155"/>
      <c r="AW376" s="155"/>
      <c r="AX376" s="155"/>
      <c r="AY376" s="155"/>
      <c r="AZ376" s="155"/>
      <c r="BA376" s="155"/>
      <c r="BB376" s="155"/>
      <c r="BC376" s="155"/>
      <c r="BD376" s="155"/>
      <c r="BE376" s="155"/>
      <c r="BF376" s="155"/>
      <c r="BG376" s="155"/>
      <c r="BH376" s="155"/>
      <c r="BI376" s="155"/>
      <c r="BJ376" s="155"/>
      <c r="BK376" s="155"/>
      <c r="BL376" s="155"/>
      <c r="BM376" s="155"/>
      <c r="BN376" s="155"/>
      <c r="BO376" s="155"/>
      <c r="BP376" s="155"/>
      <c r="BQ376" s="155"/>
      <c r="BR376" s="155"/>
    </row>
    <row r="377" spans="1:70" s="156" customFormat="1" ht="16.5" hidden="1" customHeight="1" x14ac:dyDescent="0.25">
      <c r="A377" s="266"/>
      <c r="B377" s="268"/>
      <c r="C377" s="268"/>
      <c r="D377" s="271"/>
      <c r="E377" s="271"/>
      <c r="F377" s="271"/>
      <c r="G377" s="363"/>
      <c r="H377" s="271"/>
      <c r="I377" s="266"/>
      <c r="J377" s="276"/>
      <c r="K377" s="278"/>
      <c r="L377" s="274"/>
      <c r="M377" s="278">
        <f ca="1">IF(NOT(ISERROR(MATCH(L377,_xlfn.ANCHORARRAY(G430),0))),K432&amp;"Por favor no seleccionar los criterios de impacto",L377)</f>
        <v>0</v>
      </c>
      <c r="N377" s="276"/>
      <c r="O377" s="278"/>
      <c r="P377" s="280"/>
      <c r="Q377" s="201">
        <v>5</v>
      </c>
      <c r="R377" s="112"/>
      <c r="S377" s="201" t="str">
        <f t="shared" si="136"/>
        <v/>
      </c>
      <c r="T377" s="113"/>
      <c r="U377" s="113"/>
      <c r="V377" s="167" t="str">
        <f t="shared" si="143"/>
        <v/>
      </c>
      <c r="W377" s="113"/>
      <c r="X377" s="113"/>
      <c r="Y377" s="113"/>
      <c r="Z377" s="165" t="str">
        <f>IFERROR(IF(S377="Probabilidad",(K373-(+K373*V377)),IF(S377="Impacto",K373,"")),"")</f>
        <v/>
      </c>
      <c r="AA377" s="166" t="str">
        <f t="shared" si="137"/>
        <v/>
      </c>
      <c r="AB377" s="167" t="str">
        <f t="shared" si="138"/>
        <v/>
      </c>
      <c r="AC377" s="166" t="str">
        <f t="shared" si="139"/>
        <v/>
      </c>
      <c r="AD377" s="167" t="str">
        <f t="shared" si="141"/>
        <v/>
      </c>
      <c r="AE377" s="168" t="str">
        <f t="shared" si="140"/>
        <v/>
      </c>
      <c r="AF377" s="113"/>
      <c r="AG377" s="191"/>
      <c r="AH377" s="192"/>
      <c r="AI377" s="114"/>
      <c r="AJ377" s="114"/>
      <c r="AK377" s="191"/>
      <c r="AL377" s="192"/>
      <c r="AM377" s="155"/>
      <c r="AN377" s="155"/>
      <c r="AO377" s="155"/>
      <c r="AP377" s="155"/>
      <c r="AQ377" s="155"/>
      <c r="AR377" s="155"/>
      <c r="AS377" s="155"/>
      <c r="AT377" s="155"/>
      <c r="AU377" s="155"/>
      <c r="AV377" s="155"/>
      <c r="AW377" s="155"/>
      <c r="AX377" s="155"/>
      <c r="AY377" s="155"/>
      <c r="AZ377" s="155"/>
      <c r="BA377" s="155"/>
      <c r="BB377" s="155"/>
      <c r="BC377" s="155"/>
      <c r="BD377" s="155"/>
      <c r="BE377" s="155"/>
      <c r="BF377" s="155"/>
      <c r="BG377" s="155"/>
      <c r="BH377" s="155"/>
      <c r="BI377" s="155"/>
      <c r="BJ377" s="155"/>
      <c r="BK377" s="155"/>
      <c r="BL377" s="155"/>
      <c r="BM377" s="155"/>
      <c r="BN377" s="155"/>
      <c r="BO377" s="155"/>
      <c r="BP377" s="155"/>
      <c r="BQ377" s="155"/>
      <c r="BR377" s="155"/>
    </row>
    <row r="378" spans="1:70" s="156" customFormat="1" ht="16.5" hidden="1" customHeight="1" x14ac:dyDescent="0.25">
      <c r="A378" s="266"/>
      <c r="B378" s="269"/>
      <c r="C378" s="269"/>
      <c r="D378" s="271"/>
      <c r="E378" s="271"/>
      <c r="F378" s="271"/>
      <c r="G378" s="363"/>
      <c r="H378" s="271"/>
      <c r="I378" s="266"/>
      <c r="J378" s="276"/>
      <c r="K378" s="278"/>
      <c r="L378" s="274"/>
      <c r="M378" s="278">
        <f ca="1">IF(NOT(ISERROR(MATCH(L378,_xlfn.ANCHORARRAY(G431),0))),K433&amp;"Por favor no seleccionar los criterios de impacto",L378)</f>
        <v>0</v>
      </c>
      <c r="N378" s="276"/>
      <c r="O378" s="278"/>
      <c r="P378" s="280"/>
      <c r="Q378" s="201">
        <v>6</v>
      </c>
      <c r="R378" s="112"/>
      <c r="S378" s="201" t="str">
        <f t="shared" si="136"/>
        <v/>
      </c>
      <c r="T378" s="113"/>
      <c r="U378" s="113"/>
      <c r="V378" s="167" t="str">
        <f t="shared" si="143"/>
        <v/>
      </c>
      <c r="W378" s="113"/>
      <c r="X378" s="113"/>
      <c r="Y378" s="113"/>
      <c r="Z378" s="165" t="str">
        <f>IFERROR(IF(S378="Probabilidad",(K373-(+K373*V378)),IF(S378="Impacto",K373,"")),"")</f>
        <v/>
      </c>
      <c r="AA378" s="166" t="str">
        <f t="shared" si="137"/>
        <v/>
      </c>
      <c r="AB378" s="167" t="str">
        <f t="shared" si="138"/>
        <v/>
      </c>
      <c r="AC378" s="166" t="str">
        <f t="shared" si="139"/>
        <v/>
      </c>
      <c r="AD378" s="167" t="str">
        <f t="shared" si="141"/>
        <v/>
      </c>
      <c r="AE378" s="168" t="str">
        <f t="shared" si="140"/>
        <v/>
      </c>
      <c r="AF378" s="113"/>
      <c r="AG378" s="191"/>
      <c r="AH378" s="192"/>
      <c r="AI378" s="114"/>
      <c r="AJ378" s="114"/>
      <c r="AK378" s="191"/>
      <c r="AL378" s="192"/>
      <c r="AM378" s="155"/>
      <c r="AN378" s="155"/>
      <c r="AO378" s="155"/>
      <c r="AP378" s="155"/>
      <c r="AQ378" s="155"/>
      <c r="AR378" s="155"/>
      <c r="AS378" s="155"/>
      <c r="AT378" s="155"/>
      <c r="AU378" s="155"/>
      <c r="AV378" s="155"/>
      <c r="AW378" s="155"/>
      <c r="AX378" s="155"/>
      <c r="AY378" s="155"/>
      <c r="AZ378" s="155"/>
      <c r="BA378" s="155"/>
      <c r="BB378" s="155"/>
      <c r="BC378" s="155"/>
      <c r="BD378" s="155"/>
      <c r="BE378" s="155"/>
      <c r="BF378" s="155"/>
      <c r="BG378" s="155"/>
      <c r="BH378" s="155"/>
      <c r="BI378" s="155"/>
      <c r="BJ378" s="155"/>
      <c r="BK378" s="155"/>
      <c r="BL378" s="155"/>
      <c r="BM378" s="155"/>
      <c r="BN378" s="155"/>
      <c r="BO378" s="155"/>
      <c r="BP378" s="155"/>
      <c r="BQ378" s="155"/>
      <c r="BR378" s="155"/>
    </row>
    <row r="379" spans="1:70" s="156" customFormat="1" ht="64.5" x14ac:dyDescent="0.25">
      <c r="A379" s="266">
        <v>62</v>
      </c>
      <c r="B379" s="267" t="s">
        <v>218</v>
      </c>
      <c r="C379" s="267" t="s">
        <v>765</v>
      </c>
      <c r="D379" s="270" t="s">
        <v>130</v>
      </c>
      <c r="E379" s="270" t="s">
        <v>769</v>
      </c>
      <c r="F379" s="270" t="s">
        <v>770</v>
      </c>
      <c r="G379" s="362" t="s">
        <v>771</v>
      </c>
      <c r="H379" s="270" t="s">
        <v>437</v>
      </c>
      <c r="I379" s="281">
        <v>365</v>
      </c>
      <c r="J379" s="275" t="str">
        <f>IF(I379&lt;=0,"",IF(I379&lt;=2,"Muy Baja",IF(I379&lt;=24,"Baja",IF(I379&lt;=500,"Media",IF(I379&lt;=5000,"Alta","Muy Alta")))))</f>
        <v>Media</v>
      </c>
      <c r="K379" s="277">
        <f>IF(J379="","",IF(J379="Muy Baja",0.2,IF(J379="Baja",0.4,IF(J379="Media",0.6,IF(J379="Alta",0.8,IF(J379="Muy Alta",1,))))))</f>
        <v>0.6</v>
      </c>
      <c r="L379" s="273" t="s">
        <v>98</v>
      </c>
      <c r="M379" s="277" t="str">
        <f>IF(NOT(ISERROR(MATCH(L379,'[11]Tabla Impacto'!$B$221:$B$223,0))),'[11]Tabla Impacto'!$F$223&amp;"Por favor no seleccionar los criterios de impacto(Afectación Económica o presupuestal y Pérdida Reputacional)",L379)</f>
        <v>El riesgo afecta la imagen de la entidad con algunos usuarios de relevancia frente al logro de los objetivos</v>
      </c>
      <c r="N379" s="275" t="str">
        <f>+IF(OR(M379='[11]Tabla Impacto'!$C$11,M379='[11]Tabla Impacto'!$D$11),"Leve",IF(OR(M379='[11]Tabla Impacto'!$C$12,M379='[11]Tabla Impacto'!$D$12),"Menor",IF(OR(M379='[11]Tabla Impacto'!$C$13,M379='[11]Tabla Impacto'!$D$13),"Moderado",IF(OR(M379='[11]Tabla Impacto'!$C$14,M379='[11]Tabla Impacto'!$D$14),"Mayor",IF(OR(M379='[11]Tabla Impacto'!$C$15,M379='[11]Tabla Impacto'!$D$15),"Catastrófico","")))))</f>
        <v>Moderado</v>
      </c>
      <c r="O379" s="277">
        <f>IF(N379="","",IF(N379="Leve",0.2,IF(N379="Menor",0.4,IF(N379="Moderado",0.6,IF(N379="Mayor",0.8,IF(N379="Catastrófico",1,))))))</f>
        <v>0.6</v>
      </c>
      <c r="P379" s="279" t="str">
        <f>IF(OR(AND(J379="Muy Baja",N379="Leve"),AND(J379="Muy Baja",N379="Menor"),AND(J379="Baja",N379="Leve")),"Bajo",IF(OR(AND(J379="Muy baja",N379="Moderado"),AND(J379="Baja",N379="Menor"),AND(J379="Baja",N379="Moderado"),AND(J379="Media",N379="Leve"),AND(J379="Media",N379="Menor"),AND(J379="Media",N379="Moderado"),AND(J379="Alta",N379="Leve"),AND(J379="Alta",N379="Menor")),"Moderado",IF(OR(AND(J379="Muy Baja",N379="Mayor"),AND(J379="Baja",N379="Mayor"),AND(J379="Media",N379="Mayor"),AND(J379="Alta",N379="Moderado"),AND(J379="Alta",N379="Mayor"),AND(J379="Muy Alta",N379="Leve"),AND(J379="Muy Alta",N379="Menor"),AND(J379="Muy Alta",N379="Moderado"),AND(J379="Muy Alta",N379="Mayor")),"Alto",IF(OR(AND(J379="Muy Baja",N379="Catastrófico"),AND(J379="Baja",N379="Catastrófico"),AND(J379="Media",N379="Catastrófico"),AND(J379="Alta",N379="Catastrófico"),AND(J379="Muy Alta",N379="Catastrófico")),"Extremo",""))))</f>
        <v>Moderado</v>
      </c>
      <c r="Q379" s="201">
        <v>1</v>
      </c>
      <c r="R379" s="112" t="s">
        <v>815</v>
      </c>
      <c r="S379" s="201" t="str">
        <f t="shared" si="136"/>
        <v>Probabilidad</v>
      </c>
      <c r="T379" s="113" t="s">
        <v>14</v>
      </c>
      <c r="U379" s="113" t="s">
        <v>9</v>
      </c>
      <c r="V379" s="167" t="str">
        <f t="shared" si="143"/>
        <v>40%</v>
      </c>
      <c r="W379" s="113" t="s">
        <v>19</v>
      </c>
      <c r="X379" s="113" t="s">
        <v>22</v>
      </c>
      <c r="Y379" s="113" t="s">
        <v>117</v>
      </c>
      <c r="Z379" s="165">
        <f t="shared" si="142"/>
        <v>0.36</v>
      </c>
      <c r="AA379" s="166" t="str">
        <f t="shared" si="137"/>
        <v>Baja</v>
      </c>
      <c r="AB379" s="167">
        <f t="shared" si="138"/>
        <v>0.36</v>
      </c>
      <c r="AC379" s="166" t="str">
        <f t="shared" si="139"/>
        <v>Moderado</v>
      </c>
      <c r="AD379" s="167">
        <f t="shared" si="141"/>
        <v>0.6</v>
      </c>
      <c r="AE379" s="168" t="str">
        <f t="shared" si="140"/>
        <v>Moderado</v>
      </c>
      <c r="AF379" s="113" t="s">
        <v>31</v>
      </c>
      <c r="AG379" s="191"/>
      <c r="AH379" s="192"/>
      <c r="AI379" s="114"/>
      <c r="AJ379" s="114"/>
      <c r="AK379" s="191"/>
      <c r="AL379" s="192"/>
      <c r="AM379" s="155"/>
      <c r="AN379" s="155"/>
      <c r="AO379" s="155"/>
      <c r="AP379" s="155"/>
      <c r="AQ379" s="155"/>
      <c r="AR379" s="155"/>
      <c r="AS379" s="155"/>
      <c r="AT379" s="155"/>
      <c r="AU379" s="155"/>
      <c r="AV379" s="155"/>
      <c r="AW379" s="155"/>
      <c r="AX379" s="155"/>
      <c r="AY379" s="155"/>
      <c r="AZ379" s="155"/>
      <c r="BA379" s="155"/>
      <c r="BB379" s="155"/>
      <c r="BC379" s="155"/>
      <c r="BD379" s="155"/>
      <c r="BE379" s="155"/>
      <c r="BF379" s="155"/>
      <c r="BG379" s="155"/>
      <c r="BH379" s="155"/>
      <c r="BI379" s="155"/>
      <c r="BJ379" s="155"/>
      <c r="BK379" s="155"/>
      <c r="BL379" s="155"/>
      <c r="BM379" s="155"/>
      <c r="BN379" s="155"/>
      <c r="BO379" s="155"/>
      <c r="BP379" s="155"/>
      <c r="BQ379" s="155"/>
      <c r="BR379" s="155"/>
    </row>
    <row r="380" spans="1:70" s="156" customFormat="1" ht="75" x14ac:dyDescent="0.25">
      <c r="A380" s="266"/>
      <c r="B380" s="294"/>
      <c r="C380" s="294"/>
      <c r="D380" s="270"/>
      <c r="E380" s="270"/>
      <c r="F380" s="270"/>
      <c r="G380" s="362"/>
      <c r="H380" s="270"/>
      <c r="I380" s="281"/>
      <c r="J380" s="275"/>
      <c r="K380" s="277"/>
      <c r="L380" s="273"/>
      <c r="M380" s="277">
        <f ca="1">IF(NOT(ISERROR(MATCH(L380,_xlfn.ANCHORARRAY(G433),0))),K435&amp;"Por favor no seleccionar los criterios de impacto",L380)</f>
        <v>0</v>
      </c>
      <c r="N380" s="275"/>
      <c r="O380" s="277"/>
      <c r="P380" s="279"/>
      <c r="Q380" s="201">
        <v>2</v>
      </c>
      <c r="R380" s="112" t="s">
        <v>816</v>
      </c>
      <c r="S380" s="201" t="str">
        <f t="shared" si="136"/>
        <v>Probabilidad</v>
      </c>
      <c r="T380" s="113" t="s">
        <v>14</v>
      </c>
      <c r="U380" s="113" t="s">
        <v>9</v>
      </c>
      <c r="V380" s="167" t="str">
        <f t="shared" si="143"/>
        <v>40%</v>
      </c>
      <c r="W380" s="113" t="s">
        <v>19</v>
      </c>
      <c r="X380" s="113" t="s">
        <v>22</v>
      </c>
      <c r="Y380" s="113" t="s">
        <v>117</v>
      </c>
      <c r="Z380" s="165">
        <f>IFERROR(IF(S380="Probabilidad",(K379-(+K379*V380)),IF(S380="Impacto",K379,"")),"")</f>
        <v>0.36</v>
      </c>
      <c r="AA380" s="166" t="str">
        <f t="shared" si="137"/>
        <v>Baja</v>
      </c>
      <c r="AB380" s="167">
        <f t="shared" si="138"/>
        <v>0.36</v>
      </c>
      <c r="AC380" s="166" t="str">
        <f t="shared" si="139"/>
        <v>Moderado</v>
      </c>
      <c r="AD380" s="167">
        <f>IFERROR(IF(S380="Impacto",(O379-(+O379*V380)),IF(S380="Probabilidad",O379,"")),"")</f>
        <v>0.6</v>
      </c>
      <c r="AE380" s="168" t="str">
        <f t="shared" si="140"/>
        <v>Moderado</v>
      </c>
      <c r="AF380" s="113" t="s">
        <v>134</v>
      </c>
      <c r="AG380" s="191"/>
      <c r="AH380" s="192"/>
      <c r="AI380" s="114"/>
      <c r="AJ380" s="114"/>
      <c r="AK380" s="191"/>
      <c r="AL380" s="192"/>
      <c r="AM380" s="155"/>
      <c r="AN380" s="155"/>
      <c r="AO380" s="155"/>
      <c r="AP380" s="155"/>
      <c r="AQ380" s="155"/>
      <c r="AR380" s="155"/>
      <c r="AS380" s="155"/>
      <c r="AT380" s="155"/>
      <c r="AU380" s="155"/>
      <c r="AV380" s="155"/>
      <c r="AW380" s="155"/>
      <c r="AX380" s="155"/>
      <c r="AY380" s="155"/>
      <c r="AZ380" s="155"/>
      <c r="BA380" s="155"/>
      <c r="BB380" s="155"/>
      <c r="BC380" s="155"/>
      <c r="BD380" s="155"/>
      <c r="BE380" s="155"/>
      <c r="BF380" s="155"/>
      <c r="BG380" s="155"/>
      <c r="BH380" s="155"/>
      <c r="BI380" s="155"/>
      <c r="BJ380" s="155"/>
      <c r="BK380" s="155"/>
      <c r="BL380" s="155"/>
      <c r="BM380" s="155"/>
      <c r="BN380" s="155"/>
      <c r="BO380" s="155"/>
      <c r="BP380" s="155"/>
      <c r="BQ380" s="155"/>
      <c r="BR380" s="155"/>
    </row>
    <row r="381" spans="1:70" s="156" customFormat="1" ht="16.5" hidden="1" customHeight="1" x14ac:dyDescent="0.25">
      <c r="A381" s="266"/>
      <c r="B381" s="268"/>
      <c r="C381" s="268"/>
      <c r="D381" s="271"/>
      <c r="E381" s="271"/>
      <c r="F381" s="271"/>
      <c r="G381" s="363"/>
      <c r="H381" s="271"/>
      <c r="I381" s="266"/>
      <c r="J381" s="276"/>
      <c r="K381" s="278"/>
      <c r="L381" s="274"/>
      <c r="M381" s="278">
        <f ca="1">IF(NOT(ISERROR(MATCH(L381,_xlfn.ANCHORARRAY(G434),0))),K436&amp;"Por favor no seleccionar los criterios de impacto",L381)</f>
        <v>0</v>
      </c>
      <c r="N381" s="276"/>
      <c r="O381" s="278"/>
      <c r="P381" s="280"/>
      <c r="Q381" s="201">
        <v>3</v>
      </c>
      <c r="R381" s="112"/>
      <c r="S381" s="201" t="str">
        <f t="shared" si="136"/>
        <v/>
      </c>
      <c r="T381" s="113"/>
      <c r="U381" s="113"/>
      <c r="V381" s="167" t="str">
        <f t="shared" si="143"/>
        <v/>
      </c>
      <c r="W381" s="113"/>
      <c r="X381" s="113"/>
      <c r="Y381" s="113"/>
      <c r="Z381" s="165" t="str">
        <f>IFERROR(IF(S381="Probabilidad",(K379-(+K379*V381)),IF(S381="Impacto",K379,"")),"")</f>
        <v/>
      </c>
      <c r="AA381" s="166" t="str">
        <f t="shared" si="137"/>
        <v/>
      </c>
      <c r="AB381" s="167" t="str">
        <f t="shared" si="138"/>
        <v/>
      </c>
      <c r="AC381" s="166" t="str">
        <f t="shared" si="139"/>
        <v/>
      </c>
      <c r="AD381" s="167" t="str">
        <f t="shared" si="141"/>
        <v/>
      </c>
      <c r="AE381" s="168" t="str">
        <f t="shared" si="140"/>
        <v/>
      </c>
      <c r="AF381" s="113"/>
      <c r="AG381" s="191"/>
      <c r="AH381" s="192"/>
      <c r="AI381" s="114"/>
      <c r="AJ381" s="114"/>
      <c r="AK381" s="191"/>
      <c r="AL381" s="192"/>
      <c r="AM381" s="155"/>
      <c r="AN381" s="155"/>
      <c r="AO381" s="155"/>
      <c r="AP381" s="155"/>
      <c r="AQ381" s="155"/>
      <c r="AR381" s="155"/>
      <c r="AS381" s="155"/>
      <c r="AT381" s="155"/>
      <c r="AU381" s="155"/>
      <c r="AV381" s="155"/>
      <c r="AW381" s="155"/>
      <c r="AX381" s="155"/>
      <c r="AY381" s="155"/>
      <c r="AZ381" s="155"/>
      <c r="BA381" s="155"/>
      <c r="BB381" s="155"/>
      <c r="BC381" s="155"/>
      <c r="BD381" s="155"/>
      <c r="BE381" s="155"/>
      <c r="BF381" s="155"/>
      <c r="BG381" s="155"/>
      <c r="BH381" s="155"/>
      <c r="BI381" s="155"/>
      <c r="BJ381" s="155"/>
      <c r="BK381" s="155"/>
      <c r="BL381" s="155"/>
      <c r="BM381" s="155"/>
      <c r="BN381" s="155"/>
      <c r="BO381" s="155"/>
      <c r="BP381" s="155"/>
      <c r="BQ381" s="155"/>
      <c r="BR381" s="155"/>
    </row>
    <row r="382" spans="1:70" s="156" customFormat="1" ht="16.5" hidden="1" customHeight="1" x14ac:dyDescent="0.25">
      <c r="A382" s="266"/>
      <c r="B382" s="268"/>
      <c r="C382" s="268"/>
      <c r="D382" s="271"/>
      <c r="E382" s="271"/>
      <c r="F382" s="271"/>
      <c r="G382" s="363"/>
      <c r="H382" s="271"/>
      <c r="I382" s="266"/>
      <c r="J382" s="276"/>
      <c r="K382" s="278"/>
      <c r="L382" s="274"/>
      <c r="M382" s="278">
        <f ca="1">IF(NOT(ISERROR(MATCH(L382,_xlfn.ANCHORARRAY(G435),0))),K437&amp;"Por favor no seleccionar los criterios de impacto",L382)</f>
        <v>0</v>
      </c>
      <c r="N382" s="276"/>
      <c r="O382" s="278"/>
      <c r="P382" s="280"/>
      <c r="Q382" s="201">
        <v>4</v>
      </c>
      <c r="R382" s="112"/>
      <c r="S382" s="201" t="str">
        <f t="shared" si="136"/>
        <v/>
      </c>
      <c r="T382" s="113"/>
      <c r="U382" s="113"/>
      <c r="V382" s="167" t="str">
        <f t="shared" si="143"/>
        <v/>
      </c>
      <c r="W382" s="113"/>
      <c r="X382" s="113"/>
      <c r="Y382" s="113"/>
      <c r="Z382" s="165" t="str">
        <f>IFERROR(IF(S382="Probabilidad",(K379-(+K379*V382)),IF(S382="Impacto",K379,"")),"")</f>
        <v/>
      </c>
      <c r="AA382" s="166" t="str">
        <f t="shared" si="137"/>
        <v/>
      </c>
      <c r="AB382" s="167" t="str">
        <f t="shared" si="138"/>
        <v/>
      </c>
      <c r="AC382" s="166" t="str">
        <f t="shared" si="139"/>
        <v/>
      </c>
      <c r="AD382" s="167" t="str">
        <f t="shared" si="141"/>
        <v/>
      </c>
      <c r="AE382" s="168" t="str">
        <f t="shared" si="140"/>
        <v/>
      </c>
      <c r="AF382" s="113"/>
      <c r="AG382" s="191"/>
      <c r="AH382" s="192"/>
      <c r="AI382" s="114"/>
      <c r="AJ382" s="114"/>
      <c r="AK382" s="191"/>
      <c r="AL382" s="192"/>
      <c r="AM382" s="155"/>
      <c r="AN382" s="155"/>
      <c r="AO382" s="155"/>
      <c r="AP382" s="155"/>
      <c r="AQ382" s="155"/>
      <c r="AR382" s="155"/>
      <c r="AS382" s="155"/>
      <c r="AT382" s="155"/>
      <c r="AU382" s="155"/>
      <c r="AV382" s="155"/>
      <c r="AW382" s="155"/>
      <c r="AX382" s="155"/>
      <c r="AY382" s="155"/>
      <c r="AZ382" s="155"/>
      <c r="BA382" s="155"/>
      <c r="BB382" s="155"/>
      <c r="BC382" s="155"/>
      <c r="BD382" s="155"/>
      <c r="BE382" s="155"/>
      <c r="BF382" s="155"/>
      <c r="BG382" s="155"/>
      <c r="BH382" s="155"/>
      <c r="BI382" s="155"/>
      <c r="BJ382" s="155"/>
      <c r="BK382" s="155"/>
      <c r="BL382" s="155"/>
      <c r="BM382" s="155"/>
      <c r="BN382" s="155"/>
      <c r="BO382" s="155"/>
      <c r="BP382" s="155"/>
      <c r="BQ382" s="155"/>
      <c r="BR382" s="155"/>
    </row>
    <row r="383" spans="1:70" s="156" customFormat="1" ht="16.5" hidden="1" customHeight="1" x14ac:dyDescent="0.25">
      <c r="A383" s="266"/>
      <c r="B383" s="268"/>
      <c r="C383" s="268"/>
      <c r="D383" s="271"/>
      <c r="E383" s="271"/>
      <c r="F383" s="271"/>
      <c r="G383" s="363"/>
      <c r="H383" s="271"/>
      <c r="I383" s="266"/>
      <c r="J383" s="276"/>
      <c r="K383" s="278"/>
      <c r="L383" s="274"/>
      <c r="M383" s="278">
        <f ca="1">IF(NOT(ISERROR(MATCH(L383,_xlfn.ANCHORARRAY(G436),0))),K438&amp;"Por favor no seleccionar los criterios de impacto",L383)</f>
        <v>0</v>
      </c>
      <c r="N383" s="276"/>
      <c r="O383" s="278"/>
      <c r="P383" s="280"/>
      <c r="Q383" s="201">
        <v>5</v>
      </c>
      <c r="R383" s="112"/>
      <c r="S383" s="201" t="str">
        <f t="shared" si="136"/>
        <v/>
      </c>
      <c r="T383" s="113"/>
      <c r="U383" s="113"/>
      <c r="V383" s="167" t="str">
        <f t="shared" si="143"/>
        <v/>
      </c>
      <c r="W383" s="113"/>
      <c r="X383" s="113"/>
      <c r="Y383" s="113"/>
      <c r="Z383" s="165" t="str">
        <f>IFERROR(IF(S383="Probabilidad",(K379-(+K379*V383)),IF(S383="Impacto",K379,"")),"")</f>
        <v/>
      </c>
      <c r="AA383" s="166" t="str">
        <f t="shared" si="137"/>
        <v/>
      </c>
      <c r="AB383" s="167" t="str">
        <f t="shared" si="138"/>
        <v/>
      </c>
      <c r="AC383" s="166" t="str">
        <f t="shared" si="139"/>
        <v/>
      </c>
      <c r="AD383" s="167" t="str">
        <f t="shared" si="141"/>
        <v/>
      </c>
      <c r="AE383" s="168" t="str">
        <f t="shared" si="140"/>
        <v/>
      </c>
      <c r="AF383" s="113"/>
      <c r="AG383" s="191"/>
      <c r="AH383" s="192"/>
      <c r="AI383" s="114"/>
      <c r="AJ383" s="114"/>
      <c r="AK383" s="191"/>
      <c r="AL383" s="192"/>
      <c r="AM383" s="155"/>
      <c r="AN383" s="155"/>
      <c r="AO383" s="155"/>
      <c r="AP383" s="155"/>
      <c r="AQ383" s="155"/>
      <c r="AR383" s="155"/>
      <c r="AS383" s="155"/>
      <c r="AT383" s="155"/>
      <c r="AU383" s="155"/>
      <c r="AV383" s="155"/>
      <c r="AW383" s="155"/>
      <c r="AX383" s="155"/>
      <c r="AY383" s="155"/>
      <c r="AZ383" s="155"/>
      <c r="BA383" s="155"/>
      <c r="BB383" s="155"/>
      <c r="BC383" s="155"/>
      <c r="BD383" s="155"/>
      <c r="BE383" s="155"/>
      <c r="BF383" s="155"/>
      <c r="BG383" s="155"/>
      <c r="BH383" s="155"/>
      <c r="BI383" s="155"/>
      <c r="BJ383" s="155"/>
      <c r="BK383" s="155"/>
      <c r="BL383" s="155"/>
      <c r="BM383" s="155"/>
      <c r="BN383" s="155"/>
      <c r="BO383" s="155"/>
      <c r="BP383" s="155"/>
      <c r="BQ383" s="155"/>
      <c r="BR383" s="155"/>
    </row>
    <row r="384" spans="1:70" s="156" customFormat="1" ht="16.5" hidden="1" customHeight="1" x14ac:dyDescent="0.25">
      <c r="A384" s="266"/>
      <c r="B384" s="269"/>
      <c r="C384" s="269"/>
      <c r="D384" s="271"/>
      <c r="E384" s="271"/>
      <c r="F384" s="271"/>
      <c r="G384" s="363"/>
      <c r="H384" s="271"/>
      <c r="I384" s="266"/>
      <c r="J384" s="276"/>
      <c r="K384" s="278"/>
      <c r="L384" s="274"/>
      <c r="M384" s="278">
        <f ca="1">IF(NOT(ISERROR(MATCH(L384,_xlfn.ANCHORARRAY(G437),0))),K439&amp;"Por favor no seleccionar los criterios de impacto",L384)</f>
        <v>0</v>
      </c>
      <c r="N384" s="276"/>
      <c r="O384" s="278"/>
      <c r="P384" s="280"/>
      <c r="Q384" s="201">
        <v>6</v>
      </c>
      <c r="R384" s="112"/>
      <c r="S384" s="201" t="str">
        <f t="shared" si="136"/>
        <v/>
      </c>
      <c r="T384" s="113"/>
      <c r="U384" s="113"/>
      <c r="V384" s="167" t="str">
        <f t="shared" si="143"/>
        <v/>
      </c>
      <c r="W384" s="113"/>
      <c r="X384" s="113"/>
      <c r="Y384" s="113"/>
      <c r="Z384" s="165" t="str">
        <f>IFERROR(IF(S384="Probabilidad",(K379-(+K379*V384)),IF(S384="Impacto",K379,"")),"")</f>
        <v/>
      </c>
      <c r="AA384" s="166" t="str">
        <f t="shared" si="137"/>
        <v/>
      </c>
      <c r="AB384" s="167" t="str">
        <f t="shared" si="138"/>
        <v/>
      </c>
      <c r="AC384" s="166" t="str">
        <f t="shared" si="139"/>
        <v/>
      </c>
      <c r="AD384" s="167" t="str">
        <f t="shared" si="141"/>
        <v/>
      </c>
      <c r="AE384" s="168" t="str">
        <f t="shared" si="140"/>
        <v/>
      </c>
      <c r="AF384" s="113"/>
      <c r="AG384" s="191"/>
      <c r="AH384" s="192"/>
      <c r="AI384" s="114"/>
      <c r="AJ384" s="114"/>
      <c r="AK384" s="191"/>
      <c r="AL384" s="192"/>
      <c r="AM384" s="155"/>
      <c r="AN384" s="155"/>
      <c r="AO384" s="155"/>
      <c r="AP384" s="155"/>
      <c r="AQ384" s="155"/>
      <c r="AR384" s="155"/>
      <c r="AS384" s="155"/>
      <c r="AT384" s="155"/>
      <c r="AU384" s="155"/>
      <c r="AV384" s="155"/>
      <c r="AW384" s="155"/>
      <c r="AX384" s="155"/>
      <c r="AY384" s="155"/>
      <c r="AZ384" s="155"/>
      <c r="BA384" s="155"/>
      <c r="BB384" s="155"/>
      <c r="BC384" s="155"/>
      <c r="BD384" s="155"/>
      <c r="BE384" s="155"/>
      <c r="BF384" s="155"/>
      <c r="BG384" s="155"/>
      <c r="BH384" s="155"/>
      <c r="BI384" s="155"/>
      <c r="BJ384" s="155"/>
      <c r="BK384" s="155"/>
      <c r="BL384" s="155"/>
      <c r="BM384" s="155"/>
      <c r="BN384" s="155"/>
      <c r="BO384" s="155"/>
      <c r="BP384" s="155"/>
      <c r="BQ384" s="155"/>
      <c r="BR384" s="155"/>
    </row>
    <row r="385" spans="1:70" s="156" customFormat="1" ht="75" customHeight="1" x14ac:dyDescent="0.25">
      <c r="A385" s="266">
        <v>63</v>
      </c>
      <c r="B385" s="267" t="s">
        <v>218</v>
      </c>
      <c r="C385" s="267" t="s">
        <v>765</v>
      </c>
      <c r="D385" s="270" t="s">
        <v>130</v>
      </c>
      <c r="E385" s="270" t="s">
        <v>772</v>
      </c>
      <c r="F385" s="270" t="s">
        <v>773</v>
      </c>
      <c r="G385" s="362" t="s">
        <v>774</v>
      </c>
      <c r="H385" s="270" t="s">
        <v>437</v>
      </c>
      <c r="I385" s="281">
        <v>365</v>
      </c>
      <c r="J385" s="275" t="str">
        <f>IF(I385&lt;=0,"",IF(I385&lt;=2,"Muy Baja",IF(I385&lt;=24,"Baja",IF(I385&lt;=500,"Media",IF(I385&lt;=5000,"Alta","Muy Alta")))))</f>
        <v>Media</v>
      </c>
      <c r="K385" s="277">
        <f>IF(J385="","",IF(J385="Muy Baja",0.2,IF(J385="Baja",0.4,IF(J385="Media",0.6,IF(J385="Alta",0.8,IF(J385="Muy Alta",1,))))))</f>
        <v>0.6</v>
      </c>
      <c r="L385" s="273" t="s">
        <v>98</v>
      </c>
      <c r="M385" s="277" t="str">
        <f>IF(NOT(ISERROR(MATCH(L385,'[11]Tabla Impacto'!$B$221:$B$223,0))),'[11]Tabla Impacto'!$F$223&amp;"Por favor no seleccionar los criterios de impacto(Afectación Económica o presupuestal y Pérdida Reputacional)",L385)</f>
        <v>El riesgo afecta la imagen de la entidad con algunos usuarios de relevancia frente al logro de los objetivos</v>
      </c>
      <c r="N385" s="275" t="str">
        <f>+IF(OR(M385='[11]Tabla Impacto'!$C$11,M385='[11]Tabla Impacto'!$D$11),"Leve",IF(OR(M385='[11]Tabla Impacto'!$C$12,M385='[11]Tabla Impacto'!$D$12),"Menor",IF(OR(M385='[11]Tabla Impacto'!$C$13,M385='[11]Tabla Impacto'!$D$13),"Moderado",IF(OR(M385='[11]Tabla Impacto'!$C$14,M385='[11]Tabla Impacto'!$D$14),"Mayor",IF(OR(M385='[11]Tabla Impacto'!$C$15,M385='[11]Tabla Impacto'!$D$15),"Catastrófico","")))))</f>
        <v>Moderado</v>
      </c>
      <c r="O385" s="277">
        <f>IF(N385="","",IF(N385="Leve",0.2,IF(N385="Menor",0.4,IF(N385="Moderado",0.6,IF(N385="Mayor",0.8,IF(N385="Catastrófico",1,))))))</f>
        <v>0.6</v>
      </c>
      <c r="P385" s="279" t="str">
        <f>IF(OR(AND(J385="Muy Baja",N385="Leve"),AND(J385="Muy Baja",N385="Menor"),AND(J385="Baja",N385="Leve")),"Bajo",IF(OR(AND(J385="Muy baja",N385="Moderado"),AND(J385="Baja",N385="Menor"),AND(J385="Baja",N385="Moderado"),AND(J385="Media",N385="Leve"),AND(J385="Media",N385="Menor"),AND(J385="Media",N385="Moderado"),AND(J385="Alta",N385="Leve"),AND(J385="Alta",N385="Menor")),"Moderado",IF(OR(AND(J385="Muy Baja",N385="Mayor"),AND(J385="Baja",N385="Mayor"),AND(J385="Media",N385="Mayor"),AND(J385="Alta",N385="Moderado"),AND(J385="Alta",N385="Mayor"),AND(J385="Muy Alta",N385="Leve"),AND(J385="Muy Alta",N385="Menor"),AND(J385="Muy Alta",N385="Moderado"),AND(J385="Muy Alta",N385="Mayor")),"Alto",IF(OR(AND(J385="Muy Baja",N385="Catastrófico"),AND(J385="Baja",N385="Catastrófico"),AND(J385="Media",N385="Catastrófico"),AND(J385="Alta",N385="Catastrófico"),AND(J385="Muy Alta",N385="Catastrófico")),"Extremo",""))))</f>
        <v>Moderado</v>
      </c>
      <c r="Q385" s="201">
        <v>1</v>
      </c>
      <c r="R385" s="112" t="s">
        <v>817</v>
      </c>
      <c r="S385" s="201" t="str">
        <f t="shared" si="136"/>
        <v>Probabilidad</v>
      </c>
      <c r="T385" s="113" t="s">
        <v>14</v>
      </c>
      <c r="U385" s="113" t="s">
        <v>9</v>
      </c>
      <c r="V385" s="167" t="str">
        <f t="shared" si="143"/>
        <v>40%</v>
      </c>
      <c r="W385" s="113" t="s">
        <v>19</v>
      </c>
      <c r="X385" s="113" t="s">
        <v>22</v>
      </c>
      <c r="Y385" s="113" t="s">
        <v>117</v>
      </c>
      <c r="Z385" s="165">
        <f t="shared" ref="Z385" si="144">IFERROR(IF(S385="Probabilidad",(K385-(+K385*V385)),IF(S385="Impacto",K385,"")),"")</f>
        <v>0.36</v>
      </c>
      <c r="AA385" s="166" t="str">
        <f t="shared" si="137"/>
        <v>Baja</v>
      </c>
      <c r="AB385" s="167">
        <f t="shared" si="138"/>
        <v>0.36</v>
      </c>
      <c r="AC385" s="166" t="str">
        <f t="shared" si="139"/>
        <v>Moderado</v>
      </c>
      <c r="AD385" s="167">
        <f t="shared" si="141"/>
        <v>0.6</v>
      </c>
      <c r="AE385" s="168" t="str">
        <f t="shared" si="140"/>
        <v>Moderado</v>
      </c>
      <c r="AF385" s="113" t="s">
        <v>31</v>
      </c>
      <c r="AG385" s="191"/>
      <c r="AH385" s="192"/>
      <c r="AI385" s="114"/>
      <c r="AJ385" s="114"/>
      <c r="AK385" s="191"/>
      <c r="AL385" s="192"/>
      <c r="AM385" s="155"/>
      <c r="AN385" s="155"/>
      <c r="AO385" s="155"/>
      <c r="AP385" s="155"/>
      <c r="AQ385" s="155"/>
      <c r="AR385" s="155"/>
      <c r="AS385" s="155"/>
      <c r="AT385" s="155"/>
      <c r="AU385" s="155"/>
      <c r="AV385" s="155"/>
      <c r="AW385" s="155"/>
      <c r="AX385" s="155"/>
      <c r="AY385" s="155"/>
      <c r="AZ385" s="155"/>
      <c r="BA385" s="155"/>
      <c r="BB385" s="155"/>
      <c r="BC385" s="155"/>
      <c r="BD385" s="155"/>
      <c r="BE385" s="155"/>
      <c r="BF385" s="155"/>
      <c r="BG385" s="155"/>
      <c r="BH385" s="155"/>
      <c r="BI385" s="155"/>
      <c r="BJ385" s="155"/>
      <c r="BK385" s="155"/>
      <c r="BL385" s="155"/>
      <c r="BM385" s="155"/>
      <c r="BN385" s="155"/>
      <c r="BO385" s="155"/>
      <c r="BP385" s="155"/>
      <c r="BQ385" s="155"/>
      <c r="BR385" s="155"/>
    </row>
    <row r="386" spans="1:70" s="156" customFormat="1" ht="16.5" hidden="1" customHeight="1" x14ac:dyDescent="0.25">
      <c r="A386" s="266"/>
      <c r="B386" s="268"/>
      <c r="C386" s="268"/>
      <c r="D386" s="271"/>
      <c r="E386" s="271"/>
      <c r="F386" s="271"/>
      <c r="G386" s="363"/>
      <c r="H386" s="271"/>
      <c r="I386" s="266"/>
      <c r="J386" s="276"/>
      <c r="K386" s="278"/>
      <c r="L386" s="274"/>
      <c r="M386" s="278">
        <f ca="1">IF(NOT(ISERROR(MATCH(L386,_xlfn.ANCHORARRAY(G439),0))),K441&amp;"Por favor no seleccionar los criterios de impacto",L386)</f>
        <v>0</v>
      </c>
      <c r="N386" s="276"/>
      <c r="O386" s="278"/>
      <c r="P386" s="280"/>
      <c r="Q386" s="201">
        <v>2</v>
      </c>
      <c r="R386" s="112"/>
      <c r="S386" s="201" t="str">
        <f t="shared" si="136"/>
        <v/>
      </c>
      <c r="T386" s="113"/>
      <c r="U386" s="113"/>
      <c r="V386" s="167" t="str">
        <f t="shared" si="143"/>
        <v/>
      </c>
      <c r="W386" s="113"/>
      <c r="X386" s="113"/>
      <c r="Y386" s="113"/>
      <c r="Z386" s="165" t="str">
        <f>IFERROR(IF(S386="Probabilidad",(K385-(+K385*V386)),IF(S386="Impacto",K385,"")),"")</f>
        <v/>
      </c>
      <c r="AA386" s="166" t="str">
        <f t="shared" si="137"/>
        <v/>
      </c>
      <c r="AB386" s="167" t="str">
        <f t="shared" si="138"/>
        <v/>
      </c>
      <c r="AC386" s="166" t="str">
        <f t="shared" si="139"/>
        <v/>
      </c>
      <c r="AD386" s="167" t="str">
        <f t="shared" si="141"/>
        <v/>
      </c>
      <c r="AE386" s="168" t="str">
        <f t="shared" si="140"/>
        <v/>
      </c>
      <c r="AF386" s="113"/>
      <c r="AG386" s="191"/>
      <c r="AH386" s="192"/>
      <c r="AI386" s="114"/>
      <c r="AJ386" s="114"/>
      <c r="AK386" s="191"/>
      <c r="AL386" s="192"/>
      <c r="AM386" s="155"/>
      <c r="AN386" s="155"/>
      <c r="AO386" s="155"/>
      <c r="AP386" s="155"/>
      <c r="AQ386" s="155"/>
      <c r="AR386" s="155"/>
      <c r="AS386" s="155"/>
      <c r="AT386" s="155"/>
      <c r="AU386" s="155"/>
      <c r="AV386" s="155"/>
      <c r="AW386" s="155"/>
      <c r="AX386" s="155"/>
      <c r="AY386" s="155"/>
      <c r="AZ386" s="155"/>
      <c r="BA386" s="155"/>
      <c r="BB386" s="155"/>
      <c r="BC386" s="155"/>
      <c r="BD386" s="155"/>
      <c r="BE386" s="155"/>
      <c r="BF386" s="155"/>
      <c r="BG386" s="155"/>
      <c r="BH386" s="155"/>
      <c r="BI386" s="155"/>
      <c r="BJ386" s="155"/>
      <c r="BK386" s="155"/>
      <c r="BL386" s="155"/>
      <c r="BM386" s="155"/>
      <c r="BN386" s="155"/>
      <c r="BO386" s="155"/>
      <c r="BP386" s="155"/>
      <c r="BQ386" s="155"/>
      <c r="BR386" s="155"/>
    </row>
    <row r="387" spans="1:70" s="156" customFormat="1" ht="16.5" hidden="1" customHeight="1" x14ac:dyDescent="0.25">
      <c r="A387" s="266"/>
      <c r="B387" s="268"/>
      <c r="C387" s="268"/>
      <c r="D387" s="271"/>
      <c r="E387" s="271"/>
      <c r="F387" s="271"/>
      <c r="G387" s="363"/>
      <c r="H387" s="271"/>
      <c r="I387" s="266"/>
      <c r="J387" s="276"/>
      <c r="K387" s="278"/>
      <c r="L387" s="274"/>
      <c r="M387" s="278">
        <f ca="1">IF(NOT(ISERROR(MATCH(L387,_xlfn.ANCHORARRAY(G440),0))),K442&amp;"Por favor no seleccionar los criterios de impacto",L387)</f>
        <v>0</v>
      </c>
      <c r="N387" s="276"/>
      <c r="O387" s="278"/>
      <c r="P387" s="280"/>
      <c r="Q387" s="201">
        <v>3</v>
      </c>
      <c r="R387" s="112"/>
      <c r="S387" s="201" t="str">
        <f t="shared" si="136"/>
        <v/>
      </c>
      <c r="T387" s="113"/>
      <c r="U387" s="113"/>
      <c r="V387" s="167" t="str">
        <f t="shared" si="143"/>
        <v/>
      </c>
      <c r="W387" s="113"/>
      <c r="X387" s="113"/>
      <c r="Y387" s="113"/>
      <c r="Z387" s="165" t="str">
        <f>IFERROR(IF(S387="Probabilidad",(K385-(+K385*V387)),IF(S387="Impacto",K385,"")),"")</f>
        <v/>
      </c>
      <c r="AA387" s="166" t="str">
        <f t="shared" si="137"/>
        <v/>
      </c>
      <c r="AB387" s="167" t="str">
        <f t="shared" si="138"/>
        <v/>
      </c>
      <c r="AC387" s="166" t="str">
        <f t="shared" si="139"/>
        <v/>
      </c>
      <c r="AD387" s="167" t="str">
        <f t="shared" si="141"/>
        <v/>
      </c>
      <c r="AE387" s="168" t="str">
        <f t="shared" si="140"/>
        <v/>
      </c>
      <c r="AF387" s="113"/>
      <c r="AG387" s="191"/>
      <c r="AH387" s="192"/>
      <c r="AI387" s="114"/>
      <c r="AJ387" s="114"/>
      <c r="AK387" s="191"/>
      <c r="AL387" s="192"/>
      <c r="AM387" s="155"/>
      <c r="AN387" s="155"/>
      <c r="AO387" s="155"/>
      <c r="AP387" s="155"/>
      <c r="AQ387" s="155"/>
      <c r="AR387" s="155"/>
      <c r="AS387" s="155"/>
      <c r="AT387" s="155"/>
      <c r="AU387" s="155"/>
      <c r="AV387" s="155"/>
      <c r="AW387" s="155"/>
      <c r="AX387" s="155"/>
      <c r="AY387" s="155"/>
      <c r="AZ387" s="155"/>
      <c r="BA387" s="155"/>
      <c r="BB387" s="155"/>
      <c r="BC387" s="155"/>
      <c r="BD387" s="155"/>
      <c r="BE387" s="155"/>
      <c r="BF387" s="155"/>
      <c r="BG387" s="155"/>
      <c r="BH387" s="155"/>
      <c r="BI387" s="155"/>
      <c r="BJ387" s="155"/>
      <c r="BK387" s="155"/>
      <c r="BL387" s="155"/>
      <c r="BM387" s="155"/>
      <c r="BN387" s="155"/>
      <c r="BO387" s="155"/>
      <c r="BP387" s="155"/>
      <c r="BQ387" s="155"/>
      <c r="BR387" s="155"/>
    </row>
    <row r="388" spans="1:70" s="156" customFormat="1" ht="16.5" hidden="1" customHeight="1" x14ac:dyDescent="0.25">
      <c r="A388" s="266"/>
      <c r="B388" s="268"/>
      <c r="C388" s="268"/>
      <c r="D388" s="271"/>
      <c r="E388" s="271"/>
      <c r="F388" s="271"/>
      <c r="G388" s="363"/>
      <c r="H388" s="271"/>
      <c r="I388" s="266"/>
      <c r="J388" s="276"/>
      <c r="K388" s="278"/>
      <c r="L388" s="274"/>
      <c r="M388" s="278">
        <f ca="1">IF(NOT(ISERROR(MATCH(L388,_xlfn.ANCHORARRAY(G441),0))),K443&amp;"Por favor no seleccionar los criterios de impacto",L388)</f>
        <v>0</v>
      </c>
      <c r="N388" s="276"/>
      <c r="O388" s="278"/>
      <c r="P388" s="280"/>
      <c r="Q388" s="201">
        <v>4</v>
      </c>
      <c r="R388" s="112"/>
      <c r="S388" s="201" t="str">
        <f t="shared" si="136"/>
        <v/>
      </c>
      <c r="T388" s="113"/>
      <c r="U388" s="113"/>
      <c r="V388" s="167" t="str">
        <f t="shared" si="143"/>
        <v/>
      </c>
      <c r="W388" s="113"/>
      <c r="X388" s="113"/>
      <c r="Y388" s="113"/>
      <c r="Z388" s="165" t="str">
        <f>IFERROR(IF(S388="Probabilidad",(K385-(+K385*V388)),IF(S388="Impacto",K385,"")),"")</f>
        <v/>
      </c>
      <c r="AA388" s="166" t="str">
        <f t="shared" si="137"/>
        <v/>
      </c>
      <c r="AB388" s="167" t="str">
        <f t="shared" si="138"/>
        <v/>
      </c>
      <c r="AC388" s="166" t="str">
        <f t="shared" si="139"/>
        <v/>
      </c>
      <c r="AD388" s="167" t="str">
        <f t="shared" si="141"/>
        <v/>
      </c>
      <c r="AE388" s="168" t="str">
        <f t="shared" si="140"/>
        <v/>
      </c>
      <c r="AF388" s="113"/>
      <c r="AG388" s="191"/>
      <c r="AH388" s="192"/>
      <c r="AI388" s="114"/>
      <c r="AJ388" s="114"/>
      <c r="AK388" s="191"/>
      <c r="AL388" s="192"/>
      <c r="AM388" s="155"/>
      <c r="AN388" s="155"/>
      <c r="AO388" s="155"/>
      <c r="AP388" s="155"/>
      <c r="AQ388" s="155"/>
      <c r="AR388" s="155"/>
      <c r="AS388" s="155"/>
      <c r="AT388" s="155"/>
      <c r="AU388" s="155"/>
      <c r="AV388" s="155"/>
      <c r="AW388" s="155"/>
      <c r="AX388" s="155"/>
      <c r="AY388" s="155"/>
      <c r="AZ388" s="155"/>
      <c r="BA388" s="155"/>
      <c r="BB388" s="155"/>
      <c r="BC388" s="155"/>
      <c r="BD388" s="155"/>
      <c r="BE388" s="155"/>
      <c r="BF388" s="155"/>
      <c r="BG388" s="155"/>
      <c r="BH388" s="155"/>
      <c r="BI388" s="155"/>
      <c r="BJ388" s="155"/>
      <c r="BK388" s="155"/>
      <c r="BL388" s="155"/>
      <c r="BM388" s="155"/>
      <c r="BN388" s="155"/>
      <c r="BO388" s="155"/>
      <c r="BP388" s="155"/>
      <c r="BQ388" s="155"/>
      <c r="BR388" s="155"/>
    </row>
    <row r="389" spans="1:70" s="156" customFormat="1" ht="16.5" hidden="1" customHeight="1" x14ac:dyDescent="0.25">
      <c r="A389" s="266"/>
      <c r="B389" s="268"/>
      <c r="C389" s="268"/>
      <c r="D389" s="271"/>
      <c r="E389" s="271"/>
      <c r="F389" s="271"/>
      <c r="G389" s="363"/>
      <c r="H389" s="271"/>
      <c r="I389" s="266"/>
      <c r="J389" s="276"/>
      <c r="K389" s="278"/>
      <c r="L389" s="274"/>
      <c r="M389" s="278">
        <f ca="1">IF(NOT(ISERROR(MATCH(L389,_xlfn.ANCHORARRAY(G442),0))),K444&amp;"Por favor no seleccionar los criterios de impacto",L389)</f>
        <v>0</v>
      </c>
      <c r="N389" s="276"/>
      <c r="O389" s="278"/>
      <c r="P389" s="280"/>
      <c r="Q389" s="201">
        <v>5</v>
      </c>
      <c r="R389" s="112"/>
      <c r="S389" s="201" t="str">
        <f t="shared" si="136"/>
        <v/>
      </c>
      <c r="T389" s="113"/>
      <c r="U389" s="113"/>
      <c r="V389" s="167" t="str">
        <f t="shared" si="143"/>
        <v/>
      </c>
      <c r="W389" s="113"/>
      <c r="X389" s="113"/>
      <c r="Y389" s="113"/>
      <c r="Z389" s="165" t="str">
        <f>IFERROR(IF(S389="Probabilidad",(K385-(+K385*V389)),IF(S389="Impacto",K385,"")),"")</f>
        <v/>
      </c>
      <c r="AA389" s="166" t="str">
        <f t="shared" si="137"/>
        <v/>
      </c>
      <c r="AB389" s="167" t="str">
        <f t="shared" si="138"/>
        <v/>
      </c>
      <c r="AC389" s="166" t="str">
        <f t="shared" si="139"/>
        <v/>
      </c>
      <c r="AD389" s="167" t="str">
        <f t="shared" si="141"/>
        <v/>
      </c>
      <c r="AE389" s="168" t="str">
        <f t="shared" si="140"/>
        <v/>
      </c>
      <c r="AF389" s="113"/>
      <c r="AG389" s="191"/>
      <c r="AH389" s="192"/>
      <c r="AI389" s="114"/>
      <c r="AJ389" s="114"/>
      <c r="AK389" s="191"/>
      <c r="AL389" s="192"/>
      <c r="AM389" s="155"/>
      <c r="AN389" s="155"/>
      <c r="AO389" s="155"/>
      <c r="AP389" s="155"/>
      <c r="AQ389" s="155"/>
      <c r="AR389" s="155"/>
      <c r="AS389" s="155"/>
      <c r="AT389" s="155"/>
      <c r="AU389" s="155"/>
      <c r="AV389" s="155"/>
      <c r="AW389" s="155"/>
      <c r="AX389" s="155"/>
      <c r="AY389" s="155"/>
      <c r="AZ389" s="155"/>
      <c r="BA389" s="155"/>
      <c r="BB389" s="155"/>
      <c r="BC389" s="155"/>
      <c r="BD389" s="155"/>
      <c r="BE389" s="155"/>
      <c r="BF389" s="155"/>
      <c r="BG389" s="155"/>
      <c r="BH389" s="155"/>
      <c r="BI389" s="155"/>
      <c r="BJ389" s="155"/>
      <c r="BK389" s="155"/>
      <c r="BL389" s="155"/>
      <c r="BM389" s="155"/>
      <c r="BN389" s="155"/>
      <c r="BO389" s="155"/>
      <c r="BP389" s="155"/>
      <c r="BQ389" s="155"/>
      <c r="BR389" s="155"/>
    </row>
    <row r="390" spans="1:70" s="156" customFormat="1" ht="16.5" hidden="1" customHeight="1" x14ac:dyDescent="0.25">
      <c r="A390" s="266"/>
      <c r="B390" s="269"/>
      <c r="C390" s="269"/>
      <c r="D390" s="271"/>
      <c r="E390" s="271"/>
      <c r="F390" s="271"/>
      <c r="G390" s="363"/>
      <c r="H390" s="271"/>
      <c r="I390" s="266"/>
      <c r="J390" s="276"/>
      <c r="K390" s="278"/>
      <c r="L390" s="274"/>
      <c r="M390" s="278">
        <f ca="1">IF(NOT(ISERROR(MATCH(L390,_xlfn.ANCHORARRAY(G443),0))),K445&amp;"Por favor no seleccionar los criterios de impacto",L390)</f>
        <v>0</v>
      </c>
      <c r="N390" s="276"/>
      <c r="O390" s="278"/>
      <c r="P390" s="280"/>
      <c r="Q390" s="201">
        <v>6</v>
      </c>
      <c r="R390" s="112"/>
      <c r="S390" s="201" t="str">
        <f t="shared" ref="S390:S426" si="145">IF(OR(T390="Preventivo",T390="Detectivo"),"Probabilidad",IF(T390="Correctivo","Impacto",""))</f>
        <v/>
      </c>
      <c r="T390" s="113"/>
      <c r="U390" s="113"/>
      <c r="V390" s="167" t="str">
        <f t="shared" si="143"/>
        <v/>
      </c>
      <c r="W390" s="113"/>
      <c r="X390" s="113"/>
      <c r="Y390" s="113"/>
      <c r="Z390" s="165" t="str">
        <f>IFERROR(IF(S390="Probabilidad",(K385-(+K385*V390)),IF(S390="Impacto",K385,"")),"")</f>
        <v/>
      </c>
      <c r="AA390" s="166" t="str">
        <f t="shared" ref="AA390:AA426" si="146">IFERROR(IF(Z390="","",IF(Z390&lt;=0.2,"Muy Baja",IF(Z390&lt;=0.4,"Baja",IF(Z390&lt;=0.6,"Media",IF(Z390&lt;=0.8,"Alta","Muy Alta"))))),"")</f>
        <v/>
      </c>
      <c r="AB390" s="167" t="str">
        <f t="shared" ref="AB390:AB402" si="147">+Z390</f>
        <v/>
      </c>
      <c r="AC390" s="166" t="str">
        <f t="shared" ref="AC390:AC426" si="148">IFERROR(IF(AD390="","",IF(AD390&lt;=0.2,"Leve",IF(AD390&lt;=0.4,"Menor",IF(AD390&lt;=0.6,"Moderado",IF(AD390&lt;=0.8,"Mayor","Catastrófico"))))),"")</f>
        <v/>
      </c>
      <c r="AD390" s="167" t="str">
        <f t="shared" si="141"/>
        <v/>
      </c>
      <c r="AE390" s="168" t="str">
        <f t="shared" ref="AE390:AE426" si="149">IFERROR(IF(OR(AND(AA390="Muy Baja",AC390="Leve"),AND(AA390="Muy Baja",AC390="Menor"),AND(AA390="Baja",AC390="Leve")),"Bajo",IF(OR(AND(AA390="Muy baja",AC390="Moderado"),AND(AA390="Baja",AC390="Menor"),AND(AA390="Baja",AC390="Moderado"),AND(AA390="Media",AC390="Leve"),AND(AA390="Media",AC390="Menor"),AND(AA390="Media",AC390="Moderado"),AND(AA390="Alta",AC390="Leve"),AND(AA390="Alta",AC390="Menor")),"Moderado",IF(OR(AND(AA390="Muy Baja",AC390="Mayor"),AND(AA390="Baja",AC390="Mayor"),AND(AA390="Media",AC390="Mayor"),AND(AA390="Alta",AC390="Moderado"),AND(AA390="Alta",AC390="Mayor"),AND(AA390="Muy Alta",AC390="Leve"),AND(AA390="Muy Alta",AC390="Menor"),AND(AA390="Muy Alta",AC390="Moderado"),AND(AA390="Muy Alta",AC390="Mayor")),"Alto",IF(OR(AND(AA390="Muy Baja",AC390="Catastrófico"),AND(AA390="Baja",AC390="Catastrófico"),AND(AA390="Media",AC390="Catastrófico"),AND(AA390="Alta",AC390="Catastrófico"),AND(AA390="Muy Alta",AC390="Catastrófico")),"Extremo","")))),"")</f>
        <v/>
      </c>
      <c r="AF390" s="113"/>
      <c r="AG390" s="191"/>
      <c r="AH390" s="192"/>
      <c r="AI390" s="114"/>
      <c r="AJ390" s="114"/>
      <c r="AK390" s="191"/>
      <c r="AL390" s="192"/>
      <c r="AM390" s="155"/>
      <c r="AN390" s="155"/>
      <c r="AO390" s="155"/>
      <c r="AP390" s="155"/>
      <c r="AQ390" s="155"/>
      <c r="AR390" s="155"/>
      <c r="AS390" s="155"/>
      <c r="AT390" s="155"/>
      <c r="AU390" s="155"/>
      <c r="AV390" s="155"/>
      <c r="AW390" s="155"/>
      <c r="AX390" s="155"/>
      <c r="AY390" s="155"/>
      <c r="AZ390" s="155"/>
      <c r="BA390" s="155"/>
      <c r="BB390" s="155"/>
      <c r="BC390" s="155"/>
      <c r="BD390" s="155"/>
      <c r="BE390" s="155"/>
      <c r="BF390" s="155"/>
      <c r="BG390" s="155"/>
      <c r="BH390" s="155"/>
      <c r="BI390" s="155"/>
      <c r="BJ390" s="155"/>
      <c r="BK390" s="155"/>
      <c r="BL390" s="155"/>
      <c r="BM390" s="155"/>
      <c r="BN390" s="155"/>
      <c r="BO390" s="155"/>
      <c r="BP390" s="155"/>
      <c r="BQ390" s="155"/>
      <c r="BR390" s="155"/>
    </row>
    <row r="391" spans="1:70" s="156" customFormat="1" ht="92.25" customHeight="1" x14ac:dyDescent="0.25">
      <c r="A391" s="266">
        <v>64</v>
      </c>
      <c r="B391" s="267" t="s">
        <v>218</v>
      </c>
      <c r="C391" s="267" t="s">
        <v>775</v>
      </c>
      <c r="D391" s="270" t="s">
        <v>132</v>
      </c>
      <c r="E391" s="270" t="s">
        <v>776</v>
      </c>
      <c r="F391" s="270" t="s">
        <v>777</v>
      </c>
      <c r="G391" s="362" t="s">
        <v>778</v>
      </c>
      <c r="H391" s="364" t="s">
        <v>123</v>
      </c>
      <c r="I391" s="281">
        <v>365</v>
      </c>
      <c r="J391" s="275" t="str">
        <f>IF(I391&lt;=0,"",IF(I391&lt;=2,"Muy Baja",IF(I391&lt;=24,"Baja",IF(I391&lt;=500,"Media",IF(I391&lt;=5000,"Alta","Muy Alta")))))</f>
        <v>Media</v>
      </c>
      <c r="K391" s="277">
        <f>IF(J391="","",IF(J391="Muy Baja",0.2,IF(J391="Baja",0.4,IF(J391="Media",0.6,IF(J391="Alta",0.8,IF(J391="Muy Alta",1,))))))</f>
        <v>0.6</v>
      </c>
      <c r="L391" s="273" t="s">
        <v>98</v>
      </c>
      <c r="M391" s="277" t="str">
        <f>IF(NOT(ISERROR(MATCH(L391,'[11]Tabla Impacto'!$B$221:$B$223,0))),'[11]Tabla Impacto'!$F$223&amp;"Por favor no seleccionar los criterios de impacto(Afectación Económica o presupuestal y Pérdida Reputacional)",L391)</f>
        <v>El riesgo afecta la imagen de la entidad con algunos usuarios de relevancia frente al logro de los objetivos</v>
      </c>
      <c r="N391" s="275" t="str">
        <f>+IF(OR(M391='[11]Tabla Impacto'!$C$11,M391='[11]Tabla Impacto'!$D$11),"Leve",IF(OR(M391='[11]Tabla Impacto'!$C$12,M391='[11]Tabla Impacto'!$D$12),"Menor",IF(OR(M391='[11]Tabla Impacto'!$C$13,M391='[11]Tabla Impacto'!$D$13),"Moderado",IF(OR(M391='[11]Tabla Impacto'!$C$14,M391='[11]Tabla Impacto'!$D$14),"Mayor",IF(OR(M391='[11]Tabla Impacto'!$C$15,M391='[11]Tabla Impacto'!$D$15),"Catastrófico","")))))</f>
        <v>Moderado</v>
      </c>
      <c r="O391" s="277">
        <f>IF(N391="","",IF(N391="Leve",0.2,IF(N391="Menor",0.4,IF(N391="Moderado",0.6,IF(N391="Mayor",0.8,IF(N391="Catastrófico",1,))))))</f>
        <v>0.6</v>
      </c>
      <c r="P391" s="279" t="str">
        <f>IF(OR(AND(J391="Muy Baja",N391="Leve"),AND(J391="Muy Baja",N391="Menor"),AND(J391="Baja",N391="Leve")),"Bajo",IF(OR(AND(J391="Muy baja",N391="Moderado"),AND(J391="Baja",N391="Menor"),AND(J391="Baja",N391="Moderado"),AND(J391="Media",N391="Leve"),AND(J391="Media",N391="Menor"),AND(J391="Media",N391="Moderado"),AND(J391="Alta",N391="Leve"),AND(J391="Alta",N391="Menor")),"Moderado",IF(OR(AND(J391="Muy Baja",N391="Mayor"),AND(J391="Baja",N391="Mayor"),AND(J391="Media",N391="Mayor"),AND(J391="Alta",N391="Moderado"),AND(J391="Alta",N391="Mayor"),AND(J391="Muy Alta",N391="Leve"),AND(J391="Muy Alta",N391="Menor"),AND(J391="Muy Alta",N391="Moderado"),AND(J391="Muy Alta",N391="Mayor")),"Alto",IF(OR(AND(J391="Muy Baja",N391="Catastrófico"),AND(J391="Baja",N391="Catastrófico"),AND(J391="Media",N391="Catastrófico"),AND(J391="Alta",N391="Catastrófico"),AND(J391="Muy Alta",N391="Catastrófico")),"Extremo",""))))</f>
        <v>Moderado</v>
      </c>
      <c r="Q391" s="201">
        <v>1</v>
      </c>
      <c r="R391" s="112" t="s">
        <v>818</v>
      </c>
      <c r="S391" s="201" t="str">
        <f t="shared" si="145"/>
        <v>Probabilidad</v>
      </c>
      <c r="T391" s="113" t="s">
        <v>14</v>
      </c>
      <c r="U391" s="113" t="s">
        <v>9</v>
      </c>
      <c r="V391" s="167" t="str">
        <f t="shared" si="143"/>
        <v>40%</v>
      </c>
      <c r="W391" s="113" t="s">
        <v>19</v>
      </c>
      <c r="X391" s="113" t="s">
        <v>22</v>
      </c>
      <c r="Y391" s="113" t="s">
        <v>117</v>
      </c>
      <c r="Z391" s="165">
        <f t="shared" ref="Z391" si="150">IFERROR(IF(S391="Probabilidad",(K391-(+K391*V391)),IF(S391="Impacto",K391,"")),"")</f>
        <v>0.36</v>
      </c>
      <c r="AA391" s="166" t="str">
        <f t="shared" si="146"/>
        <v>Baja</v>
      </c>
      <c r="AB391" s="167">
        <f t="shared" si="147"/>
        <v>0.36</v>
      </c>
      <c r="AC391" s="166" t="str">
        <f t="shared" si="148"/>
        <v>Moderado</v>
      </c>
      <c r="AD391" s="167">
        <f t="shared" ref="AD391:AD415" si="151">IFERROR(IF(S391="Impacto",(O391-(+O391*V391)),IF(S391="Probabilidad",O391,"")),"")</f>
        <v>0.6</v>
      </c>
      <c r="AE391" s="168" t="str">
        <f t="shared" si="149"/>
        <v>Moderado</v>
      </c>
      <c r="AF391" s="113" t="s">
        <v>134</v>
      </c>
      <c r="AG391" s="191"/>
      <c r="AH391" s="192"/>
      <c r="AI391" s="114"/>
      <c r="AJ391" s="114"/>
      <c r="AK391" s="191"/>
      <c r="AL391" s="192"/>
      <c r="AM391" s="155"/>
      <c r="AN391" s="155"/>
      <c r="AO391" s="155"/>
      <c r="AP391" s="155"/>
      <c r="AQ391" s="155"/>
      <c r="AR391" s="155"/>
      <c r="AS391" s="155"/>
      <c r="AT391" s="155"/>
      <c r="AU391" s="155"/>
      <c r="AV391" s="155"/>
      <c r="AW391" s="155"/>
      <c r="AX391" s="155"/>
      <c r="AY391" s="155"/>
      <c r="AZ391" s="155"/>
      <c r="BA391" s="155"/>
      <c r="BB391" s="155"/>
      <c r="BC391" s="155"/>
      <c r="BD391" s="155"/>
      <c r="BE391" s="155"/>
      <c r="BF391" s="155"/>
      <c r="BG391" s="155"/>
      <c r="BH391" s="155"/>
      <c r="BI391" s="155"/>
      <c r="BJ391" s="155"/>
      <c r="BK391" s="155"/>
      <c r="BL391" s="155"/>
      <c r="BM391" s="155"/>
      <c r="BN391" s="155"/>
      <c r="BO391" s="155"/>
      <c r="BP391" s="155"/>
      <c r="BQ391" s="155"/>
      <c r="BR391" s="155"/>
    </row>
    <row r="392" spans="1:70" s="156" customFormat="1" ht="136.5" customHeight="1" x14ac:dyDescent="0.25">
      <c r="A392" s="266"/>
      <c r="B392" s="294"/>
      <c r="C392" s="294"/>
      <c r="D392" s="270"/>
      <c r="E392" s="270"/>
      <c r="F392" s="270"/>
      <c r="G392" s="362"/>
      <c r="H392" s="270"/>
      <c r="I392" s="281"/>
      <c r="J392" s="275"/>
      <c r="K392" s="277"/>
      <c r="L392" s="273"/>
      <c r="M392" s="277">
        <f ca="1">IF(NOT(ISERROR(MATCH(L392,_xlfn.ANCHORARRAY(G445),0))),K447&amp;"Por favor no seleccionar los criterios de impacto",L392)</f>
        <v>0</v>
      </c>
      <c r="N392" s="275"/>
      <c r="O392" s="277"/>
      <c r="P392" s="279"/>
      <c r="Q392" s="201">
        <v>2</v>
      </c>
      <c r="R392" s="112" t="s">
        <v>819</v>
      </c>
      <c r="S392" s="201" t="str">
        <f t="shared" si="145"/>
        <v>Probabilidad</v>
      </c>
      <c r="T392" s="113" t="s">
        <v>14</v>
      </c>
      <c r="U392" s="113" t="s">
        <v>9</v>
      </c>
      <c r="V392" s="167" t="str">
        <f t="shared" si="143"/>
        <v>40%</v>
      </c>
      <c r="W392" s="113" t="s">
        <v>19</v>
      </c>
      <c r="X392" s="113" t="s">
        <v>22</v>
      </c>
      <c r="Y392" s="113" t="s">
        <v>117</v>
      </c>
      <c r="Z392" s="165">
        <f>IFERROR(IF(S392="Probabilidad",(K391-(+K391*V392)),IF(S392="Impacto",K391,"")),"")</f>
        <v>0.36</v>
      </c>
      <c r="AA392" s="166" t="str">
        <f t="shared" si="146"/>
        <v>Baja</v>
      </c>
      <c r="AB392" s="167">
        <f t="shared" si="147"/>
        <v>0.36</v>
      </c>
      <c r="AC392" s="166" t="str">
        <f t="shared" si="148"/>
        <v>Moderado</v>
      </c>
      <c r="AD392" s="167">
        <f>IFERROR(IF(S392="Impacto",(O391-(+O391*V392)),IF(S392="Probabilidad",O391,"")),"")</f>
        <v>0.6</v>
      </c>
      <c r="AE392" s="168" t="str">
        <f t="shared" si="149"/>
        <v>Moderado</v>
      </c>
      <c r="AF392" s="113" t="s">
        <v>134</v>
      </c>
      <c r="AG392" s="191"/>
      <c r="AH392" s="192"/>
      <c r="AI392" s="114"/>
      <c r="AJ392" s="114"/>
      <c r="AK392" s="191"/>
      <c r="AL392" s="192"/>
      <c r="AM392" s="155"/>
      <c r="AN392" s="155"/>
      <c r="AO392" s="155"/>
      <c r="AP392" s="155"/>
      <c r="AQ392" s="155"/>
      <c r="AR392" s="155"/>
      <c r="AS392" s="155"/>
      <c r="AT392" s="155"/>
      <c r="AU392" s="155"/>
      <c r="AV392" s="155"/>
      <c r="AW392" s="155"/>
      <c r="AX392" s="155"/>
      <c r="AY392" s="155"/>
      <c r="AZ392" s="155"/>
      <c r="BA392" s="155"/>
      <c r="BB392" s="155"/>
      <c r="BC392" s="155"/>
      <c r="BD392" s="155"/>
      <c r="BE392" s="155"/>
      <c r="BF392" s="155"/>
      <c r="BG392" s="155"/>
      <c r="BH392" s="155"/>
      <c r="BI392" s="155"/>
      <c r="BJ392" s="155"/>
      <c r="BK392" s="155"/>
      <c r="BL392" s="155"/>
      <c r="BM392" s="155"/>
      <c r="BN392" s="155"/>
      <c r="BO392" s="155"/>
      <c r="BP392" s="155"/>
      <c r="BQ392" s="155"/>
      <c r="BR392" s="155"/>
    </row>
    <row r="393" spans="1:70" s="156" customFormat="1" ht="16.5" hidden="1" customHeight="1" x14ac:dyDescent="0.25">
      <c r="A393" s="266"/>
      <c r="B393" s="268"/>
      <c r="C393" s="268"/>
      <c r="D393" s="271"/>
      <c r="E393" s="271"/>
      <c r="F393" s="271"/>
      <c r="G393" s="363"/>
      <c r="H393" s="271"/>
      <c r="I393" s="266"/>
      <c r="J393" s="276"/>
      <c r="K393" s="278"/>
      <c r="L393" s="274"/>
      <c r="M393" s="278">
        <f ca="1">IF(NOT(ISERROR(MATCH(L393,_xlfn.ANCHORARRAY(G446),0))),K448&amp;"Por favor no seleccionar los criterios de impacto",L393)</f>
        <v>0</v>
      </c>
      <c r="N393" s="276"/>
      <c r="O393" s="278"/>
      <c r="P393" s="280"/>
      <c r="Q393" s="201">
        <v>3</v>
      </c>
      <c r="R393" s="112"/>
      <c r="S393" s="201" t="str">
        <f t="shared" si="145"/>
        <v/>
      </c>
      <c r="T393" s="113"/>
      <c r="U393" s="113"/>
      <c r="V393" s="167" t="str">
        <f t="shared" si="143"/>
        <v/>
      </c>
      <c r="W393" s="113"/>
      <c r="X393" s="113"/>
      <c r="Y393" s="113"/>
      <c r="Z393" s="165" t="str">
        <f>IFERROR(IF(S393="Probabilidad",(K391-(+K391*V393)),IF(S393="Impacto",K391,"")),"")</f>
        <v/>
      </c>
      <c r="AA393" s="166" t="str">
        <f t="shared" si="146"/>
        <v/>
      </c>
      <c r="AB393" s="167" t="str">
        <f t="shared" si="147"/>
        <v/>
      </c>
      <c r="AC393" s="166" t="str">
        <f t="shared" si="148"/>
        <v/>
      </c>
      <c r="AD393" s="167" t="str">
        <f t="shared" si="151"/>
        <v/>
      </c>
      <c r="AE393" s="168" t="str">
        <f t="shared" si="149"/>
        <v/>
      </c>
      <c r="AF393" s="113"/>
      <c r="AG393" s="191"/>
      <c r="AH393" s="192"/>
      <c r="AI393" s="114"/>
      <c r="AJ393" s="114"/>
      <c r="AK393" s="191"/>
      <c r="AL393" s="192"/>
      <c r="AM393" s="155"/>
      <c r="AN393" s="155"/>
      <c r="AO393" s="155"/>
      <c r="AP393" s="155"/>
      <c r="AQ393" s="155"/>
      <c r="AR393" s="155"/>
      <c r="AS393" s="155"/>
      <c r="AT393" s="155"/>
      <c r="AU393" s="155"/>
      <c r="AV393" s="155"/>
      <c r="AW393" s="155"/>
      <c r="AX393" s="155"/>
      <c r="AY393" s="155"/>
      <c r="AZ393" s="155"/>
      <c r="BA393" s="155"/>
      <c r="BB393" s="155"/>
      <c r="BC393" s="155"/>
      <c r="BD393" s="155"/>
      <c r="BE393" s="155"/>
      <c r="BF393" s="155"/>
      <c r="BG393" s="155"/>
      <c r="BH393" s="155"/>
      <c r="BI393" s="155"/>
      <c r="BJ393" s="155"/>
      <c r="BK393" s="155"/>
      <c r="BL393" s="155"/>
      <c r="BM393" s="155"/>
      <c r="BN393" s="155"/>
      <c r="BO393" s="155"/>
      <c r="BP393" s="155"/>
      <c r="BQ393" s="155"/>
      <c r="BR393" s="155"/>
    </row>
    <row r="394" spans="1:70" s="156" customFormat="1" ht="16.5" hidden="1" customHeight="1" x14ac:dyDescent="0.25">
      <c r="A394" s="266"/>
      <c r="B394" s="268"/>
      <c r="C394" s="268"/>
      <c r="D394" s="271"/>
      <c r="E394" s="271"/>
      <c r="F394" s="271"/>
      <c r="G394" s="363"/>
      <c r="H394" s="271"/>
      <c r="I394" s="266"/>
      <c r="J394" s="276"/>
      <c r="K394" s="278"/>
      <c r="L394" s="274"/>
      <c r="M394" s="278">
        <f ca="1">IF(NOT(ISERROR(MATCH(L394,_xlfn.ANCHORARRAY(G447),0))),K449&amp;"Por favor no seleccionar los criterios de impacto",L394)</f>
        <v>0</v>
      </c>
      <c r="N394" s="276"/>
      <c r="O394" s="278"/>
      <c r="P394" s="280"/>
      <c r="Q394" s="201">
        <v>4</v>
      </c>
      <c r="R394" s="112"/>
      <c r="S394" s="201" t="str">
        <f t="shared" si="145"/>
        <v/>
      </c>
      <c r="T394" s="113"/>
      <c r="U394" s="113"/>
      <c r="V394" s="167" t="str">
        <f t="shared" si="143"/>
        <v/>
      </c>
      <c r="W394" s="113"/>
      <c r="X394" s="113"/>
      <c r="Y394" s="113"/>
      <c r="Z394" s="165" t="str">
        <f>IFERROR(IF(S394="Probabilidad",(K391-(+K391*V394)),IF(S394="Impacto",K391,"")),"")</f>
        <v/>
      </c>
      <c r="AA394" s="166" t="str">
        <f t="shared" si="146"/>
        <v/>
      </c>
      <c r="AB394" s="167" t="str">
        <f t="shared" si="147"/>
        <v/>
      </c>
      <c r="AC394" s="166" t="str">
        <f t="shared" si="148"/>
        <v/>
      </c>
      <c r="AD394" s="167" t="str">
        <f t="shared" si="151"/>
        <v/>
      </c>
      <c r="AE394" s="168" t="str">
        <f t="shared" si="149"/>
        <v/>
      </c>
      <c r="AF394" s="113"/>
      <c r="AG394" s="191"/>
      <c r="AH394" s="192"/>
      <c r="AI394" s="114"/>
      <c r="AJ394" s="114"/>
      <c r="AK394" s="191"/>
      <c r="AL394" s="192"/>
      <c r="AM394" s="155"/>
      <c r="AN394" s="155"/>
      <c r="AO394" s="155"/>
      <c r="AP394" s="155"/>
      <c r="AQ394" s="155"/>
      <c r="AR394" s="155"/>
      <c r="AS394" s="155"/>
      <c r="AT394" s="155"/>
      <c r="AU394" s="155"/>
      <c r="AV394" s="155"/>
      <c r="AW394" s="155"/>
      <c r="AX394" s="155"/>
      <c r="AY394" s="155"/>
      <c r="AZ394" s="155"/>
      <c r="BA394" s="155"/>
      <c r="BB394" s="155"/>
      <c r="BC394" s="155"/>
      <c r="BD394" s="155"/>
      <c r="BE394" s="155"/>
      <c r="BF394" s="155"/>
      <c r="BG394" s="155"/>
      <c r="BH394" s="155"/>
      <c r="BI394" s="155"/>
      <c r="BJ394" s="155"/>
      <c r="BK394" s="155"/>
      <c r="BL394" s="155"/>
      <c r="BM394" s="155"/>
      <c r="BN394" s="155"/>
      <c r="BO394" s="155"/>
      <c r="BP394" s="155"/>
      <c r="BQ394" s="155"/>
      <c r="BR394" s="155"/>
    </row>
    <row r="395" spans="1:70" s="156" customFormat="1" ht="16.5" hidden="1" customHeight="1" x14ac:dyDescent="0.25">
      <c r="A395" s="266"/>
      <c r="B395" s="268"/>
      <c r="C395" s="268"/>
      <c r="D395" s="271"/>
      <c r="E395" s="271"/>
      <c r="F395" s="271"/>
      <c r="G395" s="363"/>
      <c r="H395" s="271"/>
      <c r="I395" s="266"/>
      <c r="J395" s="276"/>
      <c r="K395" s="278"/>
      <c r="L395" s="274"/>
      <c r="M395" s="278">
        <f ca="1">IF(NOT(ISERROR(MATCH(L395,_xlfn.ANCHORARRAY(G448),0))),K450&amp;"Por favor no seleccionar los criterios de impacto",L395)</f>
        <v>0</v>
      </c>
      <c r="N395" s="276"/>
      <c r="O395" s="278"/>
      <c r="P395" s="280"/>
      <c r="Q395" s="201">
        <v>5</v>
      </c>
      <c r="R395" s="112"/>
      <c r="S395" s="201" t="str">
        <f t="shared" si="145"/>
        <v/>
      </c>
      <c r="T395" s="113"/>
      <c r="U395" s="113"/>
      <c r="V395" s="167" t="str">
        <f t="shared" si="143"/>
        <v/>
      </c>
      <c r="W395" s="113"/>
      <c r="X395" s="113"/>
      <c r="Y395" s="113"/>
      <c r="Z395" s="165" t="str">
        <f>IFERROR(IF(S395="Probabilidad",(K391-(+K391*V395)),IF(S395="Impacto",K391,"")),"")</f>
        <v/>
      </c>
      <c r="AA395" s="166" t="str">
        <f t="shared" si="146"/>
        <v/>
      </c>
      <c r="AB395" s="167" t="str">
        <f t="shared" si="147"/>
        <v/>
      </c>
      <c r="AC395" s="166" t="str">
        <f t="shared" si="148"/>
        <v/>
      </c>
      <c r="AD395" s="167" t="str">
        <f t="shared" si="151"/>
        <v/>
      </c>
      <c r="AE395" s="168" t="str">
        <f t="shared" si="149"/>
        <v/>
      </c>
      <c r="AF395" s="113"/>
      <c r="AG395" s="191"/>
      <c r="AH395" s="192"/>
      <c r="AI395" s="114"/>
      <c r="AJ395" s="114"/>
      <c r="AK395" s="191"/>
      <c r="AL395" s="192"/>
      <c r="AM395" s="155"/>
      <c r="AN395" s="155"/>
      <c r="AO395" s="155"/>
      <c r="AP395" s="155"/>
      <c r="AQ395" s="155"/>
      <c r="AR395" s="155"/>
      <c r="AS395" s="155"/>
      <c r="AT395" s="155"/>
      <c r="AU395" s="155"/>
      <c r="AV395" s="155"/>
      <c r="AW395" s="155"/>
      <c r="AX395" s="155"/>
      <c r="AY395" s="155"/>
      <c r="AZ395" s="155"/>
      <c r="BA395" s="155"/>
      <c r="BB395" s="155"/>
      <c r="BC395" s="155"/>
      <c r="BD395" s="155"/>
      <c r="BE395" s="155"/>
      <c r="BF395" s="155"/>
      <c r="BG395" s="155"/>
      <c r="BH395" s="155"/>
      <c r="BI395" s="155"/>
      <c r="BJ395" s="155"/>
      <c r="BK395" s="155"/>
      <c r="BL395" s="155"/>
      <c r="BM395" s="155"/>
      <c r="BN395" s="155"/>
      <c r="BO395" s="155"/>
      <c r="BP395" s="155"/>
      <c r="BQ395" s="155"/>
      <c r="BR395" s="155"/>
    </row>
    <row r="396" spans="1:70" s="156" customFormat="1" ht="16.5" hidden="1" customHeight="1" x14ac:dyDescent="0.25">
      <c r="A396" s="266"/>
      <c r="B396" s="269"/>
      <c r="C396" s="269"/>
      <c r="D396" s="271"/>
      <c r="E396" s="271"/>
      <c r="F396" s="271"/>
      <c r="G396" s="363"/>
      <c r="H396" s="271"/>
      <c r="I396" s="266"/>
      <c r="J396" s="276"/>
      <c r="K396" s="278"/>
      <c r="L396" s="274"/>
      <c r="M396" s="278">
        <f ca="1">IF(NOT(ISERROR(MATCH(L396,_xlfn.ANCHORARRAY(G449),0))),K451&amp;"Por favor no seleccionar los criterios de impacto",L396)</f>
        <v>0</v>
      </c>
      <c r="N396" s="276"/>
      <c r="O396" s="278"/>
      <c r="P396" s="280"/>
      <c r="Q396" s="201">
        <v>6</v>
      </c>
      <c r="R396" s="112"/>
      <c r="S396" s="201" t="str">
        <f t="shared" si="145"/>
        <v/>
      </c>
      <c r="T396" s="113"/>
      <c r="U396" s="113"/>
      <c r="V396" s="167" t="str">
        <f t="shared" si="143"/>
        <v/>
      </c>
      <c r="W396" s="113"/>
      <c r="X396" s="113"/>
      <c r="Y396" s="113"/>
      <c r="Z396" s="165" t="str">
        <f>IFERROR(IF(S396="Probabilidad",(K391-(+K391*V396)),IF(S396="Impacto",K391,"")),"")</f>
        <v/>
      </c>
      <c r="AA396" s="166" t="str">
        <f t="shared" si="146"/>
        <v/>
      </c>
      <c r="AB396" s="167" t="str">
        <f t="shared" si="147"/>
        <v/>
      </c>
      <c r="AC396" s="166" t="str">
        <f t="shared" si="148"/>
        <v/>
      </c>
      <c r="AD396" s="167" t="str">
        <f t="shared" si="151"/>
        <v/>
      </c>
      <c r="AE396" s="168" t="str">
        <f t="shared" si="149"/>
        <v/>
      </c>
      <c r="AF396" s="113"/>
      <c r="AG396" s="191"/>
      <c r="AH396" s="192"/>
      <c r="AI396" s="114"/>
      <c r="AJ396" s="114"/>
      <c r="AK396" s="191"/>
      <c r="AL396" s="192"/>
      <c r="AM396" s="155"/>
      <c r="AN396" s="155"/>
      <c r="AO396" s="155"/>
      <c r="AP396" s="155"/>
      <c r="AQ396" s="155"/>
      <c r="AR396" s="155"/>
      <c r="AS396" s="155"/>
      <c r="AT396" s="155"/>
      <c r="AU396" s="155"/>
      <c r="AV396" s="155"/>
      <c r="AW396" s="155"/>
      <c r="AX396" s="155"/>
      <c r="AY396" s="155"/>
      <c r="AZ396" s="155"/>
      <c r="BA396" s="155"/>
      <c r="BB396" s="155"/>
      <c r="BC396" s="155"/>
      <c r="BD396" s="155"/>
      <c r="BE396" s="155"/>
      <c r="BF396" s="155"/>
      <c r="BG396" s="155"/>
      <c r="BH396" s="155"/>
      <c r="BI396" s="155"/>
      <c r="BJ396" s="155"/>
      <c r="BK396" s="155"/>
      <c r="BL396" s="155"/>
      <c r="BM396" s="155"/>
      <c r="BN396" s="155"/>
      <c r="BO396" s="155"/>
      <c r="BP396" s="155"/>
      <c r="BQ396" s="155"/>
      <c r="BR396" s="155"/>
    </row>
    <row r="397" spans="1:70" s="156" customFormat="1" ht="72.75" x14ac:dyDescent="0.25">
      <c r="A397" s="266">
        <v>65</v>
      </c>
      <c r="B397" s="267" t="s">
        <v>218</v>
      </c>
      <c r="C397" s="267" t="s">
        <v>779</v>
      </c>
      <c r="D397" s="270" t="s">
        <v>132</v>
      </c>
      <c r="E397" s="270" t="s">
        <v>780</v>
      </c>
      <c r="F397" s="270" t="s">
        <v>781</v>
      </c>
      <c r="G397" s="362" t="s">
        <v>782</v>
      </c>
      <c r="H397" s="270" t="s">
        <v>437</v>
      </c>
      <c r="I397" s="281">
        <v>365</v>
      </c>
      <c r="J397" s="275" t="str">
        <f>IF(I397&lt;=0,"",IF(I397&lt;=2,"Muy Baja",IF(I397&lt;=24,"Baja",IF(I397&lt;=500,"Media",IF(I397&lt;=5000,"Alta","Muy Alta")))))</f>
        <v>Media</v>
      </c>
      <c r="K397" s="277">
        <f>IF(J397="","",IF(J397="Muy Baja",0.2,IF(J397="Baja",0.4,IF(J397="Media",0.6,IF(J397="Alta",0.8,IF(J397="Muy Alta",1,))))))</f>
        <v>0.6</v>
      </c>
      <c r="L397" s="273" t="s">
        <v>98</v>
      </c>
      <c r="M397" s="277" t="str">
        <f>IF(NOT(ISERROR(MATCH(L397,'[11]Tabla Impacto'!$B$221:$B$223,0))),'[11]Tabla Impacto'!$F$223&amp;"Por favor no seleccionar los criterios de impacto(Afectación Económica o presupuestal y Pérdida Reputacional)",L397)</f>
        <v>El riesgo afecta la imagen de la entidad con algunos usuarios de relevancia frente al logro de los objetivos</v>
      </c>
      <c r="N397" s="275" t="str">
        <f>+IF(OR(M397='[11]Tabla Impacto'!$C$11,M397='[11]Tabla Impacto'!$D$11),"Leve",IF(OR(M397='[11]Tabla Impacto'!$C$12,M397='[11]Tabla Impacto'!$D$12),"Menor",IF(OR(M397='[11]Tabla Impacto'!$C$13,M397='[11]Tabla Impacto'!$D$13),"Moderado",IF(OR(M397='[11]Tabla Impacto'!$C$14,M397='[11]Tabla Impacto'!$D$14),"Mayor",IF(OR(M397='[11]Tabla Impacto'!$C$15,M397='[11]Tabla Impacto'!$D$15),"Catastrófico","")))))</f>
        <v>Moderado</v>
      </c>
      <c r="O397" s="277">
        <f>IF(N397="","",IF(N397="Leve",0.2,IF(N397="Menor",0.4,IF(N397="Moderado",0.6,IF(N397="Mayor",0.8,IF(N397="Catastrófico",1,))))))</f>
        <v>0.6</v>
      </c>
      <c r="P397" s="279" t="str">
        <f>IF(OR(AND(J397="Muy Baja",N397="Leve"),AND(J397="Muy Baja",N397="Menor"),AND(J397="Baja",N397="Leve")),"Bajo",IF(OR(AND(J397="Muy baja",N397="Moderado"),AND(J397="Baja",N397="Menor"),AND(J397="Baja",N397="Moderado"),AND(J397="Media",N397="Leve"),AND(J397="Media",N397="Menor"),AND(J397="Media",N397="Moderado"),AND(J397="Alta",N397="Leve"),AND(J397="Alta",N397="Menor")),"Moderado",IF(OR(AND(J397="Muy Baja",N397="Mayor"),AND(J397="Baja",N397="Mayor"),AND(J397="Media",N397="Mayor"),AND(J397="Alta",N397="Moderado"),AND(J397="Alta",N397="Mayor"),AND(J397="Muy Alta",N397="Leve"),AND(J397="Muy Alta",N397="Menor"),AND(J397="Muy Alta",N397="Moderado"),AND(J397="Muy Alta",N397="Mayor")),"Alto",IF(OR(AND(J397="Muy Baja",N397="Catastrófico"),AND(J397="Baja",N397="Catastrófico"),AND(J397="Media",N397="Catastrófico"),AND(J397="Alta",N397="Catastrófico"),AND(J397="Muy Alta",N397="Catastrófico")),"Extremo",""))))</f>
        <v>Moderado</v>
      </c>
      <c r="Q397" s="201">
        <v>1</v>
      </c>
      <c r="R397" s="112" t="s">
        <v>820</v>
      </c>
      <c r="S397" s="201" t="str">
        <f t="shared" si="145"/>
        <v>Probabilidad</v>
      </c>
      <c r="T397" s="113" t="s">
        <v>14</v>
      </c>
      <c r="U397" s="113" t="s">
        <v>9</v>
      </c>
      <c r="V397" s="167" t="str">
        <f t="shared" si="143"/>
        <v>40%</v>
      </c>
      <c r="W397" s="113" t="s">
        <v>20</v>
      </c>
      <c r="X397" s="113" t="s">
        <v>22</v>
      </c>
      <c r="Y397" s="113" t="s">
        <v>117</v>
      </c>
      <c r="Z397" s="165">
        <f t="shared" ref="Z397" si="152">IFERROR(IF(S397="Probabilidad",(K397-(+K397*V397)),IF(S397="Impacto",K397,"")),"")</f>
        <v>0.36</v>
      </c>
      <c r="AA397" s="166" t="str">
        <f t="shared" si="146"/>
        <v>Baja</v>
      </c>
      <c r="AB397" s="167">
        <f t="shared" si="147"/>
        <v>0.36</v>
      </c>
      <c r="AC397" s="166" t="str">
        <f t="shared" si="148"/>
        <v>Moderado</v>
      </c>
      <c r="AD397" s="167">
        <f t="shared" si="151"/>
        <v>0.6</v>
      </c>
      <c r="AE397" s="168" t="str">
        <f t="shared" si="149"/>
        <v>Moderado</v>
      </c>
      <c r="AF397" s="113" t="s">
        <v>31</v>
      </c>
      <c r="AG397" s="191"/>
      <c r="AH397" s="192"/>
      <c r="AI397" s="114"/>
      <c r="AJ397" s="114"/>
      <c r="AK397" s="191"/>
      <c r="AL397" s="192"/>
      <c r="AM397" s="155"/>
      <c r="AN397" s="155"/>
      <c r="AO397" s="155"/>
      <c r="AP397" s="155"/>
      <c r="AQ397" s="155"/>
      <c r="AR397" s="155"/>
      <c r="AS397" s="155"/>
      <c r="AT397" s="155"/>
      <c r="AU397" s="155"/>
      <c r="AV397" s="155"/>
      <c r="AW397" s="155"/>
      <c r="AX397" s="155"/>
      <c r="AY397" s="155"/>
      <c r="AZ397" s="155"/>
      <c r="BA397" s="155"/>
      <c r="BB397" s="155"/>
      <c r="BC397" s="155"/>
      <c r="BD397" s="155"/>
      <c r="BE397" s="155"/>
      <c r="BF397" s="155"/>
      <c r="BG397" s="155"/>
      <c r="BH397" s="155"/>
      <c r="BI397" s="155"/>
      <c r="BJ397" s="155"/>
      <c r="BK397" s="155"/>
      <c r="BL397" s="155"/>
      <c r="BM397" s="155"/>
      <c r="BN397" s="155"/>
      <c r="BO397" s="155"/>
      <c r="BP397" s="155"/>
      <c r="BQ397" s="155"/>
      <c r="BR397" s="155"/>
    </row>
    <row r="398" spans="1:70" s="156" customFormat="1" ht="75" x14ac:dyDescent="0.25">
      <c r="A398" s="266"/>
      <c r="B398" s="294"/>
      <c r="C398" s="294"/>
      <c r="D398" s="270"/>
      <c r="E398" s="270"/>
      <c r="F398" s="270"/>
      <c r="G398" s="362"/>
      <c r="H398" s="270"/>
      <c r="I398" s="281"/>
      <c r="J398" s="275"/>
      <c r="K398" s="277"/>
      <c r="L398" s="273"/>
      <c r="M398" s="277">
        <f ca="1">IF(NOT(ISERROR(MATCH(L398,_xlfn.ANCHORARRAY(G451),0))),K453&amp;"Por favor no seleccionar los criterios de impacto",L398)</f>
        <v>0</v>
      </c>
      <c r="N398" s="275"/>
      <c r="O398" s="277"/>
      <c r="P398" s="279"/>
      <c r="Q398" s="201">
        <v>2</v>
      </c>
      <c r="R398" s="112" t="s">
        <v>821</v>
      </c>
      <c r="S398" s="201" t="str">
        <f t="shared" si="145"/>
        <v>Probabilidad</v>
      </c>
      <c r="T398" s="113" t="s">
        <v>14</v>
      </c>
      <c r="U398" s="113" t="s">
        <v>9</v>
      </c>
      <c r="V398" s="167" t="str">
        <f t="shared" si="143"/>
        <v>40%</v>
      </c>
      <c r="W398" s="113" t="s">
        <v>19</v>
      </c>
      <c r="X398" s="113" t="s">
        <v>22</v>
      </c>
      <c r="Y398" s="113" t="s">
        <v>117</v>
      </c>
      <c r="Z398" s="165">
        <f>IFERROR(IF(S398="Probabilidad",(K397-(+K397*V398)),IF(S398="Impacto",K397,"")),"")</f>
        <v>0.36</v>
      </c>
      <c r="AA398" s="166" t="str">
        <f t="shared" si="146"/>
        <v>Baja</v>
      </c>
      <c r="AB398" s="167">
        <f t="shared" si="147"/>
        <v>0.36</v>
      </c>
      <c r="AC398" s="166" t="str">
        <f t="shared" si="148"/>
        <v>Moderado</v>
      </c>
      <c r="AD398" s="167">
        <f>IFERROR(IF(S398="Impacto",(O397-(+O397*V398)),IF(S398="Probabilidad",O397,"")),"")</f>
        <v>0.6</v>
      </c>
      <c r="AE398" s="168" t="str">
        <f t="shared" si="149"/>
        <v>Moderado</v>
      </c>
      <c r="AF398" s="113" t="s">
        <v>134</v>
      </c>
      <c r="AG398" s="191"/>
      <c r="AH398" s="192"/>
      <c r="AI398" s="114"/>
      <c r="AJ398" s="114"/>
      <c r="AK398" s="191"/>
      <c r="AL398" s="192"/>
      <c r="AM398" s="155"/>
      <c r="AN398" s="155"/>
      <c r="AO398" s="155"/>
      <c r="AP398" s="155"/>
      <c r="AQ398" s="155"/>
      <c r="AR398" s="155"/>
      <c r="AS398" s="155"/>
      <c r="AT398" s="155"/>
      <c r="AU398" s="155"/>
      <c r="AV398" s="155"/>
      <c r="AW398" s="155"/>
      <c r="AX398" s="155"/>
      <c r="AY398" s="155"/>
      <c r="AZ398" s="155"/>
      <c r="BA398" s="155"/>
      <c r="BB398" s="155"/>
      <c r="BC398" s="155"/>
      <c r="BD398" s="155"/>
      <c r="BE398" s="155"/>
      <c r="BF398" s="155"/>
      <c r="BG398" s="155"/>
      <c r="BH398" s="155"/>
      <c r="BI398" s="155"/>
      <c r="BJ398" s="155"/>
      <c r="BK398" s="155"/>
      <c r="BL398" s="155"/>
      <c r="BM398" s="155"/>
      <c r="BN398" s="155"/>
      <c r="BO398" s="155"/>
      <c r="BP398" s="155"/>
      <c r="BQ398" s="155"/>
      <c r="BR398" s="155"/>
    </row>
    <row r="399" spans="1:70" s="156" customFormat="1" ht="75" x14ac:dyDescent="0.25">
      <c r="A399" s="266"/>
      <c r="B399" s="294"/>
      <c r="C399" s="294"/>
      <c r="D399" s="270"/>
      <c r="E399" s="270"/>
      <c r="F399" s="270"/>
      <c r="G399" s="362"/>
      <c r="H399" s="270"/>
      <c r="I399" s="281"/>
      <c r="J399" s="275"/>
      <c r="K399" s="277"/>
      <c r="L399" s="273"/>
      <c r="M399" s="277">
        <f ca="1">IF(NOT(ISERROR(MATCH(L399,_xlfn.ANCHORARRAY(G452),0))),K454&amp;"Por favor no seleccionar los criterios de impacto",L399)</f>
        <v>0</v>
      </c>
      <c r="N399" s="275"/>
      <c r="O399" s="277"/>
      <c r="P399" s="279"/>
      <c r="Q399" s="201">
        <v>3</v>
      </c>
      <c r="R399" s="112" t="s">
        <v>822</v>
      </c>
      <c r="S399" s="201" t="str">
        <f t="shared" si="145"/>
        <v>Impacto</v>
      </c>
      <c r="T399" s="113" t="s">
        <v>16</v>
      </c>
      <c r="U399" s="113" t="s">
        <v>9</v>
      </c>
      <c r="V399" s="167" t="str">
        <f t="shared" si="143"/>
        <v>25%</v>
      </c>
      <c r="W399" s="113" t="s">
        <v>19</v>
      </c>
      <c r="X399" s="113" t="s">
        <v>23</v>
      </c>
      <c r="Y399" s="113" t="s">
        <v>117</v>
      </c>
      <c r="Z399" s="165">
        <f>IFERROR(IF(S399="Probabilidad",(K397-(+K397*V399)),IF(S399="Impacto",K397,"")),"")</f>
        <v>0.6</v>
      </c>
      <c r="AA399" s="166" t="str">
        <f t="shared" si="146"/>
        <v>Media</v>
      </c>
      <c r="AB399" s="167">
        <f t="shared" si="147"/>
        <v>0.6</v>
      </c>
      <c r="AC399" s="166" t="str">
        <f t="shared" si="148"/>
        <v>Moderado</v>
      </c>
      <c r="AD399" s="167">
        <f>IFERROR(IF(S399="Impacto",(O397-(+O397*V399)),IF(S399="Probabilidad",O397,"")),"")</f>
        <v>0.44999999999999996</v>
      </c>
      <c r="AE399" s="168" t="str">
        <f t="shared" si="149"/>
        <v>Moderado</v>
      </c>
      <c r="AF399" s="113" t="s">
        <v>134</v>
      </c>
      <c r="AG399" s="191"/>
      <c r="AH399" s="192"/>
      <c r="AI399" s="114"/>
      <c r="AJ399" s="114"/>
      <c r="AK399" s="191"/>
      <c r="AL399" s="192"/>
      <c r="AM399" s="155"/>
      <c r="AN399" s="155"/>
      <c r="AO399" s="155"/>
      <c r="AP399" s="155"/>
      <c r="AQ399" s="155"/>
      <c r="AR399" s="155"/>
      <c r="AS399" s="155"/>
      <c r="AT399" s="155"/>
      <c r="AU399" s="155"/>
      <c r="AV399" s="155"/>
      <c r="AW399" s="155"/>
      <c r="AX399" s="155"/>
      <c r="AY399" s="155"/>
      <c r="AZ399" s="155"/>
      <c r="BA399" s="155"/>
      <c r="BB399" s="155"/>
      <c r="BC399" s="155"/>
      <c r="BD399" s="155"/>
      <c r="BE399" s="155"/>
      <c r="BF399" s="155"/>
      <c r="BG399" s="155"/>
      <c r="BH399" s="155"/>
      <c r="BI399" s="155"/>
      <c r="BJ399" s="155"/>
      <c r="BK399" s="155"/>
      <c r="BL399" s="155"/>
      <c r="BM399" s="155"/>
      <c r="BN399" s="155"/>
      <c r="BO399" s="155"/>
      <c r="BP399" s="155"/>
      <c r="BQ399" s="155"/>
      <c r="BR399" s="155"/>
    </row>
    <row r="400" spans="1:70" s="156" customFormat="1" ht="16.5" hidden="1" customHeight="1" x14ac:dyDescent="0.25">
      <c r="A400" s="266"/>
      <c r="B400" s="268"/>
      <c r="C400" s="268"/>
      <c r="D400" s="271"/>
      <c r="E400" s="271"/>
      <c r="F400" s="271"/>
      <c r="G400" s="363"/>
      <c r="H400" s="271"/>
      <c r="I400" s="266"/>
      <c r="J400" s="276"/>
      <c r="K400" s="278"/>
      <c r="L400" s="274"/>
      <c r="M400" s="278">
        <f ca="1">IF(NOT(ISERROR(MATCH(L400,_xlfn.ANCHORARRAY(G453),0))),K455&amp;"Por favor no seleccionar los criterios de impacto",L400)</f>
        <v>0</v>
      </c>
      <c r="N400" s="276"/>
      <c r="O400" s="278"/>
      <c r="P400" s="280"/>
      <c r="Q400" s="201">
        <v>4</v>
      </c>
      <c r="R400" s="112"/>
      <c r="S400" s="201" t="str">
        <f t="shared" si="145"/>
        <v/>
      </c>
      <c r="T400" s="113"/>
      <c r="U400" s="113"/>
      <c r="V400" s="167" t="str">
        <f t="shared" si="143"/>
        <v/>
      </c>
      <c r="W400" s="113"/>
      <c r="X400" s="113"/>
      <c r="Y400" s="113"/>
      <c r="Z400" s="165" t="str">
        <f t="shared" ref="Z400:Z402" si="153">IFERROR(IF(S400="Probabilidad",(K398-(+K398*V400)),IF(S400="Impacto",K398,"")),"")</f>
        <v/>
      </c>
      <c r="AA400" s="166" t="str">
        <f t="shared" si="146"/>
        <v/>
      </c>
      <c r="AB400" s="167" t="str">
        <f t="shared" si="147"/>
        <v/>
      </c>
      <c r="AC400" s="166" t="str">
        <f t="shared" si="148"/>
        <v/>
      </c>
      <c r="AD400" s="167" t="str">
        <f t="shared" si="151"/>
        <v/>
      </c>
      <c r="AE400" s="168" t="str">
        <f t="shared" si="149"/>
        <v/>
      </c>
      <c r="AF400" s="113"/>
      <c r="AG400" s="191"/>
      <c r="AH400" s="192"/>
      <c r="AI400" s="114"/>
      <c r="AJ400" s="114"/>
      <c r="AK400" s="191"/>
      <c r="AL400" s="192"/>
      <c r="AM400" s="155"/>
      <c r="AN400" s="155"/>
      <c r="AO400" s="155"/>
      <c r="AP400" s="155"/>
      <c r="AQ400" s="155"/>
      <c r="AR400" s="155"/>
      <c r="AS400" s="155"/>
      <c r="AT400" s="155"/>
      <c r="AU400" s="155"/>
      <c r="AV400" s="155"/>
      <c r="AW400" s="155"/>
      <c r="AX400" s="155"/>
      <c r="AY400" s="155"/>
      <c r="AZ400" s="155"/>
      <c r="BA400" s="155"/>
      <c r="BB400" s="155"/>
      <c r="BC400" s="155"/>
      <c r="BD400" s="155"/>
      <c r="BE400" s="155"/>
      <c r="BF400" s="155"/>
      <c r="BG400" s="155"/>
      <c r="BH400" s="155"/>
      <c r="BI400" s="155"/>
      <c r="BJ400" s="155"/>
      <c r="BK400" s="155"/>
      <c r="BL400" s="155"/>
      <c r="BM400" s="155"/>
      <c r="BN400" s="155"/>
      <c r="BO400" s="155"/>
      <c r="BP400" s="155"/>
      <c r="BQ400" s="155"/>
      <c r="BR400" s="155"/>
    </row>
    <row r="401" spans="1:70" s="156" customFormat="1" ht="16.5" hidden="1" customHeight="1" x14ac:dyDescent="0.25">
      <c r="A401" s="266"/>
      <c r="B401" s="268"/>
      <c r="C401" s="268"/>
      <c r="D401" s="271"/>
      <c r="E401" s="271"/>
      <c r="F401" s="271"/>
      <c r="G401" s="363"/>
      <c r="H401" s="271"/>
      <c r="I401" s="266"/>
      <c r="J401" s="276"/>
      <c r="K401" s="278"/>
      <c r="L401" s="274"/>
      <c r="M401" s="278">
        <f ca="1">IF(NOT(ISERROR(MATCH(L401,_xlfn.ANCHORARRAY(G454),0))),K456&amp;"Por favor no seleccionar los criterios de impacto",L401)</f>
        <v>0</v>
      </c>
      <c r="N401" s="276"/>
      <c r="O401" s="278"/>
      <c r="P401" s="280"/>
      <c r="Q401" s="201">
        <v>5</v>
      </c>
      <c r="R401" s="112"/>
      <c r="S401" s="201" t="str">
        <f t="shared" si="145"/>
        <v/>
      </c>
      <c r="T401" s="113"/>
      <c r="U401" s="113"/>
      <c r="V401" s="167" t="str">
        <f t="shared" si="143"/>
        <v/>
      </c>
      <c r="W401" s="113"/>
      <c r="X401" s="113"/>
      <c r="Y401" s="113"/>
      <c r="Z401" s="165" t="str">
        <f t="shared" si="153"/>
        <v/>
      </c>
      <c r="AA401" s="166" t="str">
        <f t="shared" si="146"/>
        <v/>
      </c>
      <c r="AB401" s="167" t="str">
        <f t="shared" si="147"/>
        <v/>
      </c>
      <c r="AC401" s="166" t="str">
        <f t="shared" si="148"/>
        <v/>
      </c>
      <c r="AD401" s="167" t="str">
        <f t="shared" si="151"/>
        <v/>
      </c>
      <c r="AE401" s="168" t="str">
        <f t="shared" si="149"/>
        <v/>
      </c>
      <c r="AF401" s="113"/>
      <c r="AG401" s="191"/>
      <c r="AH401" s="192"/>
      <c r="AI401" s="114"/>
      <c r="AJ401" s="114"/>
      <c r="AK401" s="191"/>
      <c r="AL401" s="192"/>
      <c r="AM401" s="155"/>
      <c r="AN401" s="155"/>
      <c r="AO401" s="155"/>
      <c r="AP401" s="155"/>
      <c r="AQ401" s="155"/>
      <c r="AR401" s="155"/>
      <c r="AS401" s="155"/>
      <c r="AT401" s="155"/>
      <c r="AU401" s="155"/>
      <c r="AV401" s="155"/>
      <c r="AW401" s="155"/>
      <c r="AX401" s="155"/>
      <c r="AY401" s="155"/>
      <c r="AZ401" s="155"/>
      <c r="BA401" s="155"/>
      <c r="BB401" s="155"/>
      <c r="BC401" s="155"/>
      <c r="BD401" s="155"/>
      <c r="BE401" s="155"/>
      <c r="BF401" s="155"/>
      <c r="BG401" s="155"/>
      <c r="BH401" s="155"/>
      <c r="BI401" s="155"/>
      <c r="BJ401" s="155"/>
      <c r="BK401" s="155"/>
      <c r="BL401" s="155"/>
      <c r="BM401" s="155"/>
      <c r="BN401" s="155"/>
      <c r="BO401" s="155"/>
      <c r="BP401" s="155"/>
      <c r="BQ401" s="155"/>
      <c r="BR401" s="155"/>
    </row>
    <row r="402" spans="1:70" s="156" customFormat="1" ht="16.5" hidden="1" customHeight="1" x14ac:dyDescent="0.25">
      <c r="A402" s="266"/>
      <c r="B402" s="269"/>
      <c r="C402" s="269"/>
      <c r="D402" s="271"/>
      <c r="E402" s="271"/>
      <c r="F402" s="271"/>
      <c r="G402" s="363"/>
      <c r="H402" s="271"/>
      <c r="I402" s="266"/>
      <c r="J402" s="276"/>
      <c r="K402" s="278"/>
      <c r="L402" s="274"/>
      <c r="M402" s="278">
        <f ca="1">IF(NOT(ISERROR(MATCH(L402,_xlfn.ANCHORARRAY(G455),0))),K457&amp;"Por favor no seleccionar los criterios de impacto",L402)</f>
        <v>0</v>
      </c>
      <c r="N402" s="276"/>
      <c r="O402" s="278"/>
      <c r="P402" s="280"/>
      <c r="Q402" s="201">
        <v>6</v>
      </c>
      <c r="R402" s="112"/>
      <c r="S402" s="201" t="str">
        <f t="shared" si="145"/>
        <v/>
      </c>
      <c r="T402" s="113"/>
      <c r="U402" s="113"/>
      <c r="V402" s="167" t="str">
        <f t="shared" si="143"/>
        <v/>
      </c>
      <c r="W402" s="113"/>
      <c r="X402" s="113"/>
      <c r="Y402" s="113"/>
      <c r="Z402" s="165" t="str">
        <f t="shared" si="153"/>
        <v/>
      </c>
      <c r="AA402" s="166" t="str">
        <f t="shared" si="146"/>
        <v/>
      </c>
      <c r="AB402" s="167" t="str">
        <f t="shared" si="147"/>
        <v/>
      </c>
      <c r="AC402" s="166" t="str">
        <f t="shared" si="148"/>
        <v/>
      </c>
      <c r="AD402" s="167" t="str">
        <f t="shared" si="151"/>
        <v/>
      </c>
      <c r="AE402" s="168" t="str">
        <f t="shared" si="149"/>
        <v/>
      </c>
      <c r="AF402" s="113"/>
      <c r="AG402" s="191"/>
      <c r="AH402" s="192"/>
      <c r="AI402" s="114"/>
      <c r="AJ402" s="114"/>
      <c r="AK402" s="191"/>
      <c r="AL402" s="192"/>
      <c r="AM402" s="155"/>
      <c r="AN402" s="155"/>
      <c r="AO402" s="155"/>
      <c r="AP402" s="155"/>
      <c r="AQ402" s="155"/>
      <c r="AR402" s="155"/>
      <c r="AS402" s="155"/>
      <c r="AT402" s="155"/>
      <c r="AU402" s="155"/>
      <c r="AV402" s="155"/>
      <c r="AW402" s="155"/>
      <c r="AX402" s="155"/>
      <c r="AY402" s="155"/>
      <c r="AZ402" s="155"/>
      <c r="BA402" s="155"/>
      <c r="BB402" s="155"/>
      <c r="BC402" s="155"/>
      <c r="BD402" s="155"/>
      <c r="BE402" s="155"/>
      <c r="BF402" s="155"/>
      <c r="BG402" s="155"/>
      <c r="BH402" s="155"/>
      <c r="BI402" s="155"/>
      <c r="BJ402" s="155"/>
      <c r="BK402" s="155"/>
      <c r="BL402" s="155"/>
      <c r="BM402" s="155"/>
      <c r="BN402" s="155"/>
      <c r="BO402" s="155"/>
      <c r="BP402" s="155"/>
      <c r="BQ402" s="155"/>
      <c r="BR402" s="155"/>
    </row>
    <row r="403" spans="1:70" s="156" customFormat="1" ht="64.5" x14ac:dyDescent="0.25">
      <c r="A403" s="266">
        <v>66</v>
      </c>
      <c r="B403" s="267" t="s">
        <v>218</v>
      </c>
      <c r="C403" s="267" t="s">
        <v>783</v>
      </c>
      <c r="D403" s="270" t="s">
        <v>132</v>
      </c>
      <c r="E403" s="270" t="s">
        <v>784</v>
      </c>
      <c r="F403" s="270" t="s">
        <v>785</v>
      </c>
      <c r="G403" s="362" t="s">
        <v>786</v>
      </c>
      <c r="H403" s="270" t="s">
        <v>437</v>
      </c>
      <c r="I403" s="281">
        <v>2</v>
      </c>
      <c r="J403" s="275" t="str">
        <f>IF(I403&lt;=0,"",IF(I403&lt;=2,"Muy Baja",IF(I403&lt;=24,"Baja",IF(I403&lt;=500,"Media",IF(I403&lt;=5000,"Alta","Muy Alta")))))</f>
        <v>Muy Baja</v>
      </c>
      <c r="K403" s="277">
        <f>IF(J403="","",IF(J403="Muy Baja",0.2,IF(J403="Baja",0.4,IF(J403="Media",0.6,IF(J403="Alta",0.8,IF(J403="Muy Alta",1,))))))</f>
        <v>0.2</v>
      </c>
      <c r="L403" s="273" t="s">
        <v>98</v>
      </c>
      <c r="M403" s="277" t="str">
        <f>IF(NOT(ISERROR(MATCH(L403,'[11]Tabla Impacto'!$B$221:$B$223,0))),'[11]Tabla Impacto'!$F$223&amp;"Por favor no seleccionar los criterios de impacto(Afectación Económica o presupuestal y Pérdida Reputacional)",L403)</f>
        <v>El riesgo afecta la imagen de la entidad con algunos usuarios de relevancia frente al logro de los objetivos</v>
      </c>
      <c r="N403" s="275" t="str">
        <f>+IF(OR(M403='[11]Tabla Impacto'!$C$11,M403='[11]Tabla Impacto'!$D$11),"Leve",IF(OR(M403='[11]Tabla Impacto'!$C$12,M403='[11]Tabla Impacto'!$D$12),"Menor",IF(OR(M403='[11]Tabla Impacto'!$C$13,M403='[11]Tabla Impacto'!$D$13),"Moderado",IF(OR(M403='[11]Tabla Impacto'!$C$14,M403='[11]Tabla Impacto'!$D$14),"Mayor",IF(OR(M403='[11]Tabla Impacto'!$C$15,M403='[11]Tabla Impacto'!$D$15),"Catastrófico","")))))</f>
        <v>Moderado</v>
      </c>
      <c r="O403" s="277">
        <f>IF(N403="","",IF(N403="Leve",0.2,IF(N403="Menor",0.4,IF(N403="Moderado",0.6,IF(N403="Mayor",0.8,IF(N403="Catastrófico",1,))))))</f>
        <v>0.6</v>
      </c>
      <c r="P403" s="279" t="str">
        <f>IF(OR(AND(J403="Muy Baja",N403="Leve"),AND(J403="Muy Baja",N403="Menor"),AND(J403="Baja",N403="Leve")),"Bajo",IF(OR(AND(J403="Muy baja",N403="Moderado"),AND(J403="Baja",N403="Menor"),AND(J403="Baja",N403="Moderado"),AND(J403="Media",N403="Leve"),AND(J403="Media",N403="Menor"),AND(J403="Media",N403="Moderado"),AND(J403="Alta",N403="Leve"),AND(J403="Alta",N403="Menor")),"Moderado",IF(OR(AND(J403="Muy Baja",N403="Mayor"),AND(J403="Baja",N403="Mayor"),AND(J403="Media",N403="Mayor"),AND(J403="Alta",N403="Moderado"),AND(J403="Alta",N403="Mayor"),AND(J403="Muy Alta",N403="Leve"),AND(J403="Muy Alta",N403="Menor"),AND(J403="Muy Alta",N403="Moderado"),AND(J403="Muy Alta",N403="Mayor")),"Alto",IF(OR(AND(J403="Muy Baja",N403="Catastrófico"),AND(J403="Baja",N403="Catastrófico"),AND(J403="Media",N403="Catastrófico"),AND(J403="Alta",N403="Catastrófico"),AND(J403="Muy Alta",N403="Catastrófico")),"Extremo",""))))</f>
        <v>Moderado</v>
      </c>
      <c r="Q403" s="201">
        <v>1</v>
      </c>
      <c r="R403" s="112" t="s">
        <v>823</v>
      </c>
      <c r="S403" s="201" t="str">
        <f t="shared" si="145"/>
        <v>Probabilidad</v>
      </c>
      <c r="T403" s="113" t="s">
        <v>14</v>
      </c>
      <c r="U403" s="113" t="s">
        <v>9</v>
      </c>
      <c r="V403" s="167" t="str">
        <f t="shared" si="143"/>
        <v>40%</v>
      </c>
      <c r="W403" s="113" t="s">
        <v>19</v>
      </c>
      <c r="X403" s="113" t="s">
        <v>22</v>
      </c>
      <c r="Y403" s="113" t="s">
        <v>117</v>
      </c>
      <c r="Z403" s="165">
        <f>IFERROR(IF(S403="Probabilidad",(K403-(+K403*V403)),IF(S403="Impacto",K403,"")),"")</f>
        <v>0.12</v>
      </c>
      <c r="AA403" s="166" t="str">
        <f t="shared" si="146"/>
        <v>Muy Baja</v>
      </c>
      <c r="AB403" s="167">
        <f>+Z403</f>
        <v>0.12</v>
      </c>
      <c r="AC403" s="166" t="str">
        <f t="shared" si="148"/>
        <v>Moderado</v>
      </c>
      <c r="AD403" s="167">
        <f t="shared" si="151"/>
        <v>0.6</v>
      </c>
      <c r="AE403" s="168" t="str">
        <f t="shared" si="149"/>
        <v>Moderado</v>
      </c>
      <c r="AF403" s="113" t="s">
        <v>31</v>
      </c>
      <c r="AG403" s="191"/>
      <c r="AH403" s="192"/>
      <c r="AI403" s="114"/>
      <c r="AJ403" s="114"/>
      <c r="AK403" s="191"/>
      <c r="AL403" s="192"/>
      <c r="AM403" s="155"/>
      <c r="AN403" s="155"/>
      <c r="AO403" s="155"/>
      <c r="AP403" s="155"/>
      <c r="AQ403" s="155"/>
      <c r="AR403" s="155"/>
      <c r="AS403" s="155"/>
      <c r="AT403" s="155"/>
      <c r="AU403" s="155"/>
      <c r="AV403" s="155"/>
      <c r="AW403" s="155"/>
      <c r="AX403" s="155"/>
      <c r="AY403" s="155"/>
      <c r="AZ403" s="155"/>
      <c r="BA403" s="155"/>
      <c r="BB403" s="155"/>
      <c r="BC403" s="155"/>
      <c r="BD403" s="155"/>
      <c r="BE403" s="155"/>
      <c r="BF403" s="155"/>
      <c r="BG403" s="155"/>
      <c r="BH403" s="155"/>
      <c r="BI403" s="155"/>
      <c r="BJ403" s="155"/>
      <c r="BK403" s="155"/>
      <c r="BL403" s="155"/>
      <c r="BM403" s="155"/>
      <c r="BN403" s="155"/>
      <c r="BO403" s="155"/>
      <c r="BP403" s="155"/>
      <c r="BQ403" s="155"/>
      <c r="BR403" s="155"/>
    </row>
    <row r="404" spans="1:70" s="156" customFormat="1" ht="75" x14ac:dyDescent="0.25">
      <c r="A404" s="266"/>
      <c r="B404" s="294"/>
      <c r="C404" s="294"/>
      <c r="D404" s="270"/>
      <c r="E404" s="270"/>
      <c r="F404" s="270"/>
      <c r="G404" s="362"/>
      <c r="H404" s="270"/>
      <c r="I404" s="281"/>
      <c r="J404" s="275"/>
      <c r="K404" s="277"/>
      <c r="L404" s="273"/>
      <c r="M404" s="277">
        <f ca="1">IF(NOT(ISERROR(MATCH(L404,_xlfn.ANCHORARRAY(G457),0))),K459&amp;"Por favor no seleccionar los criterios de impacto",L404)</f>
        <v>0</v>
      </c>
      <c r="N404" s="275"/>
      <c r="O404" s="277"/>
      <c r="P404" s="279"/>
      <c r="Q404" s="201">
        <v>2</v>
      </c>
      <c r="R404" s="112" t="s">
        <v>824</v>
      </c>
      <c r="S404" s="201" t="str">
        <f t="shared" si="145"/>
        <v>Probabilidad</v>
      </c>
      <c r="T404" s="113" t="s">
        <v>14</v>
      </c>
      <c r="U404" s="113" t="s">
        <v>9</v>
      </c>
      <c r="V404" s="167" t="str">
        <f t="shared" si="143"/>
        <v>40%</v>
      </c>
      <c r="W404" s="113" t="s">
        <v>19</v>
      </c>
      <c r="X404" s="113" t="s">
        <v>22</v>
      </c>
      <c r="Y404" s="113" t="s">
        <v>117</v>
      </c>
      <c r="Z404" s="165">
        <f>IFERROR(IF(S404="Probabilidad",(K403-(+K403*V404)),IF(S404="Impacto",K403,"")),"")</f>
        <v>0.12</v>
      </c>
      <c r="AA404" s="166" t="str">
        <f t="shared" si="146"/>
        <v>Muy Baja</v>
      </c>
      <c r="AB404" s="167">
        <f t="shared" ref="AB404:AB426" si="154">+Z404</f>
        <v>0.12</v>
      </c>
      <c r="AC404" s="166" t="str">
        <f t="shared" si="148"/>
        <v>Leve</v>
      </c>
      <c r="AD404" s="167">
        <f t="shared" si="151"/>
        <v>0</v>
      </c>
      <c r="AE404" s="168" t="str">
        <f t="shared" si="149"/>
        <v>Bajo</v>
      </c>
      <c r="AF404" s="113" t="s">
        <v>134</v>
      </c>
      <c r="AG404" s="191"/>
      <c r="AH404" s="192"/>
      <c r="AI404" s="114"/>
      <c r="AJ404" s="114"/>
      <c r="AK404" s="191"/>
      <c r="AL404" s="192"/>
      <c r="AM404" s="155"/>
      <c r="AN404" s="155"/>
      <c r="AO404" s="155"/>
      <c r="AP404" s="155"/>
      <c r="AQ404" s="155"/>
      <c r="AR404" s="155"/>
      <c r="AS404" s="155"/>
      <c r="AT404" s="155"/>
      <c r="AU404" s="155"/>
      <c r="AV404" s="155"/>
      <c r="AW404" s="155"/>
      <c r="AX404" s="155"/>
      <c r="AY404" s="155"/>
      <c r="AZ404" s="155"/>
      <c r="BA404" s="155"/>
      <c r="BB404" s="155"/>
      <c r="BC404" s="155"/>
      <c r="BD404" s="155"/>
      <c r="BE404" s="155"/>
      <c r="BF404" s="155"/>
      <c r="BG404" s="155"/>
      <c r="BH404" s="155"/>
      <c r="BI404" s="155"/>
      <c r="BJ404" s="155"/>
      <c r="BK404" s="155"/>
      <c r="BL404" s="155"/>
      <c r="BM404" s="155"/>
      <c r="BN404" s="155"/>
      <c r="BO404" s="155"/>
      <c r="BP404" s="155"/>
      <c r="BQ404" s="155"/>
      <c r="BR404" s="155"/>
    </row>
    <row r="405" spans="1:70" s="156" customFormat="1" ht="16.5" hidden="1" customHeight="1" x14ac:dyDescent="0.25">
      <c r="A405" s="266"/>
      <c r="B405" s="268"/>
      <c r="C405" s="268"/>
      <c r="D405" s="271"/>
      <c r="E405" s="271"/>
      <c r="F405" s="271"/>
      <c r="G405" s="363"/>
      <c r="H405" s="271"/>
      <c r="I405" s="266"/>
      <c r="J405" s="276"/>
      <c r="K405" s="278"/>
      <c r="L405" s="274"/>
      <c r="M405" s="278">
        <f ca="1">IF(NOT(ISERROR(MATCH(L405,_xlfn.ANCHORARRAY(G458),0))),K460&amp;"Por favor no seleccionar los criterios de impacto",L405)</f>
        <v>0</v>
      </c>
      <c r="N405" s="276"/>
      <c r="O405" s="278"/>
      <c r="P405" s="280"/>
      <c r="Q405" s="201">
        <v>3</v>
      </c>
      <c r="R405" s="112"/>
      <c r="S405" s="201" t="str">
        <f t="shared" si="145"/>
        <v/>
      </c>
      <c r="T405" s="113"/>
      <c r="U405" s="113"/>
      <c r="V405" s="167" t="str">
        <f t="shared" si="143"/>
        <v/>
      </c>
      <c r="W405" s="113"/>
      <c r="X405" s="113"/>
      <c r="Y405" s="113"/>
      <c r="Z405" s="165" t="str">
        <f t="shared" ref="Z405:Z414" si="155">IFERROR(IF(S405="Probabilidad",(K400-(+K400*V405)),IF(S405="Impacto",K400,"")),"")</f>
        <v/>
      </c>
      <c r="AA405" s="166" t="str">
        <f t="shared" si="146"/>
        <v/>
      </c>
      <c r="AB405" s="167" t="str">
        <f t="shared" si="154"/>
        <v/>
      </c>
      <c r="AC405" s="166" t="str">
        <f t="shared" si="148"/>
        <v/>
      </c>
      <c r="AD405" s="167" t="str">
        <f t="shared" si="151"/>
        <v/>
      </c>
      <c r="AE405" s="168" t="str">
        <f t="shared" si="149"/>
        <v/>
      </c>
      <c r="AF405" s="113"/>
      <c r="AG405" s="191"/>
      <c r="AH405" s="192"/>
      <c r="AI405" s="114"/>
      <c r="AJ405" s="114"/>
      <c r="AK405" s="191"/>
      <c r="AL405" s="192"/>
      <c r="AM405" s="155"/>
      <c r="AN405" s="155"/>
      <c r="AO405" s="155"/>
      <c r="AP405" s="155"/>
      <c r="AQ405" s="155"/>
      <c r="AR405" s="155"/>
      <c r="AS405" s="155"/>
      <c r="AT405" s="155"/>
      <c r="AU405" s="155"/>
      <c r="AV405" s="155"/>
      <c r="AW405" s="155"/>
      <c r="AX405" s="155"/>
      <c r="AY405" s="155"/>
      <c r="AZ405" s="155"/>
      <c r="BA405" s="155"/>
      <c r="BB405" s="155"/>
      <c r="BC405" s="155"/>
      <c r="BD405" s="155"/>
      <c r="BE405" s="155"/>
      <c r="BF405" s="155"/>
      <c r="BG405" s="155"/>
      <c r="BH405" s="155"/>
      <c r="BI405" s="155"/>
      <c r="BJ405" s="155"/>
      <c r="BK405" s="155"/>
      <c r="BL405" s="155"/>
      <c r="BM405" s="155"/>
      <c r="BN405" s="155"/>
      <c r="BO405" s="155"/>
      <c r="BP405" s="155"/>
      <c r="BQ405" s="155"/>
      <c r="BR405" s="155"/>
    </row>
    <row r="406" spans="1:70" s="156" customFormat="1" ht="16.5" hidden="1" customHeight="1" x14ac:dyDescent="0.25">
      <c r="A406" s="266"/>
      <c r="B406" s="268"/>
      <c r="C406" s="268"/>
      <c r="D406" s="271"/>
      <c r="E406" s="271"/>
      <c r="F406" s="271"/>
      <c r="G406" s="363"/>
      <c r="H406" s="271"/>
      <c r="I406" s="266"/>
      <c r="J406" s="276"/>
      <c r="K406" s="278"/>
      <c r="L406" s="274"/>
      <c r="M406" s="278">
        <f ca="1">IF(NOT(ISERROR(MATCH(L406,_xlfn.ANCHORARRAY(G459),0))),K461&amp;"Por favor no seleccionar los criterios de impacto",L406)</f>
        <v>0</v>
      </c>
      <c r="N406" s="276"/>
      <c r="O406" s="278"/>
      <c r="P406" s="280"/>
      <c r="Q406" s="201">
        <v>4</v>
      </c>
      <c r="R406" s="112"/>
      <c r="S406" s="201" t="str">
        <f t="shared" si="145"/>
        <v/>
      </c>
      <c r="T406" s="113"/>
      <c r="U406" s="113"/>
      <c r="V406" s="167" t="str">
        <f t="shared" si="143"/>
        <v/>
      </c>
      <c r="W406" s="113"/>
      <c r="X406" s="113"/>
      <c r="Y406" s="113"/>
      <c r="Z406" s="165" t="str">
        <f t="shared" si="155"/>
        <v/>
      </c>
      <c r="AA406" s="166" t="str">
        <f t="shared" si="146"/>
        <v/>
      </c>
      <c r="AB406" s="167" t="str">
        <f t="shared" si="154"/>
        <v/>
      </c>
      <c r="AC406" s="166" t="str">
        <f t="shared" si="148"/>
        <v/>
      </c>
      <c r="AD406" s="167" t="str">
        <f t="shared" si="151"/>
        <v/>
      </c>
      <c r="AE406" s="168" t="str">
        <f t="shared" si="149"/>
        <v/>
      </c>
      <c r="AF406" s="113"/>
      <c r="AG406" s="191"/>
      <c r="AH406" s="192"/>
      <c r="AI406" s="114"/>
      <c r="AJ406" s="114"/>
      <c r="AK406" s="191"/>
      <c r="AL406" s="192"/>
      <c r="AM406" s="155"/>
      <c r="AN406" s="155"/>
      <c r="AO406" s="155"/>
      <c r="AP406" s="155"/>
      <c r="AQ406" s="155"/>
      <c r="AR406" s="155"/>
      <c r="AS406" s="155"/>
      <c r="AT406" s="155"/>
      <c r="AU406" s="155"/>
      <c r="AV406" s="155"/>
      <c r="AW406" s="155"/>
      <c r="AX406" s="155"/>
      <c r="AY406" s="155"/>
      <c r="AZ406" s="155"/>
      <c r="BA406" s="155"/>
      <c r="BB406" s="155"/>
      <c r="BC406" s="155"/>
      <c r="BD406" s="155"/>
      <c r="BE406" s="155"/>
      <c r="BF406" s="155"/>
      <c r="BG406" s="155"/>
      <c r="BH406" s="155"/>
      <c r="BI406" s="155"/>
      <c r="BJ406" s="155"/>
      <c r="BK406" s="155"/>
      <c r="BL406" s="155"/>
      <c r="BM406" s="155"/>
      <c r="BN406" s="155"/>
      <c r="BO406" s="155"/>
      <c r="BP406" s="155"/>
      <c r="BQ406" s="155"/>
      <c r="BR406" s="155"/>
    </row>
    <row r="407" spans="1:70" s="156" customFormat="1" ht="16.5" hidden="1" customHeight="1" x14ac:dyDescent="0.25">
      <c r="A407" s="266"/>
      <c r="B407" s="268"/>
      <c r="C407" s="268"/>
      <c r="D407" s="271"/>
      <c r="E407" s="271"/>
      <c r="F407" s="271"/>
      <c r="G407" s="363"/>
      <c r="H407" s="271"/>
      <c r="I407" s="266"/>
      <c r="J407" s="276"/>
      <c r="K407" s="278"/>
      <c r="L407" s="274"/>
      <c r="M407" s="278">
        <f ca="1">IF(NOT(ISERROR(MATCH(L407,_xlfn.ANCHORARRAY(G460),0))),K462&amp;"Por favor no seleccionar los criterios de impacto",L407)</f>
        <v>0</v>
      </c>
      <c r="N407" s="276"/>
      <c r="O407" s="278"/>
      <c r="P407" s="280"/>
      <c r="Q407" s="201">
        <v>5</v>
      </c>
      <c r="R407" s="112"/>
      <c r="S407" s="201" t="str">
        <f t="shared" si="145"/>
        <v/>
      </c>
      <c r="T407" s="113"/>
      <c r="U407" s="113"/>
      <c r="V407" s="167" t="str">
        <f t="shared" si="143"/>
        <v/>
      </c>
      <c r="W407" s="113"/>
      <c r="X407" s="113"/>
      <c r="Y407" s="113"/>
      <c r="Z407" s="165" t="str">
        <f t="shared" si="155"/>
        <v/>
      </c>
      <c r="AA407" s="166" t="str">
        <f t="shared" si="146"/>
        <v/>
      </c>
      <c r="AB407" s="167" t="str">
        <f t="shared" si="154"/>
        <v/>
      </c>
      <c r="AC407" s="166" t="str">
        <f t="shared" si="148"/>
        <v/>
      </c>
      <c r="AD407" s="167" t="str">
        <f t="shared" si="151"/>
        <v/>
      </c>
      <c r="AE407" s="168" t="str">
        <f t="shared" si="149"/>
        <v/>
      </c>
      <c r="AF407" s="113"/>
      <c r="AG407" s="191"/>
      <c r="AH407" s="192"/>
      <c r="AI407" s="114"/>
      <c r="AJ407" s="114"/>
      <c r="AK407" s="191"/>
      <c r="AL407" s="192"/>
      <c r="AM407" s="155"/>
      <c r="AN407" s="155"/>
      <c r="AO407" s="155"/>
      <c r="AP407" s="155"/>
      <c r="AQ407" s="155"/>
      <c r="AR407" s="155"/>
      <c r="AS407" s="155"/>
      <c r="AT407" s="155"/>
      <c r="AU407" s="155"/>
      <c r="AV407" s="155"/>
      <c r="AW407" s="155"/>
      <c r="AX407" s="155"/>
      <c r="AY407" s="155"/>
      <c r="AZ407" s="155"/>
      <c r="BA407" s="155"/>
      <c r="BB407" s="155"/>
      <c r="BC407" s="155"/>
      <c r="BD407" s="155"/>
      <c r="BE407" s="155"/>
      <c r="BF407" s="155"/>
      <c r="BG407" s="155"/>
      <c r="BH407" s="155"/>
      <c r="BI407" s="155"/>
      <c r="BJ407" s="155"/>
      <c r="BK407" s="155"/>
      <c r="BL407" s="155"/>
      <c r="BM407" s="155"/>
      <c r="BN407" s="155"/>
      <c r="BO407" s="155"/>
      <c r="BP407" s="155"/>
      <c r="BQ407" s="155"/>
      <c r="BR407" s="155"/>
    </row>
    <row r="408" spans="1:70" s="156" customFormat="1" ht="16.5" hidden="1" customHeight="1" x14ac:dyDescent="0.25">
      <c r="A408" s="266"/>
      <c r="B408" s="269"/>
      <c r="C408" s="269"/>
      <c r="D408" s="271"/>
      <c r="E408" s="271"/>
      <c r="F408" s="271"/>
      <c r="G408" s="363"/>
      <c r="H408" s="271"/>
      <c r="I408" s="266"/>
      <c r="J408" s="276"/>
      <c r="K408" s="278"/>
      <c r="L408" s="274"/>
      <c r="M408" s="278">
        <f ca="1">IF(NOT(ISERROR(MATCH(L408,_xlfn.ANCHORARRAY(G461),0))),K463&amp;"Por favor no seleccionar los criterios de impacto",L408)</f>
        <v>0</v>
      </c>
      <c r="N408" s="276"/>
      <c r="O408" s="278"/>
      <c r="P408" s="280"/>
      <c r="Q408" s="201">
        <v>6</v>
      </c>
      <c r="R408" s="112"/>
      <c r="S408" s="201" t="str">
        <f t="shared" si="145"/>
        <v/>
      </c>
      <c r="T408" s="113"/>
      <c r="U408" s="113"/>
      <c r="V408" s="167" t="str">
        <f t="shared" si="143"/>
        <v/>
      </c>
      <c r="W408" s="113"/>
      <c r="X408" s="113"/>
      <c r="Y408" s="113"/>
      <c r="Z408" s="165" t="str">
        <f t="shared" si="155"/>
        <v/>
      </c>
      <c r="AA408" s="166" t="str">
        <f t="shared" si="146"/>
        <v/>
      </c>
      <c r="AB408" s="167" t="str">
        <f t="shared" si="154"/>
        <v/>
      </c>
      <c r="AC408" s="166" t="str">
        <f t="shared" si="148"/>
        <v/>
      </c>
      <c r="AD408" s="167" t="str">
        <f t="shared" si="151"/>
        <v/>
      </c>
      <c r="AE408" s="168" t="str">
        <f t="shared" si="149"/>
        <v/>
      </c>
      <c r="AF408" s="113"/>
      <c r="AG408" s="191"/>
      <c r="AH408" s="192"/>
      <c r="AI408" s="114"/>
      <c r="AJ408" s="114"/>
      <c r="AK408" s="191"/>
      <c r="AL408" s="192"/>
      <c r="AM408" s="155"/>
      <c r="AN408" s="155"/>
      <c r="AO408" s="155"/>
      <c r="AP408" s="155"/>
      <c r="AQ408" s="155"/>
      <c r="AR408" s="155"/>
      <c r="AS408" s="155"/>
      <c r="AT408" s="155"/>
      <c r="AU408" s="155"/>
      <c r="AV408" s="155"/>
      <c r="AW408" s="155"/>
      <c r="AX408" s="155"/>
      <c r="AY408" s="155"/>
      <c r="AZ408" s="155"/>
      <c r="BA408" s="155"/>
      <c r="BB408" s="155"/>
      <c r="BC408" s="155"/>
      <c r="BD408" s="155"/>
      <c r="BE408" s="155"/>
      <c r="BF408" s="155"/>
      <c r="BG408" s="155"/>
      <c r="BH408" s="155"/>
      <c r="BI408" s="155"/>
      <c r="BJ408" s="155"/>
      <c r="BK408" s="155"/>
      <c r="BL408" s="155"/>
      <c r="BM408" s="155"/>
      <c r="BN408" s="155"/>
      <c r="BO408" s="155"/>
      <c r="BP408" s="155"/>
      <c r="BQ408" s="155"/>
      <c r="BR408" s="155"/>
    </row>
    <row r="409" spans="1:70" s="156" customFormat="1" ht="64.5" x14ac:dyDescent="0.25">
      <c r="A409" s="266">
        <v>67</v>
      </c>
      <c r="B409" s="267" t="s">
        <v>218</v>
      </c>
      <c r="C409" s="267" t="s">
        <v>787</v>
      </c>
      <c r="D409" s="270" t="s">
        <v>132</v>
      </c>
      <c r="E409" s="270" t="s">
        <v>629</v>
      </c>
      <c r="F409" s="270" t="s">
        <v>788</v>
      </c>
      <c r="G409" s="362" t="s">
        <v>789</v>
      </c>
      <c r="H409" s="270" t="s">
        <v>790</v>
      </c>
      <c r="I409" s="281">
        <v>300</v>
      </c>
      <c r="J409" s="275" t="str">
        <f>IF(I409&lt;=0,"",IF(I409&lt;=2,"Muy Baja",IF(I409&lt;=24,"Baja",IF(I409&lt;=500,"Media",IF(I409&lt;=5000,"Alta","Muy Alta")))))</f>
        <v>Media</v>
      </c>
      <c r="K409" s="277">
        <f>IF(J409="","",IF(J409="Muy Baja",0.2,IF(J409="Baja",0.4,IF(J409="Media",0.6,IF(J409="Alta",0.8,IF(J409="Muy Alta",1,))))))</f>
        <v>0.6</v>
      </c>
      <c r="L409" s="273" t="s">
        <v>98</v>
      </c>
      <c r="M409" s="277" t="str">
        <f>IF(NOT(ISERROR(MATCH(L409,'[11]Tabla Impacto'!$B$221:$B$223,0))),'[11]Tabla Impacto'!$F$223&amp;"Por favor no seleccionar los criterios de impacto(Afectación Económica o presupuestal y Pérdida Reputacional)",L409)</f>
        <v>El riesgo afecta la imagen de la entidad con algunos usuarios de relevancia frente al logro de los objetivos</v>
      </c>
      <c r="N409" s="275" t="str">
        <f>+IF(OR(M409='[11]Tabla Impacto'!$C$11,M409='[11]Tabla Impacto'!$D$11),"Leve",IF(OR(M409='[11]Tabla Impacto'!$C$12,M409='[11]Tabla Impacto'!$D$12),"Menor",IF(OR(M409='[11]Tabla Impacto'!$C$13,M409='[11]Tabla Impacto'!$D$13),"Moderado",IF(OR(M409='[11]Tabla Impacto'!$C$14,M409='[11]Tabla Impacto'!$D$14),"Mayor",IF(OR(M409='[11]Tabla Impacto'!$C$15,M409='[11]Tabla Impacto'!$D$15),"Catastrófico","")))))</f>
        <v>Moderado</v>
      </c>
      <c r="O409" s="277">
        <f>IF(N409="","",IF(N409="Leve",0.2,IF(N409="Menor",0.4,IF(N409="Moderado",0.6,IF(N409="Mayor",0.8,IF(N409="Catastrófico",1,))))))</f>
        <v>0.6</v>
      </c>
      <c r="P409" s="279" t="str">
        <f>IF(OR(AND(J409="Muy Baja",N409="Leve"),AND(J409="Muy Baja",N409="Menor"),AND(J409="Baja",N409="Leve")),"Bajo",IF(OR(AND(J409="Muy baja",N409="Moderado"),AND(J409="Baja",N409="Menor"),AND(J409="Baja",N409="Moderado"),AND(J409="Media",N409="Leve"),AND(J409="Media",N409="Menor"),AND(J409="Media",N409="Moderado"),AND(J409="Alta",N409="Leve"),AND(J409="Alta",N409="Menor")),"Moderado",IF(OR(AND(J409="Muy Baja",N409="Mayor"),AND(J409="Baja",N409="Mayor"),AND(J409="Media",N409="Mayor"),AND(J409="Alta",N409="Moderado"),AND(J409="Alta",N409="Mayor"),AND(J409="Muy Alta",N409="Leve"),AND(J409="Muy Alta",N409="Menor"),AND(J409="Muy Alta",N409="Moderado"),AND(J409="Muy Alta",N409="Mayor")),"Alto",IF(OR(AND(J409="Muy Baja",N409="Catastrófico"),AND(J409="Baja",N409="Catastrófico"),AND(J409="Media",N409="Catastrófico"),AND(J409="Alta",N409="Catastrófico"),AND(J409="Muy Alta",N409="Catastrófico")),"Extremo",""))))</f>
        <v>Moderado</v>
      </c>
      <c r="Q409" s="201">
        <v>1</v>
      </c>
      <c r="R409" s="112" t="s">
        <v>825</v>
      </c>
      <c r="S409" s="201" t="str">
        <f t="shared" si="145"/>
        <v>Probabilidad</v>
      </c>
      <c r="T409" s="113" t="s">
        <v>14</v>
      </c>
      <c r="U409" s="113" t="s">
        <v>9</v>
      </c>
      <c r="V409" s="167" t="str">
        <f t="shared" si="143"/>
        <v>40%</v>
      </c>
      <c r="W409" s="113" t="s">
        <v>19</v>
      </c>
      <c r="X409" s="113" t="s">
        <v>22</v>
      </c>
      <c r="Y409" s="113" t="s">
        <v>118</v>
      </c>
      <c r="Z409" s="165">
        <f>IFERROR(IF(S409="Probabilidad",(K409-(+K409*V409)),IF(S409="Impacto",K409,"")),"")</f>
        <v>0.36</v>
      </c>
      <c r="AA409" s="166" t="str">
        <f t="shared" si="146"/>
        <v>Baja</v>
      </c>
      <c r="AB409" s="167">
        <f t="shared" si="154"/>
        <v>0.36</v>
      </c>
      <c r="AC409" s="166" t="str">
        <f t="shared" si="148"/>
        <v>Moderado</v>
      </c>
      <c r="AD409" s="167">
        <f t="shared" si="151"/>
        <v>0.6</v>
      </c>
      <c r="AE409" s="168" t="str">
        <f t="shared" si="149"/>
        <v>Moderado</v>
      </c>
      <c r="AF409" s="113" t="s">
        <v>31</v>
      </c>
      <c r="AG409" s="191"/>
      <c r="AH409" s="192"/>
      <c r="AI409" s="114"/>
      <c r="AJ409" s="114"/>
      <c r="AK409" s="191"/>
      <c r="AL409" s="192"/>
      <c r="AM409" s="155"/>
      <c r="AN409" s="155"/>
      <c r="AO409" s="155"/>
      <c r="AP409" s="155"/>
      <c r="AQ409" s="155"/>
      <c r="AR409" s="155"/>
      <c r="AS409" s="155"/>
      <c r="AT409" s="155"/>
      <c r="AU409" s="155"/>
      <c r="AV409" s="155"/>
      <c r="AW409" s="155"/>
      <c r="AX409" s="155"/>
      <c r="AY409" s="155"/>
      <c r="AZ409" s="155"/>
      <c r="BA409" s="155"/>
      <c r="BB409" s="155"/>
      <c r="BC409" s="155"/>
      <c r="BD409" s="155"/>
      <c r="BE409" s="155"/>
      <c r="BF409" s="155"/>
      <c r="BG409" s="155"/>
      <c r="BH409" s="155"/>
      <c r="BI409" s="155"/>
      <c r="BJ409" s="155"/>
      <c r="BK409" s="155"/>
      <c r="BL409" s="155"/>
      <c r="BM409" s="155"/>
      <c r="BN409" s="155"/>
      <c r="BO409" s="155"/>
      <c r="BP409" s="155"/>
      <c r="BQ409" s="155"/>
      <c r="BR409" s="155"/>
    </row>
    <row r="410" spans="1:70" s="156" customFormat="1" ht="75" x14ac:dyDescent="0.25">
      <c r="A410" s="266"/>
      <c r="B410" s="294"/>
      <c r="C410" s="294"/>
      <c r="D410" s="270"/>
      <c r="E410" s="270"/>
      <c r="F410" s="270"/>
      <c r="G410" s="362"/>
      <c r="H410" s="270"/>
      <c r="I410" s="281"/>
      <c r="J410" s="275"/>
      <c r="K410" s="277"/>
      <c r="L410" s="273"/>
      <c r="M410" s="277">
        <f ca="1">IF(NOT(ISERROR(MATCH(L410,_xlfn.ANCHORARRAY(G463),0))),K465&amp;"Por favor no seleccionar los criterios de impacto",L410)</f>
        <v>0</v>
      </c>
      <c r="N410" s="275"/>
      <c r="O410" s="277"/>
      <c r="P410" s="279"/>
      <c r="Q410" s="201">
        <v>2</v>
      </c>
      <c r="R410" s="112" t="s">
        <v>826</v>
      </c>
      <c r="S410" s="201" t="str">
        <f t="shared" si="145"/>
        <v>Probabilidad</v>
      </c>
      <c r="T410" s="113" t="s">
        <v>14</v>
      </c>
      <c r="U410" s="113" t="s">
        <v>9</v>
      </c>
      <c r="V410" s="167" t="str">
        <f t="shared" si="143"/>
        <v>40%</v>
      </c>
      <c r="W410" s="113" t="s">
        <v>19</v>
      </c>
      <c r="X410" s="113" t="s">
        <v>22</v>
      </c>
      <c r="Y410" s="113" t="s">
        <v>117</v>
      </c>
      <c r="Z410" s="165">
        <f>IFERROR(IF(S410="Probabilidad",(K409-(+K409*V410)),IF(S410="Impacto",K409,"")),"")</f>
        <v>0.36</v>
      </c>
      <c r="AA410" s="166" t="str">
        <f t="shared" si="146"/>
        <v>Baja</v>
      </c>
      <c r="AB410" s="167">
        <f t="shared" si="154"/>
        <v>0.36</v>
      </c>
      <c r="AC410" s="166" t="str">
        <f t="shared" si="148"/>
        <v>Moderado</v>
      </c>
      <c r="AD410" s="167">
        <f>IFERROR(IF(S410="Impacto",(O409-(+O409*V410)),IF(S409="Probabilidad",O409,"")),"")</f>
        <v>0.6</v>
      </c>
      <c r="AE410" s="168" t="str">
        <f t="shared" si="149"/>
        <v>Moderado</v>
      </c>
      <c r="AF410" s="113" t="s">
        <v>134</v>
      </c>
      <c r="AG410" s="191"/>
      <c r="AH410" s="192"/>
      <c r="AI410" s="114"/>
      <c r="AJ410" s="114"/>
      <c r="AK410" s="191"/>
      <c r="AL410" s="192"/>
      <c r="AM410" s="155"/>
      <c r="AN410" s="155"/>
      <c r="AO410" s="155"/>
      <c r="AP410" s="155"/>
      <c r="AQ410" s="155"/>
      <c r="AR410" s="155"/>
      <c r="AS410" s="155"/>
      <c r="AT410" s="155"/>
      <c r="AU410" s="155"/>
      <c r="AV410" s="155"/>
      <c r="AW410" s="155"/>
      <c r="AX410" s="155"/>
      <c r="AY410" s="155"/>
      <c r="AZ410" s="155"/>
      <c r="BA410" s="155"/>
      <c r="BB410" s="155"/>
      <c r="BC410" s="155"/>
      <c r="BD410" s="155"/>
      <c r="BE410" s="155"/>
      <c r="BF410" s="155"/>
      <c r="BG410" s="155"/>
      <c r="BH410" s="155"/>
      <c r="BI410" s="155"/>
      <c r="BJ410" s="155"/>
      <c r="BK410" s="155"/>
      <c r="BL410" s="155"/>
      <c r="BM410" s="155"/>
      <c r="BN410" s="155"/>
      <c r="BO410" s="155"/>
      <c r="BP410" s="155"/>
      <c r="BQ410" s="155"/>
      <c r="BR410" s="155"/>
    </row>
    <row r="411" spans="1:70" s="156" customFormat="1" ht="75" x14ac:dyDescent="0.25">
      <c r="A411" s="266"/>
      <c r="B411" s="294"/>
      <c r="C411" s="294"/>
      <c r="D411" s="270"/>
      <c r="E411" s="270"/>
      <c r="F411" s="270"/>
      <c r="G411" s="362"/>
      <c r="H411" s="270"/>
      <c r="I411" s="281"/>
      <c r="J411" s="275"/>
      <c r="K411" s="277"/>
      <c r="L411" s="273"/>
      <c r="M411" s="277">
        <f ca="1">IF(NOT(ISERROR(MATCH(L411,_xlfn.ANCHORARRAY(G464),0))),K466&amp;"Por favor no seleccionar los criterios de impacto",L411)</f>
        <v>0</v>
      </c>
      <c r="N411" s="275"/>
      <c r="O411" s="277"/>
      <c r="P411" s="279"/>
      <c r="Q411" s="201">
        <v>3</v>
      </c>
      <c r="R411" s="112" t="s">
        <v>827</v>
      </c>
      <c r="S411" s="201" t="str">
        <f t="shared" si="145"/>
        <v>Probabilidad</v>
      </c>
      <c r="T411" s="113" t="s">
        <v>15</v>
      </c>
      <c r="U411" s="113" t="s">
        <v>9</v>
      </c>
      <c r="V411" s="167" t="str">
        <f t="shared" si="143"/>
        <v>30%</v>
      </c>
      <c r="W411" s="113" t="s">
        <v>19</v>
      </c>
      <c r="X411" s="113" t="s">
        <v>22</v>
      </c>
      <c r="Y411" s="113" t="s">
        <v>117</v>
      </c>
      <c r="Z411" s="165">
        <f>IFERROR(IF(S411="Probabilidad",(K391-(+K409*V411)),IF(S411="Impacto",K409,"")),"")</f>
        <v>0.42</v>
      </c>
      <c r="AA411" s="166" t="str">
        <f t="shared" si="146"/>
        <v>Media</v>
      </c>
      <c r="AB411" s="167">
        <f t="shared" si="154"/>
        <v>0.42</v>
      </c>
      <c r="AC411" s="166" t="str">
        <f t="shared" si="148"/>
        <v>Moderado</v>
      </c>
      <c r="AD411" s="167">
        <f>IFERROR(IF(S411="Impacto",(O409-(+O409*V411)),IF(S409="Probabilidad",O409,"")),"")</f>
        <v>0.6</v>
      </c>
      <c r="AE411" s="168" t="str">
        <f t="shared" si="149"/>
        <v>Moderado</v>
      </c>
      <c r="AF411" s="113" t="s">
        <v>134</v>
      </c>
      <c r="AG411" s="191"/>
      <c r="AH411" s="192"/>
      <c r="AI411" s="114"/>
      <c r="AJ411" s="114"/>
      <c r="AK411" s="191"/>
      <c r="AL411" s="192"/>
      <c r="AM411" s="155"/>
      <c r="AN411" s="155"/>
      <c r="AO411" s="155"/>
      <c r="AP411" s="155"/>
      <c r="AQ411" s="155"/>
      <c r="AR411" s="155"/>
      <c r="AS411" s="155"/>
      <c r="AT411" s="155"/>
      <c r="AU411" s="155"/>
      <c r="AV411" s="155"/>
      <c r="AW411" s="155"/>
      <c r="AX411" s="155"/>
      <c r="AY411" s="155"/>
      <c r="AZ411" s="155"/>
      <c r="BA411" s="155"/>
      <c r="BB411" s="155"/>
      <c r="BC411" s="155"/>
      <c r="BD411" s="155"/>
      <c r="BE411" s="155"/>
      <c r="BF411" s="155"/>
      <c r="BG411" s="155"/>
      <c r="BH411" s="155"/>
      <c r="BI411" s="155"/>
      <c r="BJ411" s="155"/>
      <c r="BK411" s="155"/>
      <c r="BL411" s="155"/>
      <c r="BM411" s="155"/>
      <c r="BN411" s="155"/>
      <c r="BO411" s="155"/>
      <c r="BP411" s="155"/>
      <c r="BQ411" s="155"/>
      <c r="BR411" s="155"/>
    </row>
    <row r="412" spans="1:70" s="156" customFormat="1" ht="16.5" hidden="1" customHeight="1" x14ac:dyDescent="0.25">
      <c r="A412" s="266"/>
      <c r="B412" s="268"/>
      <c r="C412" s="268"/>
      <c r="D412" s="271"/>
      <c r="E412" s="271"/>
      <c r="F412" s="271"/>
      <c r="G412" s="363"/>
      <c r="H412" s="271"/>
      <c r="I412" s="266"/>
      <c r="J412" s="276"/>
      <c r="K412" s="278"/>
      <c r="L412" s="274"/>
      <c r="M412" s="278">
        <f ca="1">IF(NOT(ISERROR(MATCH(L412,_xlfn.ANCHORARRAY(G465),0))),K467&amp;"Por favor no seleccionar los criterios de impacto",L412)</f>
        <v>0</v>
      </c>
      <c r="N412" s="276"/>
      <c r="O412" s="278"/>
      <c r="P412" s="280"/>
      <c r="Q412" s="201">
        <v>4</v>
      </c>
      <c r="R412" s="112"/>
      <c r="S412" s="201" t="str">
        <f t="shared" si="145"/>
        <v/>
      </c>
      <c r="T412" s="113"/>
      <c r="U412" s="113"/>
      <c r="V412" s="167" t="str">
        <f t="shared" si="143"/>
        <v/>
      </c>
      <c r="W412" s="113"/>
      <c r="X412" s="113"/>
      <c r="Y412" s="113"/>
      <c r="Z412" s="165" t="str">
        <f t="shared" si="155"/>
        <v/>
      </c>
      <c r="AA412" s="166" t="str">
        <f t="shared" si="146"/>
        <v/>
      </c>
      <c r="AB412" s="167" t="str">
        <f t="shared" si="154"/>
        <v/>
      </c>
      <c r="AC412" s="166" t="str">
        <f t="shared" si="148"/>
        <v/>
      </c>
      <c r="AD412" s="167" t="str">
        <f t="shared" si="151"/>
        <v/>
      </c>
      <c r="AE412" s="168" t="str">
        <f t="shared" si="149"/>
        <v/>
      </c>
      <c r="AF412" s="113"/>
      <c r="AG412" s="191"/>
      <c r="AH412" s="192"/>
      <c r="AI412" s="114"/>
      <c r="AJ412" s="114"/>
      <c r="AK412" s="191"/>
      <c r="AL412" s="192"/>
      <c r="AM412" s="155"/>
      <c r="AN412" s="155"/>
      <c r="AO412" s="155"/>
      <c r="AP412" s="155"/>
      <c r="AQ412" s="155"/>
      <c r="AR412" s="155"/>
      <c r="AS412" s="155"/>
      <c r="AT412" s="155"/>
      <c r="AU412" s="155"/>
      <c r="AV412" s="155"/>
      <c r="AW412" s="155"/>
      <c r="AX412" s="155"/>
      <c r="AY412" s="155"/>
      <c r="AZ412" s="155"/>
      <c r="BA412" s="155"/>
      <c r="BB412" s="155"/>
      <c r="BC412" s="155"/>
      <c r="BD412" s="155"/>
      <c r="BE412" s="155"/>
      <c r="BF412" s="155"/>
      <c r="BG412" s="155"/>
      <c r="BH412" s="155"/>
      <c r="BI412" s="155"/>
      <c r="BJ412" s="155"/>
      <c r="BK412" s="155"/>
      <c r="BL412" s="155"/>
      <c r="BM412" s="155"/>
      <c r="BN412" s="155"/>
      <c r="BO412" s="155"/>
      <c r="BP412" s="155"/>
      <c r="BQ412" s="155"/>
      <c r="BR412" s="155"/>
    </row>
    <row r="413" spans="1:70" s="156" customFormat="1" ht="16.5" hidden="1" customHeight="1" x14ac:dyDescent="0.25">
      <c r="A413" s="266"/>
      <c r="B413" s="268"/>
      <c r="C413" s="268"/>
      <c r="D413" s="271"/>
      <c r="E413" s="271"/>
      <c r="F413" s="271"/>
      <c r="G413" s="363"/>
      <c r="H413" s="271"/>
      <c r="I413" s="266"/>
      <c r="J413" s="276"/>
      <c r="K413" s="278"/>
      <c r="L413" s="274"/>
      <c r="M413" s="278">
        <f ca="1">IF(NOT(ISERROR(MATCH(L413,_xlfn.ANCHORARRAY(G466),0))),K468&amp;"Por favor no seleccionar los criterios de impacto",L413)</f>
        <v>0</v>
      </c>
      <c r="N413" s="276"/>
      <c r="O413" s="278"/>
      <c r="P413" s="280"/>
      <c r="Q413" s="201">
        <v>5</v>
      </c>
      <c r="R413" s="112"/>
      <c r="S413" s="201" t="str">
        <f t="shared" si="145"/>
        <v/>
      </c>
      <c r="T413" s="113"/>
      <c r="U413" s="113"/>
      <c r="V413" s="167" t="str">
        <f t="shared" si="143"/>
        <v/>
      </c>
      <c r="W413" s="113"/>
      <c r="X413" s="113"/>
      <c r="Y413" s="113"/>
      <c r="Z413" s="165" t="str">
        <f t="shared" si="155"/>
        <v/>
      </c>
      <c r="AA413" s="166" t="str">
        <f t="shared" si="146"/>
        <v/>
      </c>
      <c r="AB413" s="167" t="str">
        <f t="shared" si="154"/>
        <v/>
      </c>
      <c r="AC413" s="166" t="str">
        <f t="shared" si="148"/>
        <v/>
      </c>
      <c r="AD413" s="167" t="str">
        <f t="shared" si="151"/>
        <v/>
      </c>
      <c r="AE413" s="168" t="str">
        <f t="shared" si="149"/>
        <v/>
      </c>
      <c r="AF413" s="113"/>
      <c r="AG413" s="191"/>
      <c r="AH413" s="192"/>
      <c r="AI413" s="114"/>
      <c r="AJ413" s="114"/>
      <c r="AK413" s="191"/>
      <c r="AL413" s="192"/>
      <c r="AM413" s="155"/>
      <c r="AN413" s="155"/>
      <c r="AO413" s="155"/>
      <c r="AP413" s="155"/>
      <c r="AQ413" s="155"/>
      <c r="AR413" s="155"/>
      <c r="AS413" s="155"/>
      <c r="AT413" s="155"/>
      <c r="AU413" s="155"/>
      <c r="AV413" s="155"/>
      <c r="AW413" s="155"/>
      <c r="AX413" s="155"/>
      <c r="AY413" s="155"/>
      <c r="AZ413" s="155"/>
      <c r="BA413" s="155"/>
      <c r="BB413" s="155"/>
      <c r="BC413" s="155"/>
      <c r="BD413" s="155"/>
      <c r="BE413" s="155"/>
      <c r="BF413" s="155"/>
      <c r="BG413" s="155"/>
      <c r="BH413" s="155"/>
      <c r="BI413" s="155"/>
      <c r="BJ413" s="155"/>
      <c r="BK413" s="155"/>
      <c r="BL413" s="155"/>
      <c r="BM413" s="155"/>
      <c r="BN413" s="155"/>
      <c r="BO413" s="155"/>
      <c r="BP413" s="155"/>
      <c r="BQ413" s="155"/>
      <c r="BR413" s="155"/>
    </row>
    <row r="414" spans="1:70" s="156" customFormat="1" ht="16.5" hidden="1" customHeight="1" x14ac:dyDescent="0.25">
      <c r="A414" s="266"/>
      <c r="B414" s="269"/>
      <c r="C414" s="269"/>
      <c r="D414" s="271"/>
      <c r="E414" s="271"/>
      <c r="F414" s="271"/>
      <c r="G414" s="363"/>
      <c r="H414" s="271"/>
      <c r="I414" s="266"/>
      <c r="J414" s="276"/>
      <c r="K414" s="278"/>
      <c r="L414" s="274"/>
      <c r="M414" s="278">
        <f ca="1">IF(NOT(ISERROR(MATCH(L414,_xlfn.ANCHORARRAY(G467),0))),K469&amp;"Por favor no seleccionar los criterios de impacto",L414)</f>
        <v>0</v>
      </c>
      <c r="N414" s="276"/>
      <c r="O414" s="278"/>
      <c r="P414" s="280"/>
      <c r="Q414" s="201">
        <v>6</v>
      </c>
      <c r="R414" s="112"/>
      <c r="S414" s="201" t="str">
        <f t="shared" si="145"/>
        <v/>
      </c>
      <c r="T414" s="113"/>
      <c r="U414" s="113"/>
      <c r="V414" s="167" t="str">
        <f t="shared" si="143"/>
        <v/>
      </c>
      <c r="W414" s="113"/>
      <c r="X414" s="113"/>
      <c r="Y414" s="113"/>
      <c r="Z414" s="165" t="str">
        <f t="shared" si="155"/>
        <v/>
      </c>
      <c r="AA414" s="166" t="str">
        <f t="shared" si="146"/>
        <v/>
      </c>
      <c r="AB414" s="167" t="str">
        <f t="shared" si="154"/>
        <v/>
      </c>
      <c r="AC414" s="166" t="str">
        <f t="shared" si="148"/>
        <v/>
      </c>
      <c r="AD414" s="167" t="str">
        <f t="shared" si="151"/>
        <v/>
      </c>
      <c r="AE414" s="168" t="str">
        <f t="shared" si="149"/>
        <v/>
      </c>
      <c r="AF414" s="113"/>
      <c r="AG414" s="191"/>
      <c r="AH414" s="192"/>
      <c r="AI414" s="114"/>
      <c r="AJ414" s="114"/>
      <c r="AK414" s="191"/>
      <c r="AL414" s="192"/>
      <c r="AM414" s="155"/>
      <c r="AN414" s="155"/>
      <c r="AO414" s="155"/>
      <c r="AP414" s="155"/>
      <c r="AQ414" s="155"/>
      <c r="AR414" s="155"/>
      <c r="AS414" s="155"/>
      <c r="AT414" s="155"/>
      <c r="AU414" s="155"/>
      <c r="AV414" s="155"/>
      <c r="AW414" s="155"/>
      <c r="AX414" s="155"/>
      <c r="AY414" s="155"/>
      <c r="AZ414" s="155"/>
      <c r="BA414" s="155"/>
      <c r="BB414" s="155"/>
      <c r="BC414" s="155"/>
      <c r="BD414" s="155"/>
      <c r="BE414" s="155"/>
      <c r="BF414" s="155"/>
      <c r="BG414" s="155"/>
      <c r="BH414" s="155"/>
      <c r="BI414" s="155"/>
      <c r="BJ414" s="155"/>
      <c r="BK414" s="155"/>
      <c r="BL414" s="155"/>
      <c r="BM414" s="155"/>
      <c r="BN414" s="155"/>
      <c r="BO414" s="155"/>
      <c r="BP414" s="155"/>
      <c r="BQ414" s="155"/>
      <c r="BR414" s="155"/>
    </row>
    <row r="415" spans="1:70" s="156" customFormat="1" ht="90" customHeight="1" x14ac:dyDescent="0.25">
      <c r="A415" s="266">
        <v>68</v>
      </c>
      <c r="B415" s="267" t="s">
        <v>218</v>
      </c>
      <c r="C415" s="267" t="s">
        <v>787</v>
      </c>
      <c r="D415" s="270" t="s">
        <v>131</v>
      </c>
      <c r="E415" s="270" t="s">
        <v>452</v>
      </c>
      <c r="F415" s="270" t="s">
        <v>791</v>
      </c>
      <c r="G415" s="362" t="s">
        <v>792</v>
      </c>
      <c r="H415" s="270" t="s">
        <v>790</v>
      </c>
      <c r="I415" s="281">
        <v>365</v>
      </c>
      <c r="J415" s="275" t="str">
        <f>IF(I415&lt;=0,"",IF(I415&lt;=2,"Muy Baja",IF(I415&lt;=24,"Baja",IF(I415&lt;=500,"Media",IF(I415&lt;=5000,"Alta","Muy Alta")))))</f>
        <v>Media</v>
      </c>
      <c r="K415" s="277">
        <f>IF(J415="","",IF(J415="Muy Baja",0.2,IF(J415="Baja",0.4,IF(J415="Media",0.6,IF(J415="Alta",0.8,IF(J415="Muy Alta",1,))))))</f>
        <v>0.6</v>
      </c>
      <c r="L415" s="273" t="s">
        <v>91</v>
      </c>
      <c r="M415" s="277" t="str">
        <f>IF(NOT(ISERROR(MATCH(L415,'[11]Tabla Impacto'!$B$221:$B$223,0))),'[11]Tabla Impacto'!$F$223&amp;"Por favor no seleccionar los criterios de impacto(Afectación Económica o presupuestal y Pérdida Reputacional)",L415)</f>
        <v xml:space="preserve">Entre 10 y 50 SMLMV </v>
      </c>
      <c r="N415" s="275" t="str">
        <f>+IF(OR(M415='[11]Tabla Impacto'!$C$11,M415='[11]Tabla Impacto'!$D$11),"Leve",IF(OR(M415='[11]Tabla Impacto'!$C$12,M415='[11]Tabla Impacto'!$D$12),"Menor",IF(OR(M415='[11]Tabla Impacto'!$C$13,M415='[11]Tabla Impacto'!$D$13),"Moderado",IF(OR(M415='[11]Tabla Impacto'!$C$14,M415='[11]Tabla Impacto'!$D$14),"Mayor",IF(OR(M415='[11]Tabla Impacto'!$C$15,M415='[11]Tabla Impacto'!$D$15),"Catastrófico","")))))</f>
        <v>Menor</v>
      </c>
      <c r="O415" s="277">
        <f>IF(N415="","",IF(N415="Leve",0.2,IF(N415="Menor",0.4,IF(N415="Moderado",0.6,IF(N415="Mayor",0.8,IF(N415="Catastrófico",1,))))))</f>
        <v>0.4</v>
      </c>
      <c r="P415" s="279" t="str">
        <f>IF(OR(AND(J415="Muy Baja",N415="Leve"),AND(J415="Muy Baja",N415="Menor"),AND(J415="Baja",N415="Leve")),"Bajo",IF(OR(AND(J415="Muy baja",N415="Moderado"),AND(J415="Baja",N415="Menor"),AND(J415="Baja",N415="Moderado"),AND(J415="Media",N415="Leve"),AND(J415="Media",N415="Menor"),AND(J415="Media",N415="Moderado"),AND(J415="Alta",N415="Leve"),AND(J415="Alta",N415="Menor")),"Moderado",IF(OR(AND(J415="Muy Baja",N415="Mayor"),AND(J415="Baja",N415="Mayor"),AND(J415="Media",N415="Mayor"),AND(J415="Alta",N415="Moderado"),AND(J415="Alta",N415="Mayor"),AND(J415="Muy Alta",N415="Leve"),AND(J415="Muy Alta",N415="Menor"),AND(J415="Muy Alta",N415="Moderado"),AND(J415="Muy Alta",N415="Mayor")),"Alto",IF(OR(AND(J415="Muy Baja",N415="Catastrófico"),AND(J415="Baja",N415="Catastrófico"),AND(J415="Media",N415="Catastrófico"),AND(J415="Alta",N415="Catastrófico"),AND(J415="Muy Alta",N415="Catastrófico")),"Extremo",""))))</f>
        <v>Moderado</v>
      </c>
      <c r="Q415" s="201">
        <v>1</v>
      </c>
      <c r="R415" s="112" t="s">
        <v>828</v>
      </c>
      <c r="S415" s="201" t="str">
        <f t="shared" si="145"/>
        <v>Probabilidad</v>
      </c>
      <c r="T415" s="113" t="s">
        <v>14</v>
      </c>
      <c r="U415" s="113" t="s">
        <v>9</v>
      </c>
      <c r="V415" s="167" t="str">
        <f t="shared" si="143"/>
        <v>40%</v>
      </c>
      <c r="W415" s="113" t="s">
        <v>19</v>
      </c>
      <c r="X415" s="113" t="s">
        <v>22</v>
      </c>
      <c r="Y415" s="113" t="s">
        <v>117</v>
      </c>
      <c r="Z415" s="165">
        <f>IFERROR(IF(S415="Probabilidad",(K415-(+K415*V415)),IF(S415="Impacto",K415,"")),"")</f>
        <v>0.36</v>
      </c>
      <c r="AA415" s="166" t="str">
        <f t="shared" si="146"/>
        <v>Baja</v>
      </c>
      <c r="AB415" s="167">
        <f t="shared" si="154"/>
        <v>0.36</v>
      </c>
      <c r="AC415" s="166" t="str">
        <f t="shared" si="148"/>
        <v>Menor</v>
      </c>
      <c r="AD415" s="167">
        <f t="shared" si="151"/>
        <v>0.4</v>
      </c>
      <c r="AE415" s="168" t="str">
        <f t="shared" si="149"/>
        <v>Moderado</v>
      </c>
      <c r="AF415" s="113" t="s">
        <v>31</v>
      </c>
      <c r="AG415" s="191"/>
      <c r="AH415" s="192"/>
      <c r="AI415" s="114"/>
      <c r="AJ415" s="114"/>
      <c r="AK415" s="191"/>
      <c r="AL415" s="192"/>
      <c r="AM415" s="155"/>
      <c r="AN415" s="155"/>
      <c r="AO415" s="155"/>
      <c r="AP415" s="155"/>
      <c r="AQ415" s="155"/>
      <c r="AR415" s="155"/>
      <c r="AS415" s="155"/>
      <c r="AT415" s="155"/>
      <c r="AU415" s="155"/>
      <c r="AV415" s="155"/>
      <c r="AW415" s="155"/>
      <c r="AX415" s="155"/>
      <c r="AY415" s="155"/>
      <c r="AZ415" s="155"/>
      <c r="BA415" s="155"/>
      <c r="BB415" s="155"/>
      <c r="BC415" s="155"/>
      <c r="BD415" s="155"/>
      <c r="BE415" s="155"/>
      <c r="BF415" s="155"/>
      <c r="BG415" s="155"/>
      <c r="BH415" s="155"/>
      <c r="BI415" s="155"/>
      <c r="BJ415" s="155"/>
      <c r="BK415" s="155"/>
      <c r="BL415" s="155"/>
      <c r="BM415" s="155"/>
      <c r="BN415" s="155"/>
      <c r="BO415" s="155"/>
      <c r="BP415" s="155"/>
      <c r="BQ415" s="155"/>
      <c r="BR415" s="155"/>
    </row>
    <row r="416" spans="1:70" s="156" customFormat="1" ht="90" customHeight="1" x14ac:dyDescent="0.25">
      <c r="A416" s="266"/>
      <c r="B416" s="294"/>
      <c r="C416" s="294"/>
      <c r="D416" s="270"/>
      <c r="E416" s="270"/>
      <c r="F416" s="270"/>
      <c r="G416" s="362"/>
      <c r="H416" s="270"/>
      <c r="I416" s="281"/>
      <c r="J416" s="275"/>
      <c r="K416" s="277"/>
      <c r="L416" s="273"/>
      <c r="M416" s="277">
        <f ca="1">IF(NOT(ISERROR(MATCH(L416,_xlfn.ANCHORARRAY(G469),0))),K471&amp;"Por favor no seleccionar los criterios de impacto",L416)</f>
        <v>0</v>
      </c>
      <c r="N416" s="275"/>
      <c r="O416" s="277"/>
      <c r="P416" s="279"/>
      <c r="Q416" s="201">
        <v>2</v>
      </c>
      <c r="R416" s="112" t="s">
        <v>829</v>
      </c>
      <c r="S416" s="201" t="str">
        <f t="shared" si="145"/>
        <v>Probabilidad</v>
      </c>
      <c r="T416" s="113" t="s">
        <v>14</v>
      </c>
      <c r="U416" s="113" t="s">
        <v>9</v>
      </c>
      <c r="V416" s="167" t="str">
        <f t="shared" si="143"/>
        <v>40%</v>
      </c>
      <c r="W416" s="113" t="s">
        <v>19</v>
      </c>
      <c r="X416" s="113" t="s">
        <v>22</v>
      </c>
      <c r="Y416" s="113" t="s">
        <v>117</v>
      </c>
      <c r="Z416" s="165">
        <f>IFERROR(IF(S416="Probabilidad",(K415-(+K415*V416)),IF(S416="Impacto",K415,"")),"")</f>
        <v>0.36</v>
      </c>
      <c r="AA416" s="166" t="str">
        <f t="shared" si="146"/>
        <v>Baja</v>
      </c>
      <c r="AB416" s="167">
        <f t="shared" si="154"/>
        <v>0.36</v>
      </c>
      <c r="AC416" s="166" t="str">
        <f t="shared" si="148"/>
        <v>Menor</v>
      </c>
      <c r="AD416" s="167">
        <f>IFERROR(IF(S416="Impacto",(O415-(+O415*V416)),IF(S415="Probabilidad",O415,"")),"")</f>
        <v>0.4</v>
      </c>
      <c r="AE416" s="168" t="str">
        <f t="shared" si="149"/>
        <v>Moderado</v>
      </c>
      <c r="AF416" s="113" t="s">
        <v>134</v>
      </c>
      <c r="AG416" s="191"/>
      <c r="AH416" s="192"/>
      <c r="AI416" s="114"/>
      <c r="AJ416" s="114"/>
      <c r="AK416" s="191"/>
      <c r="AL416" s="192"/>
      <c r="AM416" s="155"/>
      <c r="AN416" s="155"/>
      <c r="AO416" s="155"/>
      <c r="AP416" s="155"/>
      <c r="AQ416" s="155"/>
      <c r="AR416" s="155"/>
      <c r="AS416" s="155"/>
      <c r="AT416" s="155"/>
      <c r="AU416" s="155"/>
      <c r="AV416" s="155"/>
      <c r="AW416" s="155"/>
      <c r="AX416" s="155"/>
      <c r="AY416" s="155"/>
      <c r="AZ416" s="155"/>
      <c r="BA416" s="155"/>
      <c r="BB416" s="155"/>
      <c r="BC416" s="155"/>
      <c r="BD416" s="155"/>
      <c r="BE416" s="155"/>
      <c r="BF416" s="155"/>
      <c r="BG416" s="155"/>
      <c r="BH416" s="155"/>
      <c r="BI416" s="155"/>
      <c r="BJ416" s="155"/>
      <c r="BK416" s="155"/>
      <c r="BL416" s="155"/>
      <c r="BM416" s="155"/>
      <c r="BN416" s="155"/>
      <c r="BO416" s="155"/>
      <c r="BP416" s="155"/>
      <c r="BQ416" s="155"/>
      <c r="BR416" s="155"/>
    </row>
    <row r="417" spans="1:70" s="156" customFormat="1" ht="75" x14ac:dyDescent="0.25">
      <c r="A417" s="266"/>
      <c r="B417" s="294"/>
      <c r="C417" s="294"/>
      <c r="D417" s="270"/>
      <c r="E417" s="270"/>
      <c r="F417" s="270"/>
      <c r="G417" s="362"/>
      <c r="H417" s="270"/>
      <c r="I417" s="281"/>
      <c r="J417" s="275"/>
      <c r="K417" s="277"/>
      <c r="L417" s="273"/>
      <c r="M417" s="277">
        <f ca="1">IF(NOT(ISERROR(MATCH(L417,_xlfn.ANCHORARRAY(G470),0))),K472&amp;"Por favor no seleccionar los criterios de impacto",L417)</f>
        <v>0</v>
      </c>
      <c r="N417" s="275"/>
      <c r="O417" s="277"/>
      <c r="P417" s="279"/>
      <c r="Q417" s="201">
        <v>3</v>
      </c>
      <c r="R417" s="112" t="s">
        <v>830</v>
      </c>
      <c r="S417" s="201" t="str">
        <f t="shared" si="145"/>
        <v>Probabilidad</v>
      </c>
      <c r="T417" s="113" t="s">
        <v>14</v>
      </c>
      <c r="U417" s="113" t="s">
        <v>9</v>
      </c>
      <c r="V417" s="167" t="str">
        <f t="shared" si="143"/>
        <v>40%</v>
      </c>
      <c r="W417" s="113" t="s">
        <v>19</v>
      </c>
      <c r="X417" s="113" t="s">
        <v>22</v>
      </c>
      <c r="Y417" s="113" t="s">
        <v>117</v>
      </c>
      <c r="Z417" s="165">
        <f>IFERROR(IF(S417="Probabilidad",(K415-(+K415*V417)),IF(S417="Impacto",K415,"")),"")</f>
        <v>0.36</v>
      </c>
      <c r="AA417" s="166" t="str">
        <f t="shared" si="146"/>
        <v>Baja</v>
      </c>
      <c r="AB417" s="167">
        <f t="shared" si="154"/>
        <v>0.36</v>
      </c>
      <c r="AC417" s="166" t="str">
        <f t="shared" si="148"/>
        <v>Menor</v>
      </c>
      <c r="AD417" s="167">
        <f>IFERROR(IF(S417="Impacto",(O415-(+O415*V417)),IF(S415="Probabilidad",O415,"")),"")</f>
        <v>0.4</v>
      </c>
      <c r="AE417" s="168" t="str">
        <f t="shared" si="149"/>
        <v>Moderado</v>
      </c>
      <c r="AF417" s="113" t="s">
        <v>134</v>
      </c>
      <c r="AG417" s="191"/>
      <c r="AH417" s="192"/>
      <c r="AI417" s="114"/>
      <c r="AJ417" s="114"/>
      <c r="AK417" s="191"/>
      <c r="AL417" s="192"/>
      <c r="AM417" s="155"/>
      <c r="AN417" s="155"/>
      <c r="AO417" s="155"/>
      <c r="AP417" s="155"/>
      <c r="AQ417" s="155"/>
      <c r="AR417" s="155"/>
      <c r="AS417" s="155"/>
      <c r="AT417" s="155"/>
      <c r="AU417" s="155"/>
      <c r="AV417" s="155"/>
      <c r="AW417" s="155"/>
      <c r="AX417" s="155"/>
      <c r="AY417" s="155"/>
      <c r="AZ417" s="155"/>
      <c r="BA417" s="155"/>
      <c r="BB417" s="155"/>
      <c r="BC417" s="155"/>
      <c r="BD417" s="155"/>
      <c r="BE417" s="155"/>
      <c r="BF417" s="155"/>
      <c r="BG417" s="155"/>
      <c r="BH417" s="155"/>
      <c r="BI417" s="155"/>
      <c r="BJ417" s="155"/>
      <c r="BK417" s="155"/>
      <c r="BL417" s="155"/>
      <c r="BM417" s="155"/>
      <c r="BN417" s="155"/>
      <c r="BO417" s="155"/>
      <c r="BP417" s="155"/>
      <c r="BQ417" s="155"/>
      <c r="BR417" s="155"/>
    </row>
    <row r="418" spans="1:70" s="156" customFormat="1" ht="75" x14ac:dyDescent="0.25">
      <c r="A418" s="266"/>
      <c r="B418" s="294"/>
      <c r="C418" s="294"/>
      <c r="D418" s="270"/>
      <c r="E418" s="270"/>
      <c r="F418" s="270"/>
      <c r="G418" s="362"/>
      <c r="H418" s="270"/>
      <c r="I418" s="281"/>
      <c r="J418" s="275"/>
      <c r="K418" s="277"/>
      <c r="L418" s="273"/>
      <c r="M418" s="277">
        <f ca="1">IF(NOT(ISERROR(MATCH(L418,_xlfn.ANCHORARRAY(G471),0))),K473&amp;"Por favor no seleccionar los criterios de impacto",L418)</f>
        <v>0</v>
      </c>
      <c r="N418" s="275"/>
      <c r="O418" s="277"/>
      <c r="P418" s="279"/>
      <c r="Q418" s="201">
        <v>4</v>
      </c>
      <c r="R418" s="112" t="s">
        <v>831</v>
      </c>
      <c r="S418" s="201" t="str">
        <f t="shared" si="145"/>
        <v>Probabilidad</v>
      </c>
      <c r="T418" s="113" t="s">
        <v>14</v>
      </c>
      <c r="U418" s="113" t="s">
        <v>9</v>
      </c>
      <c r="V418" s="167" t="str">
        <f t="shared" si="143"/>
        <v>40%</v>
      </c>
      <c r="W418" s="113" t="s">
        <v>19</v>
      </c>
      <c r="X418" s="113" t="s">
        <v>22</v>
      </c>
      <c r="Y418" s="113" t="s">
        <v>117</v>
      </c>
      <c r="Z418" s="165">
        <f>IFERROR(IF(S418="Probabilidad",(K415-(+K415*V418)),IF(S418="Impacto",K415,"")),"")</f>
        <v>0.36</v>
      </c>
      <c r="AA418" s="166" t="str">
        <f t="shared" si="146"/>
        <v>Baja</v>
      </c>
      <c r="AB418" s="167">
        <f t="shared" si="154"/>
        <v>0.36</v>
      </c>
      <c r="AC418" s="166" t="str">
        <f t="shared" si="148"/>
        <v>Leve</v>
      </c>
      <c r="AD418" s="167">
        <f t="shared" ref="AD418:AD426" si="156">IFERROR(IF(S418="Impacto",(O418-(+O418*V418)),IF(S418="Probabilidad",O418,"")),"")</f>
        <v>0</v>
      </c>
      <c r="AE418" s="168" t="str">
        <f t="shared" si="149"/>
        <v>Bajo</v>
      </c>
      <c r="AF418" s="113" t="s">
        <v>134</v>
      </c>
      <c r="AG418" s="191"/>
      <c r="AH418" s="192"/>
      <c r="AI418" s="114"/>
      <c r="AJ418" s="114"/>
      <c r="AK418" s="191"/>
      <c r="AL418" s="192"/>
      <c r="AM418" s="155"/>
      <c r="AN418" s="155"/>
      <c r="AO418" s="155"/>
      <c r="AP418" s="155"/>
      <c r="AQ418" s="155"/>
      <c r="AR418" s="155"/>
      <c r="AS418" s="155"/>
      <c r="AT418" s="155"/>
      <c r="AU418" s="155"/>
      <c r="AV418" s="155"/>
      <c r="AW418" s="155"/>
      <c r="AX418" s="155"/>
      <c r="AY418" s="155"/>
      <c r="AZ418" s="155"/>
      <c r="BA418" s="155"/>
      <c r="BB418" s="155"/>
      <c r="BC418" s="155"/>
      <c r="BD418" s="155"/>
      <c r="BE418" s="155"/>
      <c r="BF418" s="155"/>
      <c r="BG418" s="155"/>
      <c r="BH418" s="155"/>
      <c r="BI418" s="155"/>
      <c r="BJ418" s="155"/>
      <c r="BK418" s="155"/>
      <c r="BL418" s="155"/>
      <c r="BM418" s="155"/>
      <c r="BN418" s="155"/>
      <c r="BO418" s="155"/>
      <c r="BP418" s="155"/>
      <c r="BQ418" s="155"/>
      <c r="BR418" s="155"/>
    </row>
    <row r="419" spans="1:70" s="156" customFormat="1" ht="16.5" hidden="1" customHeight="1" x14ac:dyDescent="0.25">
      <c r="A419" s="266"/>
      <c r="B419" s="268"/>
      <c r="C419" s="268"/>
      <c r="D419" s="271"/>
      <c r="E419" s="271"/>
      <c r="F419" s="271"/>
      <c r="G419" s="363"/>
      <c r="H419" s="271"/>
      <c r="I419" s="266"/>
      <c r="J419" s="276"/>
      <c r="K419" s="278"/>
      <c r="L419" s="274"/>
      <c r="M419" s="278">
        <f ca="1">IF(NOT(ISERROR(MATCH(L419,_xlfn.ANCHORARRAY(G472),0))),K474&amp;"Por favor no seleccionar los criterios de impacto",L419)</f>
        <v>0</v>
      </c>
      <c r="N419" s="276"/>
      <c r="O419" s="278"/>
      <c r="P419" s="280"/>
      <c r="Q419" s="201">
        <v>5</v>
      </c>
      <c r="R419" s="112"/>
      <c r="S419" s="201" t="str">
        <f t="shared" si="145"/>
        <v/>
      </c>
      <c r="T419" s="113"/>
      <c r="U419" s="113"/>
      <c r="V419" s="167" t="str">
        <f t="shared" si="143"/>
        <v/>
      </c>
      <c r="W419" s="113"/>
      <c r="X419" s="113"/>
      <c r="Y419" s="113"/>
      <c r="Z419" s="165" t="str">
        <f t="shared" ref="Z419:Z420" si="157">IFERROR(IF(S419="Probabilidad",(K419-(+K419*V419)),IF(S419="Impacto",K419,"")),"")</f>
        <v/>
      </c>
      <c r="AA419" s="166" t="str">
        <f t="shared" si="146"/>
        <v/>
      </c>
      <c r="AB419" s="167" t="str">
        <f t="shared" si="154"/>
        <v/>
      </c>
      <c r="AC419" s="166" t="str">
        <f t="shared" si="148"/>
        <v/>
      </c>
      <c r="AD419" s="167" t="str">
        <f t="shared" si="156"/>
        <v/>
      </c>
      <c r="AE419" s="168" t="str">
        <f t="shared" si="149"/>
        <v/>
      </c>
      <c r="AF419" s="113"/>
      <c r="AG419" s="191"/>
      <c r="AH419" s="192"/>
      <c r="AI419" s="114"/>
      <c r="AJ419" s="114"/>
      <c r="AK419" s="191"/>
      <c r="AL419" s="192"/>
      <c r="AM419" s="155"/>
      <c r="AN419" s="155"/>
      <c r="AO419" s="155"/>
      <c r="AP419" s="155"/>
      <c r="AQ419" s="155"/>
      <c r="AR419" s="155"/>
      <c r="AS419" s="155"/>
      <c r="AT419" s="155"/>
      <c r="AU419" s="155"/>
      <c r="AV419" s="155"/>
      <c r="AW419" s="155"/>
      <c r="AX419" s="155"/>
      <c r="AY419" s="155"/>
      <c r="AZ419" s="155"/>
      <c r="BA419" s="155"/>
      <c r="BB419" s="155"/>
      <c r="BC419" s="155"/>
      <c r="BD419" s="155"/>
      <c r="BE419" s="155"/>
      <c r="BF419" s="155"/>
      <c r="BG419" s="155"/>
      <c r="BH419" s="155"/>
      <c r="BI419" s="155"/>
      <c r="BJ419" s="155"/>
      <c r="BK419" s="155"/>
      <c r="BL419" s="155"/>
      <c r="BM419" s="155"/>
      <c r="BN419" s="155"/>
      <c r="BO419" s="155"/>
      <c r="BP419" s="155"/>
      <c r="BQ419" s="155"/>
      <c r="BR419" s="155"/>
    </row>
    <row r="420" spans="1:70" s="156" customFormat="1" ht="16.5" hidden="1" customHeight="1" x14ac:dyDescent="0.25">
      <c r="A420" s="266"/>
      <c r="B420" s="269"/>
      <c r="C420" s="269"/>
      <c r="D420" s="271"/>
      <c r="E420" s="271"/>
      <c r="F420" s="271"/>
      <c r="G420" s="363"/>
      <c r="H420" s="271"/>
      <c r="I420" s="266"/>
      <c r="J420" s="276"/>
      <c r="K420" s="278"/>
      <c r="L420" s="274"/>
      <c r="M420" s="278">
        <f ca="1">IF(NOT(ISERROR(MATCH(L420,_xlfn.ANCHORARRAY(G473),0))),K475&amp;"Por favor no seleccionar los criterios de impacto",L420)</f>
        <v>0</v>
      </c>
      <c r="N420" s="276"/>
      <c r="O420" s="278"/>
      <c r="P420" s="280"/>
      <c r="Q420" s="201">
        <v>6</v>
      </c>
      <c r="R420" s="112"/>
      <c r="S420" s="201" t="str">
        <f t="shared" si="145"/>
        <v/>
      </c>
      <c r="T420" s="113"/>
      <c r="U420" s="113"/>
      <c r="V420" s="167" t="str">
        <f t="shared" si="143"/>
        <v/>
      </c>
      <c r="W420" s="113"/>
      <c r="X420" s="113"/>
      <c r="Y420" s="113"/>
      <c r="Z420" s="165" t="str">
        <f t="shared" si="157"/>
        <v/>
      </c>
      <c r="AA420" s="166" t="str">
        <f t="shared" si="146"/>
        <v/>
      </c>
      <c r="AB420" s="167" t="str">
        <f t="shared" si="154"/>
        <v/>
      </c>
      <c r="AC420" s="166" t="str">
        <f t="shared" si="148"/>
        <v/>
      </c>
      <c r="AD420" s="167" t="str">
        <f t="shared" si="156"/>
        <v/>
      </c>
      <c r="AE420" s="168" t="str">
        <f t="shared" si="149"/>
        <v/>
      </c>
      <c r="AF420" s="113"/>
      <c r="AG420" s="191"/>
      <c r="AH420" s="192"/>
      <c r="AI420" s="114"/>
      <c r="AJ420" s="114"/>
      <c r="AK420" s="191"/>
      <c r="AL420" s="192"/>
      <c r="AM420" s="155"/>
      <c r="AN420" s="155"/>
      <c r="AO420" s="155"/>
      <c r="AP420" s="155"/>
      <c r="AQ420" s="155"/>
      <c r="AR420" s="155"/>
      <c r="AS420" s="155"/>
      <c r="AT420" s="155"/>
      <c r="AU420" s="155"/>
      <c r="AV420" s="155"/>
      <c r="AW420" s="155"/>
      <c r="AX420" s="155"/>
      <c r="AY420" s="155"/>
      <c r="AZ420" s="155"/>
      <c r="BA420" s="155"/>
      <c r="BB420" s="155"/>
      <c r="BC420" s="155"/>
      <c r="BD420" s="155"/>
      <c r="BE420" s="155"/>
      <c r="BF420" s="155"/>
      <c r="BG420" s="155"/>
      <c r="BH420" s="155"/>
      <c r="BI420" s="155"/>
      <c r="BJ420" s="155"/>
      <c r="BK420" s="155"/>
      <c r="BL420" s="155"/>
      <c r="BM420" s="155"/>
      <c r="BN420" s="155"/>
      <c r="BO420" s="155"/>
      <c r="BP420" s="155"/>
      <c r="BQ420" s="155"/>
      <c r="BR420" s="155"/>
    </row>
    <row r="421" spans="1:70" s="156" customFormat="1" ht="105" customHeight="1" x14ac:dyDescent="0.25">
      <c r="A421" s="266">
        <v>69</v>
      </c>
      <c r="B421" s="267" t="s">
        <v>218</v>
      </c>
      <c r="C421" s="267" t="s">
        <v>793</v>
      </c>
      <c r="D421" s="270" t="s">
        <v>132</v>
      </c>
      <c r="E421" s="270" t="s">
        <v>794</v>
      </c>
      <c r="F421" s="270" t="s">
        <v>795</v>
      </c>
      <c r="G421" s="362" t="s">
        <v>796</v>
      </c>
      <c r="H421" s="270" t="s">
        <v>437</v>
      </c>
      <c r="I421" s="281">
        <v>365</v>
      </c>
      <c r="J421" s="275" t="str">
        <f>IF(I421&lt;=0,"",IF(I421&lt;=2,"Muy Baja",IF(I421&lt;=24,"Baja",IF(I421&lt;=500,"Media",IF(I421&lt;=5000,"Alta","Muy Alta")))))</f>
        <v>Media</v>
      </c>
      <c r="K421" s="277">
        <f>IF(J421="","",IF(J421="Muy Baja",0.2,IF(J421="Baja",0.4,IF(J421="Media",0.6,IF(J421="Alta",0.8,IF(J421="Muy Alta",1,))))))</f>
        <v>0.6</v>
      </c>
      <c r="L421" s="273" t="s">
        <v>98</v>
      </c>
      <c r="M421" s="277" t="str">
        <f>IF(NOT(ISERROR(MATCH(L421,'[11]Tabla Impacto'!$B$221:$B$223,0))),'[11]Tabla Impacto'!$F$223&amp;"Por favor no seleccionar los criterios de impacto(Afectación Económica o presupuestal y Pérdida Reputacional)",L421)</f>
        <v>El riesgo afecta la imagen de la entidad con algunos usuarios de relevancia frente al logro de los objetivos</v>
      </c>
      <c r="N421" s="275" t="str">
        <f>+IF(OR(M421='[11]Tabla Impacto'!$C$11,M421='[11]Tabla Impacto'!$D$11),"Leve",IF(OR(M421='[11]Tabla Impacto'!$C$12,M421='[11]Tabla Impacto'!$D$12),"Menor",IF(OR(M421='[11]Tabla Impacto'!$C$13,M421='[11]Tabla Impacto'!$D$13),"Moderado",IF(OR(M421='[11]Tabla Impacto'!$C$14,M421='[11]Tabla Impacto'!$D$14),"Mayor",IF(OR(M421='[11]Tabla Impacto'!$C$15,M421='[11]Tabla Impacto'!$D$15),"Catastrófico","")))))</f>
        <v>Moderado</v>
      </c>
      <c r="O421" s="277">
        <f>IF(N421="","",IF(N421="Leve",0.2,IF(N421="Menor",0.4,IF(N421="Moderado",0.6,IF(N421="Mayor",0.8,IF(N421="Catastrófico",1,))))))</f>
        <v>0.6</v>
      </c>
      <c r="P421" s="279" t="str">
        <f>IF(OR(AND(J421="Muy Baja",N421="Leve"),AND(J421="Muy Baja",N421="Menor"),AND(J421="Baja",N421="Leve")),"Bajo",IF(OR(AND(J421="Muy baja",N421="Moderado"),AND(J421="Baja",N421="Menor"),AND(J421="Baja",N421="Moderado"),AND(J421="Media",N421="Leve"),AND(J421="Media",N421="Menor"),AND(J421="Media",N421="Moderado"),AND(J421="Alta",N421="Leve"),AND(J421="Alta",N421="Menor")),"Moderado",IF(OR(AND(J421="Muy Baja",N421="Mayor"),AND(J421="Baja",N421="Mayor"),AND(J421="Media",N421="Mayor"),AND(J421="Alta",N421="Moderado"),AND(J421="Alta",N421="Mayor"),AND(J421="Muy Alta",N421="Leve"),AND(J421="Muy Alta",N421="Menor"),AND(J421="Muy Alta",N421="Moderado"),AND(J421="Muy Alta",N421="Mayor")),"Alto",IF(OR(AND(J421="Muy Baja",N421="Catastrófico"),AND(J421="Baja",N421="Catastrófico"),AND(J421="Media",N421="Catastrófico"),AND(J421="Alta",N421="Catastrófico"),AND(J421="Muy Alta",N421="Catastrófico")),"Extremo",""))))</f>
        <v>Moderado</v>
      </c>
      <c r="Q421" s="201">
        <v>1</v>
      </c>
      <c r="R421" s="112" t="s">
        <v>832</v>
      </c>
      <c r="S421" s="201" t="str">
        <f t="shared" si="145"/>
        <v>Probabilidad</v>
      </c>
      <c r="T421" s="113" t="s">
        <v>14</v>
      </c>
      <c r="U421" s="113" t="s">
        <v>9</v>
      </c>
      <c r="V421" s="167" t="str">
        <f t="shared" si="143"/>
        <v>40%</v>
      </c>
      <c r="W421" s="113" t="s">
        <v>19</v>
      </c>
      <c r="X421" s="113" t="s">
        <v>22</v>
      </c>
      <c r="Y421" s="113" t="s">
        <v>117</v>
      </c>
      <c r="Z421" s="165">
        <f>IFERROR(IF(S421="Probabilidad",(K421-(+K421*V421)),IF(S421="Impacto",K421,"")),"")</f>
        <v>0.36</v>
      </c>
      <c r="AA421" s="166" t="str">
        <f t="shared" si="146"/>
        <v>Baja</v>
      </c>
      <c r="AB421" s="167">
        <f t="shared" si="154"/>
        <v>0.36</v>
      </c>
      <c r="AC421" s="166" t="str">
        <f t="shared" si="148"/>
        <v>Moderado</v>
      </c>
      <c r="AD421" s="167">
        <f t="shared" si="156"/>
        <v>0.6</v>
      </c>
      <c r="AE421" s="168" t="str">
        <f t="shared" si="149"/>
        <v>Moderado</v>
      </c>
      <c r="AF421" s="113" t="s">
        <v>31</v>
      </c>
      <c r="AG421" s="191"/>
      <c r="AH421" s="192"/>
      <c r="AI421" s="114"/>
      <c r="AJ421" s="114"/>
      <c r="AK421" s="191"/>
      <c r="AL421" s="192"/>
      <c r="AM421" s="155"/>
      <c r="AN421" s="155"/>
      <c r="AO421" s="155"/>
      <c r="AP421" s="155"/>
      <c r="AQ421" s="155"/>
      <c r="AR421" s="155"/>
      <c r="AS421" s="155"/>
      <c r="AT421" s="155"/>
      <c r="AU421" s="155"/>
      <c r="AV421" s="155"/>
      <c r="AW421" s="155"/>
      <c r="AX421" s="155"/>
      <c r="AY421" s="155"/>
      <c r="AZ421" s="155"/>
      <c r="BA421" s="155"/>
      <c r="BB421" s="155"/>
      <c r="BC421" s="155"/>
      <c r="BD421" s="155"/>
      <c r="BE421" s="155"/>
      <c r="BF421" s="155"/>
      <c r="BG421" s="155"/>
      <c r="BH421" s="155"/>
      <c r="BI421" s="155"/>
      <c r="BJ421" s="155"/>
      <c r="BK421" s="155"/>
      <c r="BL421" s="155"/>
      <c r="BM421" s="155"/>
      <c r="BN421" s="155"/>
      <c r="BO421" s="155"/>
      <c r="BP421" s="155"/>
      <c r="BQ421" s="155"/>
      <c r="BR421" s="155"/>
    </row>
    <row r="422" spans="1:70" s="156" customFormat="1" ht="98.25" customHeight="1" x14ac:dyDescent="0.25">
      <c r="A422" s="266"/>
      <c r="B422" s="294"/>
      <c r="C422" s="294"/>
      <c r="D422" s="270"/>
      <c r="E422" s="270"/>
      <c r="F422" s="270"/>
      <c r="G422" s="362"/>
      <c r="H422" s="270"/>
      <c r="I422" s="281"/>
      <c r="J422" s="275"/>
      <c r="K422" s="277"/>
      <c r="L422" s="273"/>
      <c r="M422" s="277">
        <f ca="1">IF(NOT(ISERROR(MATCH(L422,_xlfn.ANCHORARRAY(G475),0))),K477&amp;"Por favor no seleccionar los criterios de impacto",L422)</f>
        <v>0</v>
      </c>
      <c r="N422" s="275"/>
      <c r="O422" s="277"/>
      <c r="P422" s="279"/>
      <c r="Q422" s="201">
        <v>2</v>
      </c>
      <c r="R422" s="112" t="s">
        <v>833</v>
      </c>
      <c r="S422" s="201" t="str">
        <f t="shared" si="145"/>
        <v>Probabilidad</v>
      </c>
      <c r="T422" s="113" t="s">
        <v>14</v>
      </c>
      <c r="U422" s="113" t="s">
        <v>9</v>
      </c>
      <c r="V422" s="167" t="str">
        <f t="shared" si="143"/>
        <v>40%</v>
      </c>
      <c r="W422" s="113" t="s">
        <v>19</v>
      </c>
      <c r="X422" s="113" t="s">
        <v>22</v>
      </c>
      <c r="Y422" s="113" t="s">
        <v>117</v>
      </c>
      <c r="Z422" s="165">
        <f>IFERROR(IF(S422="Probabilidad",(K421-(+K421*V422)),IF(S422="Impacto",K421,"")),"")</f>
        <v>0.36</v>
      </c>
      <c r="AA422" s="166" t="str">
        <f t="shared" si="146"/>
        <v>Baja</v>
      </c>
      <c r="AB422" s="167">
        <f t="shared" si="154"/>
        <v>0.36</v>
      </c>
      <c r="AC422" s="166" t="str">
        <f t="shared" si="148"/>
        <v>Leve</v>
      </c>
      <c r="AD422" s="167">
        <f t="shared" si="156"/>
        <v>0</v>
      </c>
      <c r="AE422" s="168" t="str">
        <f t="shared" si="149"/>
        <v>Bajo</v>
      </c>
      <c r="AF422" s="113" t="s">
        <v>134</v>
      </c>
      <c r="AG422" s="191"/>
      <c r="AH422" s="192"/>
      <c r="AI422" s="114"/>
      <c r="AJ422" s="114"/>
      <c r="AK422" s="191"/>
      <c r="AL422" s="192"/>
      <c r="AM422" s="155"/>
      <c r="AN422" s="155"/>
      <c r="AO422" s="155"/>
      <c r="AP422" s="155"/>
      <c r="AQ422" s="155"/>
      <c r="AR422" s="155"/>
      <c r="AS422" s="155"/>
      <c r="AT422" s="155"/>
      <c r="AU422" s="155"/>
      <c r="AV422" s="155"/>
      <c r="AW422" s="155"/>
      <c r="AX422" s="155"/>
      <c r="AY422" s="155"/>
      <c r="AZ422" s="155"/>
      <c r="BA422" s="155"/>
      <c r="BB422" s="155"/>
      <c r="BC422" s="155"/>
      <c r="BD422" s="155"/>
      <c r="BE422" s="155"/>
      <c r="BF422" s="155"/>
      <c r="BG422" s="155"/>
      <c r="BH422" s="155"/>
      <c r="BI422" s="155"/>
      <c r="BJ422" s="155"/>
      <c r="BK422" s="155"/>
      <c r="BL422" s="155"/>
      <c r="BM422" s="155"/>
      <c r="BN422" s="155"/>
      <c r="BO422" s="155"/>
      <c r="BP422" s="155"/>
      <c r="BQ422" s="155"/>
      <c r="BR422" s="155"/>
    </row>
    <row r="423" spans="1:70" s="156" customFormat="1" ht="16.5" hidden="1" customHeight="1" x14ac:dyDescent="0.25">
      <c r="A423" s="266"/>
      <c r="B423" s="268"/>
      <c r="C423" s="268"/>
      <c r="D423" s="271"/>
      <c r="E423" s="271"/>
      <c r="F423" s="271"/>
      <c r="G423" s="363"/>
      <c r="H423" s="271"/>
      <c r="I423" s="266"/>
      <c r="J423" s="276"/>
      <c r="K423" s="278"/>
      <c r="L423" s="274"/>
      <c r="M423" s="278">
        <f ca="1">IF(NOT(ISERROR(MATCH(L423,_xlfn.ANCHORARRAY(G476),0))),K478&amp;"Por favor no seleccionar los criterios de impacto",L423)</f>
        <v>0</v>
      </c>
      <c r="N423" s="276"/>
      <c r="O423" s="278"/>
      <c r="P423" s="280"/>
      <c r="Q423" s="201">
        <v>3</v>
      </c>
      <c r="R423" s="112"/>
      <c r="S423" s="201" t="str">
        <f t="shared" si="145"/>
        <v/>
      </c>
      <c r="T423" s="113"/>
      <c r="U423" s="113"/>
      <c r="V423" s="167" t="str">
        <f t="shared" si="143"/>
        <v/>
      </c>
      <c r="W423" s="113"/>
      <c r="X423" s="113"/>
      <c r="Y423" s="113"/>
      <c r="Z423" s="165" t="str">
        <f t="shared" ref="Z423:Z426" si="158">IFERROR(IF(S423="Probabilidad",(K418-(+K418*V423)),IF(S423="Impacto",K418,"")),"")</f>
        <v/>
      </c>
      <c r="AA423" s="166" t="str">
        <f t="shared" si="146"/>
        <v/>
      </c>
      <c r="AB423" s="167" t="str">
        <f t="shared" si="154"/>
        <v/>
      </c>
      <c r="AC423" s="166" t="str">
        <f t="shared" si="148"/>
        <v/>
      </c>
      <c r="AD423" s="167" t="str">
        <f t="shared" si="156"/>
        <v/>
      </c>
      <c r="AE423" s="168" t="str">
        <f t="shared" si="149"/>
        <v/>
      </c>
      <c r="AF423" s="113"/>
      <c r="AG423" s="191"/>
      <c r="AH423" s="192"/>
      <c r="AI423" s="114"/>
      <c r="AJ423" s="114"/>
      <c r="AK423" s="191"/>
      <c r="AL423" s="192"/>
      <c r="AM423" s="155"/>
      <c r="AN423" s="155"/>
      <c r="AO423" s="155"/>
      <c r="AP423" s="155"/>
      <c r="AQ423" s="155"/>
      <c r="AR423" s="155"/>
      <c r="AS423" s="155"/>
      <c r="AT423" s="155"/>
      <c r="AU423" s="155"/>
      <c r="AV423" s="155"/>
      <c r="AW423" s="155"/>
      <c r="AX423" s="155"/>
      <c r="AY423" s="155"/>
      <c r="AZ423" s="155"/>
      <c r="BA423" s="155"/>
      <c r="BB423" s="155"/>
      <c r="BC423" s="155"/>
      <c r="BD423" s="155"/>
      <c r="BE423" s="155"/>
      <c r="BF423" s="155"/>
      <c r="BG423" s="155"/>
      <c r="BH423" s="155"/>
      <c r="BI423" s="155"/>
      <c r="BJ423" s="155"/>
      <c r="BK423" s="155"/>
      <c r="BL423" s="155"/>
      <c r="BM423" s="155"/>
      <c r="BN423" s="155"/>
      <c r="BO423" s="155"/>
      <c r="BP423" s="155"/>
      <c r="BQ423" s="155"/>
      <c r="BR423" s="155"/>
    </row>
    <row r="424" spans="1:70" s="156" customFormat="1" ht="16.5" hidden="1" customHeight="1" x14ac:dyDescent="0.25">
      <c r="A424" s="266"/>
      <c r="B424" s="268"/>
      <c r="C424" s="268"/>
      <c r="D424" s="271"/>
      <c r="E424" s="271"/>
      <c r="F424" s="271"/>
      <c r="G424" s="363"/>
      <c r="H424" s="271"/>
      <c r="I424" s="266"/>
      <c r="J424" s="276"/>
      <c r="K424" s="278"/>
      <c r="L424" s="274"/>
      <c r="M424" s="278">
        <f ca="1">IF(NOT(ISERROR(MATCH(L424,_xlfn.ANCHORARRAY(G477),0))),K479&amp;"Por favor no seleccionar los criterios de impacto",L424)</f>
        <v>0</v>
      </c>
      <c r="N424" s="276"/>
      <c r="O424" s="278"/>
      <c r="P424" s="280"/>
      <c r="Q424" s="201">
        <v>4</v>
      </c>
      <c r="R424" s="112"/>
      <c r="S424" s="201" t="str">
        <f t="shared" si="145"/>
        <v/>
      </c>
      <c r="T424" s="113"/>
      <c r="U424" s="113"/>
      <c r="V424" s="167" t="str">
        <f t="shared" si="143"/>
        <v/>
      </c>
      <c r="W424" s="113"/>
      <c r="X424" s="113"/>
      <c r="Y424" s="113"/>
      <c r="Z424" s="165" t="str">
        <f t="shared" si="158"/>
        <v/>
      </c>
      <c r="AA424" s="166" t="str">
        <f t="shared" si="146"/>
        <v/>
      </c>
      <c r="AB424" s="167" t="str">
        <f t="shared" si="154"/>
        <v/>
      </c>
      <c r="AC424" s="166" t="str">
        <f t="shared" si="148"/>
        <v/>
      </c>
      <c r="AD424" s="167" t="str">
        <f t="shared" si="156"/>
        <v/>
      </c>
      <c r="AE424" s="168" t="str">
        <f t="shared" si="149"/>
        <v/>
      </c>
      <c r="AF424" s="113"/>
      <c r="AG424" s="191"/>
      <c r="AH424" s="192"/>
      <c r="AI424" s="114"/>
      <c r="AJ424" s="114"/>
      <c r="AK424" s="191"/>
      <c r="AL424" s="192"/>
      <c r="AM424" s="155"/>
      <c r="AN424" s="155"/>
      <c r="AO424" s="155"/>
      <c r="AP424" s="155"/>
      <c r="AQ424" s="155"/>
      <c r="AR424" s="155"/>
      <c r="AS424" s="155"/>
      <c r="AT424" s="155"/>
      <c r="AU424" s="155"/>
      <c r="AV424" s="155"/>
      <c r="AW424" s="155"/>
      <c r="AX424" s="155"/>
      <c r="AY424" s="155"/>
      <c r="AZ424" s="155"/>
      <c r="BA424" s="155"/>
      <c r="BB424" s="155"/>
      <c r="BC424" s="155"/>
      <c r="BD424" s="155"/>
      <c r="BE424" s="155"/>
      <c r="BF424" s="155"/>
      <c r="BG424" s="155"/>
      <c r="BH424" s="155"/>
      <c r="BI424" s="155"/>
      <c r="BJ424" s="155"/>
      <c r="BK424" s="155"/>
      <c r="BL424" s="155"/>
      <c r="BM424" s="155"/>
      <c r="BN424" s="155"/>
      <c r="BO424" s="155"/>
      <c r="BP424" s="155"/>
      <c r="BQ424" s="155"/>
      <c r="BR424" s="155"/>
    </row>
    <row r="425" spans="1:70" s="156" customFormat="1" ht="16.5" hidden="1" customHeight="1" x14ac:dyDescent="0.25">
      <c r="A425" s="266"/>
      <c r="B425" s="268"/>
      <c r="C425" s="268"/>
      <c r="D425" s="271"/>
      <c r="E425" s="271"/>
      <c r="F425" s="271"/>
      <c r="G425" s="363"/>
      <c r="H425" s="271"/>
      <c r="I425" s="266"/>
      <c r="J425" s="276"/>
      <c r="K425" s="278"/>
      <c r="L425" s="274"/>
      <c r="M425" s="278">
        <f ca="1">IF(NOT(ISERROR(MATCH(L425,_xlfn.ANCHORARRAY(G478),0))),K480&amp;"Por favor no seleccionar los criterios de impacto",L425)</f>
        <v>0</v>
      </c>
      <c r="N425" s="276"/>
      <c r="O425" s="278"/>
      <c r="P425" s="280"/>
      <c r="Q425" s="201">
        <v>5</v>
      </c>
      <c r="R425" s="112"/>
      <c r="S425" s="201" t="str">
        <f t="shared" si="145"/>
        <v/>
      </c>
      <c r="T425" s="113"/>
      <c r="U425" s="113"/>
      <c r="V425" s="167" t="str">
        <f t="shared" si="143"/>
        <v/>
      </c>
      <c r="W425" s="113"/>
      <c r="X425" s="113"/>
      <c r="Y425" s="113"/>
      <c r="Z425" s="165" t="str">
        <f t="shared" si="158"/>
        <v/>
      </c>
      <c r="AA425" s="166" t="str">
        <f t="shared" si="146"/>
        <v/>
      </c>
      <c r="AB425" s="167" t="str">
        <f t="shared" si="154"/>
        <v/>
      </c>
      <c r="AC425" s="166" t="str">
        <f t="shared" si="148"/>
        <v/>
      </c>
      <c r="AD425" s="167" t="str">
        <f t="shared" si="156"/>
        <v/>
      </c>
      <c r="AE425" s="168" t="str">
        <f t="shared" si="149"/>
        <v/>
      </c>
      <c r="AF425" s="113"/>
      <c r="AG425" s="191"/>
      <c r="AH425" s="192"/>
      <c r="AI425" s="114"/>
      <c r="AJ425" s="114"/>
      <c r="AK425" s="191"/>
      <c r="AL425" s="192"/>
      <c r="AM425" s="155"/>
      <c r="AN425" s="155"/>
      <c r="AO425" s="155"/>
      <c r="AP425" s="155"/>
      <c r="AQ425" s="155"/>
      <c r="AR425" s="155"/>
      <c r="AS425" s="155"/>
      <c r="AT425" s="155"/>
      <c r="AU425" s="155"/>
      <c r="AV425" s="155"/>
      <c r="AW425" s="155"/>
      <c r="AX425" s="155"/>
      <c r="AY425" s="155"/>
      <c r="AZ425" s="155"/>
      <c r="BA425" s="155"/>
      <c r="BB425" s="155"/>
      <c r="BC425" s="155"/>
      <c r="BD425" s="155"/>
      <c r="BE425" s="155"/>
      <c r="BF425" s="155"/>
      <c r="BG425" s="155"/>
      <c r="BH425" s="155"/>
      <c r="BI425" s="155"/>
      <c r="BJ425" s="155"/>
      <c r="BK425" s="155"/>
      <c r="BL425" s="155"/>
      <c r="BM425" s="155"/>
      <c r="BN425" s="155"/>
      <c r="BO425" s="155"/>
      <c r="BP425" s="155"/>
      <c r="BQ425" s="155"/>
      <c r="BR425" s="155"/>
    </row>
    <row r="426" spans="1:70" s="156" customFormat="1" ht="16.5" hidden="1" customHeight="1" x14ac:dyDescent="0.25">
      <c r="A426" s="266"/>
      <c r="B426" s="269"/>
      <c r="C426" s="269"/>
      <c r="D426" s="271"/>
      <c r="E426" s="271"/>
      <c r="F426" s="271"/>
      <c r="G426" s="363"/>
      <c r="H426" s="271"/>
      <c r="I426" s="266"/>
      <c r="J426" s="276"/>
      <c r="K426" s="278"/>
      <c r="L426" s="274"/>
      <c r="M426" s="278">
        <f ca="1">IF(NOT(ISERROR(MATCH(L426,_xlfn.ANCHORARRAY(G479),0))),K481&amp;"Por favor no seleccionar los criterios de impacto",L426)</f>
        <v>0</v>
      </c>
      <c r="N426" s="276"/>
      <c r="O426" s="278"/>
      <c r="P426" s="280"/>
      <c r="Q426" s="201">
        <v>6</v>
      </c>
      <c r="R426" s="112"/>
      <c r="S426" s="201" t="str">
        <f t="shared" si="145"/>
        <v/>
      </c>
      <c r="T426" s="113"/>
      <c r="U426" s="113"/>
      <c r="V426" s="167" t="str">
        <f t="shared" si="143"/>
        <v/>
      </c>
      <c r="W426" s="113"/>
      <c r="X426" s="113"/>
      <c r="Y426" s="113"/>
      <c r="Z426" s="165" t="str">
        <f t="shared" si="158"/>
        <v/>
      </c>
      <c r="AA426" s="166" t="str">
        <f t="shared" si="146"/>
        <v/>
      </c>
      <c r="AB426" s="167" t="str">
        <f t="shared" si="154"/>
        <v/>
      </c>
      <c r="AC426" s="166" t="str">
        <f t="shared" si="148"/>
        <v/>
      </c>
      <c r="AD426" s="167" t="str">
        <f t="shared" si="156"/>
        <v/>
      </c>
      <c r="AE426" s="168" t="str">
        <f t="shared" si="149"/>
        <v/>
      </c>
      <c r="AF426" s="113"/>
      <c r="AG426" s="191"/>
      <c r="AH426" s="192"/>
      <c r="AI426" s="114"/>
      <c r="AJ426" s="114"/>
      <c r="AK426" s="191"/>
      <c r="AL426" s="192"/>
      <c r="AM426" s="155"/>
      <c r="AN426" s="155"/>
      <c r="AO426" s="155"/>
      <c r="AP426" s="155"/>
      <c r="AQ426" s="155"/>
      <c r="AR426" s="155"/>
      <c r="AS426" s="155"/>
      <c r="AT426" s="155"/>
      <c r="AU426" s="155"/>
      <c r="AV426" s="155"/>
      <c r="AW426" s="155"/>
      <c r="AX426" s="155"/>
      <c r="AY426" s="155"/>
      <c r="AZ426" s="155"/>
      <c r="BA426" s="155"/>
      <c r="BB426" s="155"/>
      <c r="BC426" s="155"/>
      <c r="BD426" s="155"/>
      <c r="BE426" s="155"/>
      <c r="BF426" s="155"/>
      <c r="BG426" s="155"/>
      <c r="BH426" s="155"/>
      <c r="BI426" s="155"/>
      <c r="BJ426" s="155"/>
      <c r="BK426" s="155"/>
      <c r="BL426" s="155"/>
      <c r="BM426" s="155"/>
      <c r="BN426" s="155"/>
      <c r="BO426" s="155"/>
      <c r="BP426" s="155"/>
      <c r="BQ426" s="155"/>
      <c r="BR426" s="155"/>
    </row>
    <row r="427" spans="1:70" s="156" customFormat="1" ht="75" x14ac:dyDescent="0.25">
      <c r="A427" s="266">
        <v>70</v>
      </c>
      <c r="B427" s="267" t="s">
        <v>219</v>
      </c>
      <c r="C427" s="267" t="s">
        <v>834</v>
      </c>
      <c r="D427" s="270" t="s">
        <v>132</v>
      </c>
      <c r="E427" s="270" t="s">
        <v>835</v>
      </c>
      <c r="F427" s="270" t="s">
        <v>836</v>
      </c>
      <c r="G427" s="362" t="s">
        <v>837</v>
      </c>
      <c r="H427" s="364" t="s">
        <v>123</v>
      </c>
      <c r="I427" s="281">
        <v>52</v>
      </c>
      <c r="J427" s="275" t="str">
        <f>IF(I427&lt;=0,"",IF(I427&lt;=2,"Muy Baja",IF(I427&lt;=24,"Baja",IF(I427&lt;=500,"Media",IF(I427&lt;=5000,"Alta","Muy Alta")))))</f>
        <v>Media</v>
      </c>
      <c r="K427" s="277">
        <f>IF(J427="","",IF(J427="Muy Baja",0.2,IF(J427="Baja",0.4,IF(J427="Media",0.6,IF(J427="Alta",0.8,IF(J427="Muy Alta",1,))))))</f>
        <v>0.6</v>
      </c>
      <c r="L427" s="273" t="s">
        <v>93</v>
      </c>
      <c r="M427" s="277" t="str">
        <f>IF(NOT(ISERROR(MATCH(L427,'[12]Tabla Impacto'!$B$221:$B$223,0))),'[12]Tabla Impacto'!$F$223&amp;"Por favor no seleccionar los criterios de impacto(Afectación Económica o presupuestal y Pérdida Reputacional)",L427)</f>
        <v xml:space="preserve">Entre 100 y 500 SMLMV </v>
      </c>
      <c r="N427" s="275" t="str">
        <f>+IF(OR(M427='[12]Tabla Impacto'!$C$11,M427='[12]Tabla Impacto'!$D$11),"Leve",IF(OR(M427='[12]Tabla Impacto'!$C$12,M427='[12]Tabla Impacto'!$D$12),"Menor",IF(OR(M427='[12]Tabla Impacto'!$C$13,M427='[12]Tabla Impacto'!$D$13),"Moderado",IF(OR(M427='[12]Tabla Impacto'!$C$14,M427='[12]Tabla Impacto'!$D$14),"Mayor",IF(OR(M427='[12]Tabla Impacto'!$C$15,M427='[12]Tabla Impacto'!$D$15),"Catastrófico","")))))</f>
        <v>Mayor</v>
      </c>
      <c r="O427" s="277">
        <f>IF(N427="","",IF(N427="Leve",0.2,IF(N427="Menor",0.4,IF(N427="Moderado",0.6,IF(N427="Mayor",0.8,IF(N427="Catastrófico",1,))))))</f>
        <v>0.8</v>
      </c>
      <c r="P427" s="279" t="str">
        <f>IF(OR(AND(J427="Muy Baja",N427="Leve"),AND(J427="Muy Baja",N427="Menor"),AND(J427="Baja",N427="Leve")),"Bajo",IF(OR(AND(J427="Muy baja",N427="Moderado"),AND(J427="Baja",N427="Menor"),AND(J427="Baja",N427="Moderado"),AND(J427="Media",N427="Leve"),AND(J427="Media",N427="Menor"),AND(J427="Media",N427="Moderado"),AND(J427="Alta",N427="Leve"),AND(J427="Alta",N427="Menor")),"Moderado",IF(OR(AND(J427="Muy Baja",N427="Mayor"),AND(J427="Baja",N427="Mayor"),AND(J427="Media",N427="Mayor"),AND(J427="Alta",N427="Moderado"),AND(J427="Alta",N427="Mayor"),AND(J427="Muy Alta",N427="Leve"),AND(J427="Muy Alta",N427="Menor"),AND(J427="Muy Alta",N427="Moderado"),AND(J427="Muy Alta",N427="Mayor")),"Alto",IF(OR(AND(J427="Muy Baja",N427="Catastrófico"),AND(J427="Baja",N427="Catastrófico"),AND(J427="Media",N427="Catastrófico"),AND(J427="Alta",N427="Catastrófico"),AND(J427="Muy Alta",N427="Catastrófico")),"Extremo",""))))</f>
        <v>Alto</v>
      </c>
      <c r="Q427" s="204">
        <v>1</v>
      </c>
      <c r="R427" s="112" t="s">
        <v>844</v>
      </c>
      <c r="S427" s="204" t="str">
        <f>IF(OR(T427="Preventivo",T427="Detectivo"),"Probabilidad",IF(T427="Correctivo","Impacto",""))</f>
        <v>Probabilidad</v>
      </c>
      <c r="T427" s="113" t="s">
        <v>14</v>
      </c>
      <c r="U427" s="113" t="s">
        <v>9</v>
      </c>
      <c r="V427" s="167" t="str">
        <f t="shared" si="143"/>
        <v>40%</v>
      </c>
      <c r="W427" s="113" t="s">
        <v>19</v>
      </c>
      <c r="X427" s="113" t="s">
        <v>22</v>
      </c>
      <c r="Y427" s="113" t="s">
        <v>117</v>
      </c>
      <c r="Z427" s="165">
        <f>IFERROR(IF(S427="Probabilidad",(K427-(+K427*V427)),IF(S427="Impacto",K427,"")),"")</f>
        <v>0.36</v>
      </c>
      <c r="AA427" s="166" t="str">
        <f>IFERROR(IF(Z427="","",IF(Z427&lt;=0.2,"Muy Baja",IF(Z427&lt;=0.4,"Baja",IF(Z427&lt;=0.6,"Media",IF(Z427&lt;=0.8,"Alta","Muy Alta"))))),"")</f>
        <v>Baja</v>
      </c>
      <c r="AB427" s="167">
        <f>+Z427</f>
        <v>0.36</v>
      </c>
      <c r="AC427" s="166" t="str">
        <f>IFERROR(IF(AD427="","",IF(AD427&lt;=0.2,"Leve",IF(AD427&lt;=0.4,"Menor",IF(AD427&lt;=0.6,"Moderado",IF(AD427&lt;=0.8,"Mayor","Catastrófico"))))),"")</f>
        <v>Mayor</v>
      </c>
      <c r="AD427" s="167">
        <f>IFERROR(IF(S427="Impacto",(O427-(+O427*V427)),IF(S427="Probabilidad",O427,"")),"")</f>
        <v>0.8</v>
      </c>
      <c r="AE427" s="168" t="str">
        <f>IFERROR(IF(OR(AND(AA427="Muy Baja",AC427="Leve"),AND(AA427="Muy Baja",AC427="Menor"),AND(AA427="Baja",AC427="Leve")),"Bajo",IF(OR(AND(AA427="Muy baja",AC427="Moderado"),AND(AA427="Baja",AC427="Menor"),AND(AA427="Baja",AC427="Moderado"),AND(AA427="Media",AC427="Leve"),AND(AA427="Media",AC427="Menor"),AND(AA427="Media",AC427="Moderado"),AND(AA427="Alta",AC427="Leve"),AND(AA427="Alta",AC427="Menor")),"Moderado",IF(OR(AND(AA427="Muy Baja",AC427="Mayor"),AND(AA427="Baja",AC427="Mayor"),AND(AA427="Media",AC427="Mayor"),AND(AA427="Alta",AC427="Moderado"),AND(AA427="Alta",AC427="Mayor"),AND(AA427="Muy Alta",AC427="Leve"),AND(AA427="Muy Alta",AC427="Menor"),AND(AA427="Muy Alta",AC427="Moderado"),AND(AA427="Muy Alta",AC427="Mayor")),"Alto",IF(OR(AND(AA427="Muy Baja",AC427="Catastrófico"),AND(AA427="Baja",AC427="Catastrófico"),AND(AA427="Media",AC427="Catastrófico"),AND(AA427="Alta",AC427="Catastrófico"),AND(AA427="Muy Alta",AC427="Catastrófico")),"Extremo","")))),"")</f>
        <v>Alto</v>
      </c>
      <c r="AF427" s="113" t="s">
        <v>134</v>
      </c>
      <c r="AG427" s="191"/>
      <c r="AH427" s="192"/>
      <c r="AI427" s="114"/>
      <c r="AJ427" s="114"/>
      <c r="AK427" s="191"/>
      <c r="AL427" s="192"/>
      <c r="AM427" s="155"/>
      <c r="AN427" s="155"/>
      <c r="AO427" s="155"/>
      <c r="AP427" s="155"/>
      <c r="AQ427" s="155"/>
      <c r="AR427" s="155"/>
      <c r="AS427" s="155"/>
      <c r="AT427" s="155"/>
      <c r="AU427" s="155"/>
      <c r="AV427" s="155"/>
      <c r="AW427" s="155"/>
      <c r="AX427" s="155"/>
      <c r="AY427" s="155"/>
      <c r="AZ427" s="155"/>
      <c r="BA427" s="155"/>
      <c r="BB427" s="155"/>
      <c r="BC427" s="155"/>
      <c r="BD427" s="155"/>
      <c r="BE427" s="155"/>
      <c r="BF427" s="155"/>
      <c r="BG427" s="155"/>
      <c r="BH427" s="155"/>
      <c r="BI427" s="155"/>
      <c r="BJ427" s="155"/>
      <c r="BK427" s="155"/>
      <c r="BL427" s="155"/>
      <c r="BM427" s="155"/>
      <c r="BN427" s="155"/>
      <c r="BO427" s="155"/>
      <c r="BP427" s="155"/>
      <c r="BQ427" s="155"/>
      <c r="BR427" s="155"/>
    </row>
    <row r="428" spans="1:70" s="156" customFormat="1" ht="75" x14ac:dyDescent="0.25">
      <c r="A428" s="266"/>
      <c r="B428" s="294"/>
      <c r="C428" s="294"/>
      <c r="D428" s="270"/>
      <c r="E428" s="270"/>
      <c r="F428" s="270"/>
      <c r="G428" s="362"/>
      <c r="H428" s="367"/>
      <c r="I428" s="281"/>
      <c r="J428" s="275"/>
      <c r="K428" s="277"/>
      <c r="L428" s="273"/>
      <c r="M428" s="277">
        <f ca="1">IF(NOT(ISERROR(MATCH(L428,_xlfn.ANCHORARRAY(G439),0))),K441&amp;"Por favor no seleccionar los criterios de impacto",L428)</f>
        <v>0</v>
      </c>
      <c r="N428" s="275"/>
      <c r="O428" s="277"/>
      <c r="P428" s="279"/>
      <c r="Q428" s="204">
        <v>2</v>
      </c>
      <c r="R428" s="112" t="s">
        <v>845</v>
      </c>
      <c r="S428" s="204" t="str">
        <f t="shared" ref="S428:S444" si="159">IF(OR(T428="Preventivo",T428="Detectivo"),"Probabilidad",IF(T428="Correctivo","Impacto",""))</f>
        <v>Probabilidad</v>
      </c>
      <c r="T428" s="113" t="s">
        <v>14</v>
      </c>
      <c r="U428" s="113" t="s">
        <v>9</v>
      </c>
      <c r="V428" s="167" t="str">
        <f t="shared" si="143"/>
        <v>40%</v>
      </c>
      <c r="W428" s="113" t="s">
        <v>19</v>
      </c>
      <c r="X428" s="113" t="s">
        <v>22</v>
      </c>
      <c r="Y428" s="113" t="s">
        <v>117</v>
      </c>
      <c r="Z428" s="165">
        <f>IFERROR(IF(S428="Probabilidad",(K427-(+K427*V428)),IF(S428="Impacto",K427,"")),"")</f>
        <v>0.36</v>
      </c>
      <c r="AA428" s="166" t="str">
        <f t="shared" ref="AA428:AA444" si="160">IFERROR(IF(Z428="","",IF(Z428&lt;=0.2,"Muy Baja",IF(Z428&lt;=0.4,"Baja",IF(Z428&lt;=0.6,"Media",IF(Z428&lt;=0.8,"Alta","Muy Alta"))))),"")</f>
        <v>Baja</v>
      </c>
      <c r="AB428" s="167">
        <f t="shared" ref="AB428:AB444" si="161">+Z428</f>
        <v>0.36</v>
      </c>
      <c r="AC428" s="166" t="str">
        <f t="shared" ref="AC428:AC444" si="162">IFERROR(IF(AD428="","",IF(AD428&lt;=0.2,"Leve",IF(AD428&lt;=0.4,"Menor",IF(AD428&lt;=0.6,"Moderado",IF(AD428&lt;=0.8,"Mayor","Catastrófico"))))),"")</f>
        <v>Mayor</v>
      </c>
      <c r="AD428" s="167">
        <f>IFERROR(IF(S428="Impacto",(O427-(+O427*V428)),IF(S428="Probabilidad",O427,"")),"")</f>
        <v>0.8</v>
      </c>
      <c r="AE428" s="168" t="str">
        <f t="shared" ref="AE428:AE444" si="163">IFERROR(IF(OR(AND(AA428="Muy Baja",AC428="Leve"),AND(AA428="Muy Baja",AC428="Menor"),AND(AA428="Baja",AC428="Leve")),"Bajo",IF(OR(AND(AA428="Muy baja",AC428="Moderado"),AND(AA428="Baja",AC428="Menor"),AND(AA428="Baja",AC428="Moderado"),AND(AA428="Media",AC428="Leve"),AND(AA428="Media",AC428="Menor"),AND(AA428="Media",AC428="Moderado"),AND(AA428="Alta",AC428="Leve"),AND(AA428="Alta",AC428="Menor")),"Moderado",IF(OR(AND(AA428="Muy Baja",AC428="Mayor"),AND(AA428="Baja",AC428="Mayor"),AND(AA428="Media",AC428="Mayor"),AND(AA428="Alta",AC428="Moderado"),AND(AA428="Alta",AC428="Mayor"),AND(AA428="Muy Alta",AC428="Leve"),AND(AA428="Muy Alta",AC428="Menor"),AND(AA428="Muy Alta",AC428="Moderado"),AND(AA428="Muy Alta",AC428="Mayor")),"Alto",IF(OR(AND(AA428="Muy Baja",AC428="Catastrófico"),AND(AA428="Baja",AC428="Catastrófico"),AND(AA428="Media",AC428="Catastrófico"),AND(AA428="Alta",AC428="Catastrófico"),AND(AA428="Muy Alta",AC428="Catastrófico")),"Extremo","")))),"")</f>
        <v>Alto</v>
      </c>
      <c r="AF428" s="113" t="s">
        <v>134</v>
      </c>
      <c r="AG428" s="191"/>
      <c r="AH428" s="192"/>
      <c r="AI428" s="114"/>
      <c r="AJ428" s="114"/>
      <c r="AK428" s="191"/>
      <c r="AL428" s="192"/>
      <c r="AM428" s="155"/>
      <c r="AN428" s="155"/>
      <c r="AO428" s="155"/>
      <c r="AP428" s="155"/>
      <c r="AQ428" s="155"/>
      <c r="AR428" s="155"/>
      <c r="AS428" s="155"/>
      <c r="AT428" s="155"/>
      <c r="AU428" s="155"/>
      <c r="AV428" s="155"/>
      <c r="AW428" s="155"/>
      <c r="AX428" s="155"/>
      <c r="AY428" s="155"/>
      <c r="AZ428" s="155"/>
      <c r="BA428" s="155"/>
      <c r="BB428" s="155"/>
      <c r="BC428" s="155"/>
      <c r="BD428" s="155"/>
      <c r="BE428" s="155"/>
      <c r="BF428" s="155"/>
      <c r="BG428" s="155"/>
      <c r="BH428" s="155"/>
      <c r="BI428" s="155"/>
      <c r="BJ428" s="155"/>
      <c r="BK428" s="155"/>
      <c r="BL428" s="155"/>
      <c r="BM428" s="155"/>
      <c r="BN428" s="155"/>
      <c r="BO428" s="155"/>
      <c r="BP428" s="155"/>
      <c r="BQ428" s="155"/>
      <c r="BR428" s="155"/>
    </row>
    <row r="429" spans="1:70" s="156" customFormat="1" ht="75" x14ac:dyDescent="0.25">
      <c r="A429" s="266"/>
      <c r="B429" s="294"/>
      <c r="C429" s="294"/>
      <c r="D429" s="270"/>
      <c r="E429" s="270"/>
      <c r="F429" s="270"/>
      <c r="G429" s="362"/>
      <c r="H429" s="367"/>
      <c r="I429" s="281"/>
      <c r="J429" s="275"/>
      <c r="K429" s="277"/>
      <c r="L429" s="273"/>
      <c r="M429" s="277">
        <f ca="1">IF(NOT(ISERROR(MATCH(L429,_xlfn.ANCHORARRAY(G440),0))),K442&amp;"Por favor no seleccionar los criterios de impacto",L429)</f>
        <v>0</v>
      </c>
      <c r="N429" s="275"/>
      <c r="O429" s="277"/>
      <c r="P429" s="279"/>
      <c r="Q429" s="204">
        <v>3</v>
      </c>
      <c r="R429" s="112" t="s">
        <v>846</v>
      </c>
      <c r="S429" s="204" t="str">
        <f t="shared" si="159"/>
        <v>Probabilidad</v>
      </c>
      <c r="T429" s="113" t="s">
        <v>14</v>
      </c>
      <c r="U429" s="113" t="s">
        <v>9</v>
      </c>
      <c r="V429" s="167" t="str">
        <f t="shared" si="143"/>
        <v>40%</v>
      </c>
      <c r="W429" s="113" t="s">
        <v>19</v>
      </c>
      <c r="X429" s="113" t="s">
        <v>22</v>
      </c>
      <c r="Y429" s="113" t="s">
        <v>117</v>
      </c>
      <c r="Z429" s="165">
        <f>IFERROR(IF(S429="Probabilidad",(K427-(+K427*V429)),IF(S429="Impacto",K427,"")),"")</f>
        <v>0.36</v>
      </c>
      <c r="AA429" s="166" t="str">
        <f t="shared" si="160"/>
        <v>Baja</v>
      </c>
      <c r="AB429" s="167">
        <f t="shared" si="161"/>
        <v>0.36</v>
      </c>
      <c r="AC429" s="166" t="str">
        <f t="shared" si="162"/>
        <v>Mayor</v>
      </c>
      <c r="AD429" s="167">
        <f>IFERROR(IF(S429="Impacto",(O427-(+O427*V429)),IF(S429="Probabilidad",O427,"")),"")</f>
        <v>0.8</v>
      </c>
      <c r="AE429" s="168" t="str">
        <f t="shared" si="163"/>
        <v>Alto</v>
      </c>
      <c r="AF429" s="113" t="s">
        <v>134</v>
      </c>
      <c r="AG429" s="191"/>
      <c r="AH429" s="192"/>
      <c r="AI429" s="114"/>
      <c r="AJ429" s="114"/>
      <c r="AK429" s="191"/>
      <c r="AL429" s="192"/>
      <c r="AM429" s="155"/>
      <c r="AN429" s="155"/>
      <c r="AO429" s="155"/>
      <c r="AP429" s="155"/>
      <c r="AQ429" s="155"/>
      <c r="AR429" s="155"/>
      <c r="AS429" s="155"/>
      <c r="AT429" s="155"/>
      <c r="AU429" s="155"/>
      <c r="AV429" s="155"/>
      <c r="AW429" s="155"/>
      <c r="AX429" s="155"/>
      <c r="AY429" s="155"/>
      <c r="AZ429" s="155"/>
      <c r="BA429" s="155"/>
      <c r="BB429" s="155"/>
      <c r="BC429" s="155"/>
      <c r="BD429" s="155"/>
      <c r="BE429" s="155"/>
      <c r="BF429" s="155"/>
      <c r="BG429" s="155"/>
      <c r="BH429" s="155"/>
      <c r="BI429" s="155"/>
      <c r="BJ429" s="155"/>
      <c r="BK429" s="155"/>
      <c r="BL429" s="155"/>
      <c r="BM429" s="155"/>
      <c r="BN429" s="155"/>
      <c r="BO429" s="155"/>
      <c r="BP429" s="155"/>
      <c r="BQ429" s="155"/>
      <c r="BR429" s="155"/>
    </row>
    <row r="430" spans="1:70" s="156" customFormat="1" ht="75" x14ac:dyDescent="0.25">
      <c r="A430" s="266"/>
      <c r="B430" s="294"/>
      <c r="C430" s="294"/>
      <c r="D430" s="270"/>
      <c r="E430" s="270"/>
      <c r="F430" s="270"/>
      <c r="G430" s="362"/>
      <c r="H430" s="367"/>
      <c r="I430" s="281"/>
      <c r="J430" s="275"/>
      <c r="K430" s="277"/>
      <c r="L430" s="273"/>
      <c r="M430" s="277">
        <f ca="1">IF(NOT(ISERROR(MATCH(L430,_xlfn.ANCHORARRAY(G441),0))),K443&amp;"Por favor no seleccionar los criterios de impacto",L430)</f>
        <v>0</v>
      </c>
      <c r="N430" s="275"/>
      <c r="O430" s="277"/>
      <c r="P430" s="279"/>
      <c r="Q430" s="204">
        <v>4</v>
      </c>
      <c r="R430" s="112" t="s">
        <v>847</v>
      </c>
      <c r="S430" s="204" t="str">
        <f t="shared" si="159"/>
        <v>Probabilidad</v>
      </c>
      <c r="T430" s="113" t="s">
        <v>14</v>
      </c>
      <c r="U430" s="113" t="s">
        <v>9</v>
      </c>
      <c r="V430" s="167" t="str">
        <f t="shared" si="143"/>
        <v>40%</v>
      </c>
      <c r="W430" s="113" t="s">
        <v>19</v>
      </c>
      <c r="X430" s="113" t="s">
        <v>22</v>
      </c>
      <c r="Y430" s="113" t="s">
        <v>117</v>
      </c>
      <c r="Z430" s="165">
        <f>IFERROR(IF(S430="Probabilidad",(K427-(+K427*V430)),IF(S430="Impacto",K427,"")),"")</f>
        <v>0.36</v>
      </c>
      <c r="AA430" s="166" t="str">
        <f t="shared" si="160"/>
        <v>Baja</v>
      </c>
      <c r="AB430" s="167">
        <f t="shared" si="161"/>
        <v>0.36</v>
      </c>
      <c r="AC430" s="166" t="str">
        <f t="shared" si="162"/>
        <v>Mayor</v>
      </c>
      <c r="AD430" s="167">
        <f>IFERROR(IF(S430="Impacto",(O427-(+O427*V430)),IF(S430="Probabilidad",O427,"")),"")</f>
        <v>0.8</v>
      </c>
      <c r="AE430" s="168" t="str">
        <f t="shared" si="163"/>
        <v>Alto</v>
      </c>
      <c r="AF430" s="113" t="s">
        <v>134</v>
      </c>
      <c r="AG430" s="191"/>
      <c r="AH430" s="192"/>
      <c r="AI430" s="114"/>
      <c r="AJ430" s="114"/>
      <c r="AK430" s="191"/>
      <c r="AL430" s="192"/>
      <c r="AM430" s="155"/>
      <c r="AN430" s="155"/>
      <c r="AO430" s="155"/>
      <c r="AP430" s="155"/>
      <c r="AQ430" s="155"/>
      <c r="AR430" s="155"/>
      <c r="AS430" s="155"/>
      <c r="AT430" s="155"/>
      <c r="AU430" s="155"/>
      <c r="AV430" s="155"/>
      <c r="AW430" s="155"/>
      <c r="AX430" s="155"/>
      <c r="AY430" s="155"/>
      <c r="AZ430" s="155"/>
      <c r="BA430" s="155"/>
      <c r="BB430" s="155"/>
      <c r="BC430" s="155"/>
      <c r="BD430" s="155"/>
      <c r="BE430" s="155"/>
      <c r="BF430" s="155"/>
      <c r="BG430" s="155"/>
      <c r="BH430" s="155"/>
      <c r="BI430" s="155"/>
      <c r="BJ430" s="155"/>
      <c r="BK430" s="155"/>
      <c r="BL430" s="155"/>
      <c r="BM430" s="155"/>
      <c r="BN430" s="155"/>
      <c r="BO430" s="155"/>
      <c r="BP430" s="155"/>
      <c r="BQ430" s="155"/>
      <c r="BR430" s="155"/>
    </row>
    <row r="431" spans="1:70" s="156" customFormat="1" ht="36.75" hidden="1" customHeight="1" x14ac:dyDescent="0.25">
      <c r="A431" s="266"/>
      <c r="B431" s="268"/>
      <c r="C431" s="268"/>
      <c r="D431" s="271"/>
      <c r="E431" s="271"/>
      <c r="F431" s="271"/>
      <c r="G431" s="363"/>
      <c r="H431" s="368"/>
      <c r="I431" s="266"/>
      <c r="J431" s="276"/>
      <c r="K431" s="278"/>
      <c r="L431" s="274"/>
      <c r="M431" s="278">
        <f ca="1">IF(NOT(ISERROR(MATCH(L431,_xlfn.ANCHORARRAY(G442),0))),K444&amp;"Por favor no seleccionar los criterios de impacto",L431)</f>
        <v>0</v>
      </c>
      <c r="N431" s="276"/>
      <c r="O431" s="278"/>
      <c r="P431" s="280"/>
      <c r="Q431" s="204">
        <v>5</v>
      </c>
      <c r="R431" s="112"/>
      <c r="S431" s="204" t="str">
        <f t="shared" si="159"/>
        <v/>
      </c>
      <c r="T431" s="113"/>
      <c r="U431" s="113"/>
      <c r="V431" s="167" t="str">
        <f t="shared" si="143"/>
        <v/>
      </c>
      <c r="W431" s="113"/>
      <c r="X431" s="113"/>
      <c r="Y431" s="113"/>
      <c r="Z431" s="165" t="str">
        <f>IFERROR(IF(S431="Probabilidad",(K427-(+K427*V431)),IF(S431="Impacto",K427,"")),"")</f>
        <v/>
      </c>
      <c r="AA431" s="166" t="str">
        <f t="shared" si="160"/>
        <v/>
      </c>
      <c r="AB431" s="167" t="str">
        <f t="shared" si="161"/>
        <v/>
      </c>
      <c r="AC431" s="166" t="str">
        <f t="shared" si="162"/>
        <v/>
      </c>
      <c r="AD431" s="167" t="str">
        <f t="shared" ref="AD431:AD444" si="164">IFERROR(IF(S431="Impacto",(O431-(+O431*V431)),IF(S431="Probabilidad",O431,"")),"")</f>
        <v/>
      </c>
      <c r="AE431" s="168" t="str">
        <f t="shared" si="163"/>
        <v/>
      </c>
      <c r="AF431" s="113" t="s">
        <v>31</v>
      </c>
      <c r="AG431" s="191"/>
      <c r="AH431" s="192"/>
      <c r="AI431" s="114"/>
      <c r="AJ431" s="114"/>
      <c r="AK431" s="191"/>
      <c r="AL431" s="192"/>
      <c r="AM431" s="155"/>
      <c r="AN431" s="155"/>
      <c r="AO431" s="155"/>
      <c r="AP431" s="155"/>
      <c r="AQ431" s="155"/>
      <c r="AR431" s="155"/>
      <c r="AS431" s="155"/>
      <c r="AT431" s="155"/>
      <c r="AU431" s="155"/>
      <c r="AV431" s="155"/>
      <c r="AW431" s="155"/>
      <c r="AX431" s="155"/>
      <c r="AY431" s="155"/>
      <c r="AZ431" s="155"/>
      <c r="BA431" s="155"/>
      <c r="BB431" s="155"/>
      <c r="BC431" s="155"/>
      <c r="BD431" s="155"/>
      <c r="BE431" s="155"/>
      <c r="BF431" s="155"/>
      <c r="BG431" s="155"/>
      <c r="BH431" s="155"/>
      <c r="BI431" s="155"/>
      <c r="BJ431" s="155"/>
      <c r="BK431" s="155"/>
      <c r="BL431" s="155"/>
      <c r="BM431" s="155"/>
      <c r="BN431" s="155"/>
      <c r="BO431" s="155"/>
      <c r="BP431" s="155"/>
      <c r="BQ431" s="155"/>
      <c r="BR431" s="155"/>
    </row>
    <row r="432" spans="1:70" s="156" customFormat="1" ht="36.75" hidden="1" customHeight="1" x14ac:dyDescent="0.25">
      <c r="A432" s="266"/>
      <c r="B432" s="269"/>
      <c r="C432" s="269"/>
      <c r="D432" s="271"/>
      <c r="E432" s="271"/>
      <c r="F432" s="271"/>
      <c r="G432" s="363"/>
      <c r="H432" s="368"/>
      <c r="I432" s="266"/>
      <c r="J432" s="276"/>
      <c r="K432" s="278"/>
      <c r="L432" s="274"/>
      <c r="M432" s="278">
        <f ca="1">IF(NOT(ISERROR(MATCH(L432,_xlfn.ANCHORARRAY(G443),0))),K445&amp;"Por favor no seleccionar los criterios de impacto",L432)</f>
        <v>0</v>
      </c>
      <c r="N432" s="276"/>
      <c r="O432" s="278"/>
      <c r="P432" s="280"/>
      <c r="Q432" s="204">
        <v>6</v>
      </c>
      <c r="R432" s="112"/>
      <c r="S432" s="204" t="str">
        <f t="shared" si="159"/>
        <v/>
      </c>
      <c r="T432" s="113"/>
      <c r="U432" s="113"/>
      <c r="V432" s="167" t="str">
        <f t="shared" si="143"/>
        <v/>
      </c>
      <c r="W432" s="113"/>
      <c r="X432" s="113"/>
      <c r="Y432" s="113"/>
      <c r="Z432" s="165" t="str">
        <f>IFERROR(IF(S431="Probabilidad",(K427-(+K427*V432)),IF(S432="Impacto",K427,"")),"")</f>
        <v/>
      </c>
      <c r="AA432" s="166" t="str">
        <f t="shared" si="160"/>
        <v/>
      </c>
      <c r="AB432" s="167" t="str">
        <f t="shared" si="161"/>
        <v/>
      </c>
      <c r="AC432" s="166" t="str">
        <f t="shared" si="162"/>
        <v/>
      </c>
      <c r="AD432" s="167" t="str">
        <f t="shared" si="164"/>
        <v/>
      </c>
      <c r="AE432" s="168" t="str">
        <f t="shared" si="163"/>
        <v/>
      </c>
      <c r="AF432" s="113" t="s">
        <v>31</v>
      </c>
      <c r="AG432" s="191"/>
      <c r="AH432" s="192"/>
      <c r="AI432" s="114"/>
      <c r="AJ432" s="114"/>
      <c r="AK432" s="191"/>
      <c r="AL432" s="192"/>
      <c r="AM432" s="155"/>
      <c r="AN432" s="155"/>
      <c r="AO432" s="155"/>
      <c r="AP432" s="155"/>
      <c r="AQ432" s="155"/>
      <c r="AR432" s="155"/>
      <c r="AS432" s="155"/>
      <c r="AT432" s="155"/>
      <c r="AU432" s="155"/>
      <c r="AV432" s="155"/>
      <c r="AW432" s="155"/>
      <c r="AX432" s="155"/>
      <c r="AY432" s="155"/>
      <c r="AZ432" s="155"/>
      <c r="BA432" s="155"/>
      <c r="BB432" s="155"/>
      <c r="BC432" s="155"/>
      <c r="BD432" s="155"/>
      <c r="BE432" s="155"/>
      <c r="BF432" s="155"/>
      <c r="BG432" s="155"/>
      <c r="BH432" s="155"/>
      <c r="BI432" s="155"/>
      <c r="BJ432" s="155"/>
      <c r="BK432" s="155"/>
      <c r="BL432" s="155"/>
      <c r="BM432" s="155"/>
      <c r="BN432" s="155"/>
      <c r="BO432" s="155"/>
      <c r="BP432" s="155"/>
      <c r="BQ432" s="155"/>
      <c r="BR432" s="155"/>
    </row>
    <row r="433" spans="1:70" s="156" customFormat="1" ht="80.25" customHeight="1" x14ac:dyDescent="0.25">
      <c r="A433" s="266">
        <v>71</v>
      </c>
      <c r="B433" s="267" t="s">
        <v>219</v>
      </c>
      <c r="C433" s="267" t="s">
        <v>838</v>
      </c>
      <c r="D433" s="270" t="s">
        <v>132</v>
      </c>
      <c r="E433" s="270" t="s">
        <v>839</v>
      </c>
      <c r="F433" s="270" t="s">
        <v>840</v>
      </c>
      <c r="G433" s="362" t="s">
        <v>841</v>
      </c>
      <c r="H433" s="270" t="s">
        <v>437</v>
      </c>
      <c r="I433" s="281">
        <v>365</v>
      </c>
      <c r="J433" s="275" t="str">
        <f>IF(I433&lt;=0,"",IF(I433&lt;=2,"Muy Baja",IF(I433&lt;=24,"Baja",IF(I433&lt;=500,"Media",IF(I433&lt;=5000,"Alta","Muy Alta")))))</f>
        <v>Media</v>
      </c>
      <c r="K433" s="277">
        <f>IF(J433="","",IF(J433="Muy Baja",0.2,IF(J433="Baja",0.4,IF(J433="Media",0.6,IF(J433="Alta",0.8,IF(J433="Muy Alta",1,))))))</f>
        <v>0.6</v>
      </c>
      <c r="L433" s="273" t="s">
        <v>93</v>
      </c>
      <c r="M433" s="277" t="str">
        <f>IF(NOT(ISERROR(MATCH(L433,'[12]Tabla Impacto'!$B$221:$B$223,0))),'[12]Tabla Impacto'!$F$223&amp;"Por favor no seleccionar los criterios de impacto(Afectación Económica o presupuestal y Pérdida Reputacional)",L433)</f>
        <v xml:space="preserve">Entre 100 y 500 SMLMV </v>
      </c>
      <c r="N433" s="275" t="str">
        <f>+IF(OR(M433='[12]Tabla Impacto'!$C$11,M433='[12]Tabla Impacto'!$D$11),"Leve",IF(OR(M433='[12]Tabla Impacto'!$C$12,M433='[12]Tabla Impacto'!$D$12),"Menor",IF(OR(M433='[12]Tabla Impacto'!$C$13,M433='[12]Tabla Impacto'!$D$13),"Moderado",IF(OR(M433='[12]Tabla Impacto'!$C$14,M433='[12]Tabla Impacto'!$D$14),"Mayor",IF(OR(M433='[12]Tabla Impacto'!$C$15,M433='[12]Tabla Impacto'!$D$15),"Catastrófico","")))))</f>
        <v>Mayor</v>
      </c>
      <c r="O433" s="277">
        <f>IF(N433="","",IF(N433="Leve",0.2,IF(N433="Menor",0.4,IF(N433="Moderado",0.6,IF(N433="Mayor",0.8,IF(N433="Catastrófico",1,))))))</f>
        <v>0.8</v>
      </c>
      <c r="P433" s="279" t="str">
        <f>IF(OR(AND(J433="Muy Baja",N433="Leve"),AND(J433="Muy Baja",N433="Menor"),AND(J433="Baja",N433="Leve")),"Bajo",IF(OR(AND(J433="Muy baja",N433="Moderado"),AND(J433="Baja",N433="Menor"),AND(J433="Baja",N433="Moderado"),AND(J433="Media",N433="Leve"),AND(J433="Media",N433="Menor"),AND(J433="Media",N433="Moderado"),AND(J433="Alta",N433="Leve"),AND(J433="Alta",N433="Menor")),"Moderado",IF(OR(AND(J433="Muy Baja",N433="Mayor"),AND(J433="Baja",N433="Mayor"),AND(J433="Media",N433="Mayor"),AND(J433="Alta",N433="Moderado"),AND(J433="Alta",N433="Mayor"),AND(J433="Muy Alta",N433="Leve"),AND(J433="Muy Alta",N433="Menor"),AND(J433="Muy Alta",N433="Moderado"),AND(J433="Muy Alta",N433="Mayor")),"Alto",IF(OR(AND(J433="Muy Baja",N433="Catastrófico"),AND(J433="Baja",N433="Catastrófico"),AND(J433="Media",N433="Catastrófico"),AND(J433="Alta",N433="Catastrófico"),AND(J433="Muy Alta",N433="Catastrófico")),"Extremo",""))))</f>
        <v>Alto</v>
      </c>
      <c r="Q433" s="204">
        <v>1</v>
      </c>
      <c r="R433" s="112" t="s">
        <v>848</v>
      </c>
      <c r="S433" s="204" t="str">
        <f t="shared" si="159"/>
        <v>Probabilidad</v>
      </c>
      <c r="T433" s="113" t="s">
        <v>14</v>
      </c>
      <c r="U433" s="113" t="s">
        <v>9</v>
      </c>
      <c r="V433" s="167" t="str">
        <f t="shared" si="143"/>
        <v>40%</v>
      </c>
      <c r="W433" s="113" t="s">
        <v>19</v>
      </c>
      <c r="X433" s="113" t="s">
        <v>22</v>
      </c>
      <c r="Y433" s="113" t="s">
        <v>117</v>
      </c>
      <c r="Z433" s="165">
        <f t="shared" ref="Z433:Z439" si="165">IFERROR(IF(S433="Probabilidad",(K433-(+K433*V433)),IF(S433="Impacto",K433,"")),"")</f>
        <v>0.36</v>
      </c>
      <c r="AA433" s="166" t="str">
        <f t="shared" si="160"/>
        <v>Baja</v>
      </c>
      <c r="AB433" s="167">
        <f t="shared" si="161"/>
        <v>0.36</v>
      </c>
      <c r="AC433" s="166" t="str">
        <f t="shared" si="162"/>
        <v>Mayor</v>
      </c>
      <c r="AD433" s="167">
        <f t="shared" si="164"/>
        <v>0.8</v>
      </c>
      <c r="AE433" s="168" t="str">
        <f t="shared" si="163"/>
        <v>Alto</v>
      </c>
      <c r="AF433" s="113" t="s">
        <v>31</v>
      </c>
      <c r="AG433" s="191"/>
      <c r="AH433" s="192"/>
      <c r="AI433" s="114"/>
      <c r="AJ433" s="114"/>
      <c r="AK433" s="191"/>
      <c r="AL433" s="192"/>
      <c r="AM433" s="155"/>
      <c r="AN433" s="155"/>
      <c r="AO433" s="155"/>
      <c r="AP433" s="155"/>
      <c r="AQ433" s="155"/>
      <c r="AR433" s="155"/>
      <c r="AS433" s="155"/>
      <c r="AT433" s="155"/>
      <c r="AU433" s="155"/>
      <c r="AV433" s="155"/>
      <c r="AW433" s="155"/>
      <c r="AX433" s="155"/>
      <c r="AY433" s="155"/>
      <c r="AZ433" s="155"/>
      <c r="BA433" s="155"/>
      <c r="BB433" s="155"/>
      <c r="BC433" s="155"/>
      <c r="BD433" s="155"/>
      <c r="BE433" s="155"/>
      <c r="BF433" s="155"/>
      <c r="BG433" s="155"/>
      <c r="BH433" s="155"/>
      <c r="BI433" s="155"/>
      <c r="BJ433" s="155"/>
      <c r="BK433" s="155"/>
      <c r="BL433" s="155"/>
      <c r="BM433" s="155"/>
      <c r="BN433" s="155"/>
      <c r="BO433" s="155"/>
      <c r="BP433" s="155"/>
      <c r="BQ433" s="155"/>
      <c r="BR433" s="155"/>
    </row>
    <row r="434" spans="1:70" s="156" customFormat="1" ht="80.25" customHeight="1" x14ac:dyDescent="0.25">
      <c r="A434" s="266"/>
      <c r="B434" s="294"/>
      <c r="C434" s="294"/>
      <c r="D434" s="270"/>
      <c r="E434" s="270"/>
      <c r="F434" s="270"/>
      <c r="G434" s="362"/>
      <c r="H434" s="270"/>
      <c r="I434" s="281"/>
      <c r="J434" s="275"/>
      <c r="K434" s="277"/>
      <c r="L434" s="273"/>
      <c r="M434" s="277">
        <f ca="1">IF(NOT(ISERROR(MATCH(L434,_xlfn.ANCHORARRAY(G445),0))),K447&amp;"Por favor no seleccionar los criterios de impacto",L434)</f>
        <v>0</v>
      </c>
      <c r="N434" s="275"/>
      <c r="O434" s="277"/>
      <c r="P434" s="279"/>
      <c r="Q434" s="204">
        <v>2</v>
      </c>
      <c r="R434" s="112" t="s">
        <v>849</v>
      </c>
      <c r="S434" s="204" t="str">
        <f t="shared" si="159"/>
        <v>Probabilidad</v>
      </c>
      <c r="T434" s="113" t="s">
        <v>14</v>
      </c>
      <c r="U434" s="113" t="s">
        <v>9</v>
      </c>
      <c r="V434" s="167" t="str">
        <f t="shared" si="143"/>
        <v>40%</v>
      </c>
      <c r="W434" s="113" t="s">
        <v>19</v>
      </c>
      <c r="X434" s="113" t="s">
        <v>22</v>
      </c>
      <c r="Y434" s="113" t="s">
        <v>117</v>
      </c>
      <c r="Z434" s="165">
        <f>IFERROR(IF(S434="Probabilidad",(K433-(+K433*V434)),IF(S434="Impacto",K433,"")),"")</f>
        <v>0.36</v>
      </c>
      <c r="AA434" s="166" t="str">
        <f t="shared" si="160"/>
        <v>Baja</v>
      </c>
      <c r="AB434" s="167">
        <f t="shared" si="161"/>
        <v>0.36</v>
      </c>
      <c r="AC434" s="166" t="str">
        <f t="shared" si="162"/>
        <v>Mayor</v>
      </c>
      <c r="AD434" s="167">
        <f>IFERROR(IF(S434="Impacto",(O433-(+O433*V434)),IF(S434="Probabilidad",O433,"")),"")</f>
        <v>0.8</v>
      </c>
      <c r="AE434" s="168" t="str">
        <f t="shared" si="163"/>
        <v>Alto</v>
      </c>
      <c r="AF434" s="113" t="s">
        <v>31</v>
      </c>
      <c r="AG434" s="191"/>
      <c r="AH434" s="192"/>
      <c r="AI434" s="114"/>
      <c r="AJ434" s="114"/>
      <c r="AK434" s="191"/>
      <c r="AL434" s="192"/>
      <c r="AM434" s="155"/>
      <c r="AN434" s="155"/>
      <c r="AO434" s="155"/>
      <c r="AP434" s="155"/>
      <c r="AQ434" s="155"/>
      <c r="AR434" s="155"/>
      <c r="AS434" s="155"/>
      <c r="AT434" s="155"/>
      <c r="AU434" s="155"/>
      <c r="AV434" s="155"/>
      <c r="AW434" s="155"/>
      <c r="AX434" s="155"/>
      <c r="AY434" s="155"/>
      <c r="AZ434" s="155"/>
      <c r="BA434" s="155"/>
      <c r="BB434" s="155"/>
      <c r="BC434" s="155"/>
      <c r="BD434" s="155"/>
      <c r="BE434" s="155"/>
      <c r="BF434" s="155"/>
      <c r="BG434" s="155"/>
      <c r="BH434" s="155"/>
      <c r="BI434" s="155"/>
      <c r="BJ434" s="155"/>
      <c r="BK434" s="155"/>
      <c r="BL434" s="155"/>
      <c r="BM434" s="155"/>
      <c r="BN434" s="155"/>
      <c r="BO434" s="155"/>
      <c r="BP434" s="155"/>
      <c r="BQ434" s="155"/>
      <c r="BR434" s="155"/>
    </row>
    <row r="435" spans="1:70" s="156" customFormat="1" ht="80.25" customHeight="1" x14ac:dyDescent="0.25">
      <c r="A435" s="266"/>
      <c r="B435" s="294"/>
      <c r="C435" s="294"/>
      <c r="D435" s="270"/>
      <c r="E435" s="270"/>
      <c r="F435" s="270"/>
      <c r="G435" s="362"/>
      <c r="H435" s="270"/>
      <c r="I435" s="281"/>
      <c r="J435" s="275"/>
      <c r="K435" s="277"/>
      <c r="L435" s="273"/>
      <c r="M435" s="277">
        <f ca="1">IF(NOT(ISERROR(MATCH(L435,_xlfn.ANCHORARRAY(G446),0))),K448&amp;"Por favor no seleccionar los criterios de impacto",L435)</f>
        <v>0</v>
      </c>
      <c r="N435" s="275"/>
      <c r="O435" s="277"/>
      <c r="P435" s="279"/>
      <c r="Q435" s="204">
        <v>3</v>
      </c>
      <c r="R435" s="112" t="s">
        <v>850</v>
      </c>
      <c r="S435" s="204" t="str">
        <f t="shared" si="159"/>
        <v>Probabilidad</v>
      </c>
      <c r="T435" s="113" t="s">
        <v>14</v>
      </c>
      <c r="U435" s="113" t="s">
        <v>9</v>
      </c>
      <c r="V435" s="167" t="str">
        <f t="shared" si="143"/>
        <v>40%</v>
      </c>
      <c r="W435" s="113" t="s">
        <v>19</v>
      </c>
      <c r="X435" s="113" t="s">
        <v>22</v>
      </c>
      <c r="Y435" s="113" t="s">
        <v>117</v>
      </c>
      <c r="Z435" s="165">
        <f>IFERROR(IF(S435="Probabilidad",(K433-(+K433*V435)),IF(S435="Impacto",K433,"")),"")</f>
        <v>0.36</v>
      </c>
      <c r="AA435" s="166" t="str">
        <f t="shared" si="160"/>
        <v>Baja</v>
      </c>
      <c r="AB435" s="167">
        <f t="shared" si="161"/>
        <v>0.36</v>
      </c>
      <c r="AC435" s="166" t="str">
        <f t="shared" si="162"/>
        <v>Mayor</v>
      </c>
      <c r="AD435" s="167">
        <f>IFERROR(IF(S435="Impacto",(O433-(+O433*V435)),IF(S435="Probabilidad",O433,"")),"")</f>
        <v>0.8</v>
      </c>
      <c r="AE435" s="168" t="str">
        <f t="shared" si="163"/>
        <v>Alto</v>
      </c>
      <c r="AF435" s="113" t="s">
        <v>31</v>
      </c>
      <c r="AG435" s="191"/>
      <c r="AH435" s="192"/>
      <c r="AI435" s="114"/>
      <c r="AJ435" s="114"/>
      <c r="AK435" s="191"/>
      <c r="AL435" s="192"/>
      <c r="AM435" s="155"/>
      <c r="AN435" s="155"/>
      <c r="AO435" s="155"/>
      <c r="AP435" s="155"/>
      <c r="AQ435" s="155"/>
      <c r="AR435" s="155"/>
      <c r="AS435" s="155"/>
      <c r="AT435" s="155"/>
      <c r="AU435" s="155"/>
      <c r="AV435" s="155"/>
      <c r="AW435" s="155"/>
      <c r="AX435" s="155"/>
      <c r="AY435" s="155"/>
      <c r="AZ435" s="155"/>
      <c r="BA435" s="155"/>
      <c r="BB435" s="155"/>
      <c r="BC435" s="155"/>
      <c r="BD435" s="155"/>
      <c r="BE435" s="155"/>
      <c r="BF435" s="155"/>
      <c r="BG435" s="155"/>
      <c r="BH435" s="155"/>
      <c r="BI435" s="155"/>
      <c r="BJ435" s="155"/>
      <c r="BK435" s="155"/>
      <c r="BL435" s="155"/>
      <c r="BM435" s="155"/>
      <c r="BN435" s="155"/>
      <c r="BO435" s="155"/>
      <c r="BP435" s="155"/>
      <c r="BQ435" s="155"/>
      <c r="BR435" s="155"/>
    </row>
    <row r="436" spans="1:70" s="156" customFormat="1" ht="80.25" customHeight="1" x14ac:dyDescent="0.25">
      <c r="A436" s="266"/>
      <c r="B436" s="294"/>
      <c r="C436" s="294"/>
      <c r="D436" s="270"/>
      <c r="E436" s="270"/>
      <c r="F436" s="270"/>
      <c r="G436" s="362"/>
      <c r="H436" s="270"/>
      <c r="I436" s="281"/>
      <c r="J436" s="275"/>
      <c r="K436" s="277"/>
      <c r="L436" s="273"/>
      <c r="M436" s="277">
        <f ca="1">IF(NOT(ISERROR(MATCH(L436,_xlfn.ANCHORARRAY(G447),0))),K449&amp;"Por favor no seleccionar los criterios de impacto",L436)</f>
        <v>0</v>
      </c>
      <c r="N436" s="275"/>
      <c r="O436" s="277"/>
      <c r="P436" s="279"/>
      <c r="Q436" s="204">
        <v>4</v>
      </c>
      <c r="R436" s="112" t="s">
        <v>851</v>
      </c>
      <c r="S436" s="204" t="str">
        <f t="shared" si="159"/>
        <v>Probabilidad</v>
      </c>
      <c r="T436" s="113" t="s">
        <v>14</v>
      </c>
      <c r="U436" s="113" t="s">
        <v>9</v>
      </c>
      <c r="V436" s="167" t="str">
        <f>IF(AND(T436="Preventivo",U436="Automático"),"50%",IF(AND(T436="Preventivo",U436="Manual"),"40%",IF(AND(T436="Detectivo",U436="Automático"),"40%",IF(AND(T436="Detectivo",U436="Manual"),"30%",IF(AND(T436="Correctivo",U436="Automático"),"35%",IF(AND(T436="Correctivo",U436="Manual"),"25%",""))))))</f>
        <v>40%</v>
      </c>
      <c r="W436" s="113" t="s">
        <v>19</v>
      </c>
      <c r="X436" s="113" t="s">
        <v>22</v>
      </c>
      <c r="Y436" s="113" t="s">
        <v>117</v>
      </c>
      <c r="Z436" s="165">
        <f>IFERROR(IF(S436="Probabilidad",(K433-(+K433*V436)),IF(S436="Impacto",K433,"")),"")</f>
        <v>0.36</v>
      </c>
      <c r="AA436" s="166" t="str">
        <f t="shared" si="160"/>
        <v>Baja</v>
      </c>
      <c r="AB436" s="167">
        <f t="shared" si="161"/>
        <v>0.36</v>
      </c>
      <c r="AC436" s="166" t="str">
        <f t="shared" si="162"/>
        <v>Mayor</v>
      </c>
      <c r="AD436" s="167">
        <f>IFERROR(IF(S436="Impacto",(O433-(+O433*V436)),IF(S436="Probabilidad",O433,"")),"")</f>
        <v>0.8</v>
      </c>
      <c r="AE436" s="168" t="str">
        <f t="shared" si="163"/>
        <v>Alto</v>
      </c>
      <c r="AF436" s="113" t="s">
        <v>31</v>
      </c>
      <c r="AG436" s="191"/>
      <c r="AH436" s="192"/>
      <c r="AI436" s="114"/>
      <c r="AJ436" s="114"/>
      <c r="AK436" s="191"/>
      <c r="AL436" s="192"/>
      <c r="AM436" s="155"/>
      <c r="AN436" s="155"/>
      <c r="AO436" s="155"/>
      <c r="AP436" s="155"/>
      <c r="AQ436" s="155"/>
      <c r="AR436" s="155"/>
      <c r="AS436" s="155"/>
      <c r="AT436" s="155"/>
      <c r="AU436" s="155"/>
      <c r="AV436" s="155"/>
      <c r="AW436" s="155"/>
      <c r="AX436" s="155"/>
      <c r="AY436" s="155"/>
      <c r="AZ436" s="155"/>
      <c r="BA436" s="155"/>
      <c r="BB436" s="155"/>
      <c r="BC436" s="155"/>
      <c r="BD436" s="155"/>
      <c r="BE436" s="155"/>
      <c r="BF436" s="155"/>
      <c r="BG436" s="155"/>
      <c r="BH436" s="155"/>
      <c r="BI436" s="155"/>
      <c r="BJ436" s="155"/>
      <c r="BK436" s="155"/>
      <c r="BL436" s="155"/>
      <c r="BM436" s="155"/>
      <c r="BN436" s="155"/>
      <c r="BO436" s="155"/>
      <c r="BP436" s="155"/>
      <c r="BQ436" s="155"/>
      <c r="BR436" s="155"/>
    </row>
    <row r="437" spans="1:70" s="156" customFormat="1" ht="80.25" customHeight="1" x14ac:dyDescent="0.25">
      <c r="A437" s="266"/>
      <c r="B437" s="294"/>
      <c r="C437" s="294"/>
      <c r="D437" s="270"/>
      <c r="E437" s="270"/>
      <c r="F437" s="270"/>
      <c r="G437" s="362"/>
      <c r="H437" s="270"/>
      <c r="I437" s="281"/>
      <c r="J437" s="275"/>
      <c r="K437" s="277"/>
      <c r="L437" s="273"/>
      <c r="M437" s="277">
        <f ca="1">IF(NOT(ISERROR(MATCH(L437,_xlfn.ANCHORARRAY(G448),0))),K450&amp;"Por favor no seleccionar los criterios de impacto",L437)</f>
        <v>0</v>
      </c>
      <c r="N437" s="275"/>
      <c r="O437" s="277"/>
      <c r="P437" s="279"/>
      <c r="Q437" s="204">
        <v>5</v>
      </c>
      <c r="R437" s="112" t="s">
        <v>852</v>
      </c>
      <c r="S437" s="204" t="str">
        <f t="shared" si="159"/>
        <v>Probabilidad</v>
      </c>
      <c r="T437" s="113" t="s">
        <v>14</v>
      </c>
      <c r="U437" s="113" t="s">
        <v>9</v>
      </c>
      <c r="V437" s="167" t="str">
        <f>IF(AND(T437="Preventivo",U437="Automático"),"50%",IF(AND(T437="Preventivo",U437="Manual"),"40%",IF(AND(T437="Detectivo",U437="Automático"),"40%",IF(AND(T437="Detectivo",U437="Manual"),"30%",IF(AND(T437="Correctivo",U437="Automático"),"35%",IF(AND(T437="Correctivo",U437="Manual"),"25%",""))))))</f>
        <v>40%</v>
      </c>
      <c r="W437" s="113" t="s">
        <v>19</v>
      </c>
      <c r="X437" s="113" t="s">
        <v>22</v>
      </c>
      <c r="Y437" s="113" t="s">
        <v>117</v>
      </c>
      <c r="Z437" s="165">
        <f>IFERROR(IF(S437="Probabilidad",(K433-(+K433*V437)),IF(S437="Impacto",K433,"")),"")</f>
        <v>0.36</v>
      </c>
      <c r="AA437" s="166" t="str">
        <f t="shared" si="160"/>
        <v>Baja</v>
      </c>
      <c r="AB437" s="167">
        <f t="shared" si="161"/>
        <v>0.36</v>
      </c>
      <c r="AC437" s="166" t="str">
        <f t="shared" si="162"/>
        <v>Mayor</v>
      </c>
      <c r="AD437" s="167">
        <f>IFERROR(IF(S437="Impacto",(O433-(+O433*V437)),IF(S437="Probabilidad",O433,"")),"")</f>
        <v>0.8</v>
      </c>
      <c r="AE437" s="168" t="str">
        <f t="shared" si="163"/>
        <v>Alto</v>
      </c>
      <c r="AF437" s="113" t="s">
        <v>31</v>
      </c>
      <c r="AG437" s="191"/>
      <c r="AH437" s="192"/>
      <c r="AI437" s="114"/>
      <c r="AJ437" s="114"/>
      <c r="AK437" s="191"/>
      <c r="AL437" s="192"/>
      <c r="AM437" s="155"/>
      <c r="AN437" s="155"/>
      <c r="AO437" s="155"/>
      <c r="AP437" s="155"/>
      <c r="AQ437" s="155"/>
      <c r="AR437" s="155"/>
      <c r="AS437" s="155"/>
      <c r="AT437" s="155"/>
      <c r="AU437" s="155"/>
      <c r="AV437" s="155"/>
      <c r="AW437" s="155"/>
      <c r="AX437" s="155"/>
      <c r="AY437" s="155"/>
      <c r="AZ437" s="155"/>
      <c r="BA437" s="155"/>
      <c r="BB437" s="155"/>
      <c r="BC437" s="155"/>
      <c r="BD437" s="155"/>
      <c r="BE437" s="155"/>
      <c r="BF437" s="155"/>
      <c r="BG437" s="155"/>
      <c r="BH437" s="155"/>
      <c r="BI437" s="155"/>
      <c r="BJ437" s="155"/>
      <c r="BK437" s="155"/>
      <c r="BL437" s="155"/>
      <c r="BM437" s="155"/>
      <c r="BN437" s="155"/>
      <c r="BO437" s="155"/>
      <c r="BP437" s="155"/>
      <c r="BQ437" s="155"/>
      <c r="BR437" s="155"/>
    </row>
    <row r="438" spans="1:70" s="156" customFormat="1" ht="80.25" customHeight="1" x14ac:dyDescent="0.25">
      <c r="A438" s="266"/>
      <c r="B438" s="366"/>
      <c r="C438" s="366"/>
      <c r="D438" s="270"/>
      <c r="E438" s="270"/>
      <c r="F438" s="270"/>
      <c r="G438" s="362"/>
      <c r="H438" s="270"/>
      <c r="I438" s="281"/>
      <c r="J438" s="275"/>
      <c r="K438" s="277"/>
      <c r="L438" s="273"/>
      <c r="M438" s="277">
        <f ca="1">IF(NOT(ISERROR(MATCH(L438,_xlfn.ANCHORARRAY(G449),0))),K451&amp;"Por favor no seleccionar los criterios de impacto",L438)</f>
        <v>0</v>
      </c>
      <c r="N438" s="275"/>
      <c r="O438" s="277"/>
      <c r="P438" s="279"/>
      <c r="Q438" s="204">
        <v>6</v>
      </c>
      <c r="R438" s="112" t="s">
        <v>853</v>
      </c>
      <c r="S438" s="204" t="str">
        <f t="shared" si="159"/>
        <v>Probabilidad</v>
      </c>
      <c r="T438" s="113" t="s">
        <v>15</v>
      </c>
      <c r="U438" s="113" t="s">
        <v>9</v>
      </c>
      <c r="V438" s="167" t="str">
        <f t="shared" ref="V438:V501" si="166">IF(AND(T438="Preventivo",U438="Automático"),"50%",IF(AND(T438="Preventivo",U438="Manual"),"40%",IF(AND(T438="Detectivo",U438="Automático"),"40%",IF(AND(T438="Detectivo",U438="Manual"),"30%",IF(AND(T438="Correctivo",U438="Automático"),"35%",IF(AND(T438="Correctivo",U438="Manual"),"25%",""))))))</f>
        <v>30%</v>
      </c>
      <c r="W438" s="113" t="s">
        <v>19</v>
      </c>
      <c r="X438" s="113" t="s">
        <v>22</v>
      </c>
      <c r="Y438" s="113" t="s">
        <v>117</v>
      </c>
      <c r="Z438" s="165">
        <f>IFERROR(IF(S438="Probabilidad",(K433-(+K433*V438)),IF(S438="Impacto",K433,"")),"")</f>
        <v>0.42</v>
      </c>
      <c r="AA438" s="166" t="str">
        <f t="shared" si="160"/>
        <v>Media</v>
      </c>
      <c r="AB438" s="167">
        <f t="shared" si="161"/>
        <v>0.42</v>
      </c>
      <c r="AC438" s="166" t="str">
        <f t="shared" si="162"/>
        <v>Mayor</v>
      </c>
      <c r="AD438" s="167">
        <f>IFERROR(IF(S438="Impacto",(O433-(+O433*V438)),IF(S438="Probabilidad",O433,"")),"")</f>
        <v>0.8</v>
      </c>
      <c r="AE438" s="168" t="str">
        <f t="shared" si="163"/>
        <v>Alto</v>
      </c>
      <c r="AF438" s="113" t="s">
        <v>31</v>
      </c>
      <c r="AG438" s="191"/>
      <c r="AH438" s="192"/>
      <c r="AI438" s="114"/>
      <c r="AJ438" s="114"/>
      <c r="AK438" s="191"/>
      <c r="AL438" s="192"/>
      <c r="AM438" s="155"/>
      <c r="AN438" s="155"/>
      <c r="AO438" s="155"/>
      <c r="AP438" s="155"/>
      <c r="AQ438" s="155"/>
      <c r="AR438" s="155"/>
      <c r="AS438" s="155"/>
      <c r="AT438" s="155"/>
      <c r="AU438" s="155"/>
      <c r="AV438" s="155"/>
      <c r="AW438" s="155"/>
      <c r="AX438" s="155"/>
      <c r="AY438" s="155"/>
      <c r="AZ438" s="155"/>
      <c r="BA438" s="155"/>
      <c r="BB438" s="155"/>
      <c r="BC438" s="155"/>
      <c r="BD438" s="155"/>
      <c r="BE438" s="155"/>
      <c r="BF438" s="155"/>
      <c r="BG438" s="155"/>
      <c r="BH438" s="155"/>
      <c r="BI438" s="155"/>
      <c r="BJ438" s="155"/>
      <c r="BK438" s="155"/>
      <c r="BL438" s="155"/>
      <c r="BM438" s="155"/>
      <c r="BN438" s="155"/>
      <c r="BO438" s="155"/>
      <c r="BP438" s="155"/>
      <c r="BQ438" s="155"/>
      <c r="BR438" s="155"/>
    </row>
    <row r="439" spans="1:70" s="156" customFormat="1" ht="86.25" customHeight="1" x14ac:dyDescent="0.25">
      <c r="A439" s="266">
        <v>72</v>
      </c>
      <c r="B439" s="267" t="s">
        <v>219</v>
      </c>
      <c r="C439" s="267" t="s">
        <v>838</v>
      </c>
      <c r="D439" s="270" t="s">
        <v>131</v>
      </c>
      <c r="E439" s="270" t="s">
        <v>839</v>
      </c>
      <c r="F439" s="270" t="s">
        <v>842</v>
      </c>
      <c r="G439" s="362" t="s">
        <v>843</v>
      </c>
      <c r="H439" s="270" t="s">
        <v>436</v>
      </c>
      <c r="I439" s="281">
        <v>365</v>
      </c>
      <c r="J439" s="275" t="str">
        <f>IF(I439&lt;=0,"",IF(I439&lt;=2,"Muy Baja",IF(I439&lt;=24,"Baja",IF(I439&lt;=500,"Media",IF(I439&lt;=5000,"Alta","Muy Alta")))))</f>
        <v>Media</v>
      </c>
      <c r="K439" s="277">
        <f>IF(J439="","",IF(J439="Muy Baja",0.2,IF(J439="Baja",0.4,IF(J439="Media",0.6,IF(J439="Alta",0.8,IF(J439="Muy Alta",1,))))))</f>
        <v>0.6</v>
      </c>
      <c r="L439" s="273" t="s">
        <v>92</v>
      </c>
      <c r="M439" s="277" t="str">
        <f>IF(NOT(ISERROR(MATCH(L439,'[12]Tabla Impacto'!$B$221:$B$223,0))),'[12]Tabla Impacto'!$F$223&amp;"Por favor no seleccionar los criterios de impacto(Afectación Económica o presupuestal y Pérdida Reputacional)",L439)</f>
        <v xml:space="preserve">Entre 50 y 100 SMLMV </v>
      </c>
      <c r="N439" s="275" t="str">
        <f>+IF(OR(M439='[12]Tabla Impacto'!$C$11,M439='[12]Tabla Impacto'!$D$11),"Leve",IF(OR(M439='[12]Tabla Impacto'!$C$12,M439='[12]Tabla Impacto'!$D$12),"Menor",IF(OR(M439='[12]Tabla Impacto'!$C$13,M439='[12]Tabla Impacto'!$D$13),"Moderado",IF(OR(M439='[12]Tabla Impacto'!$C$14,M439='[12]Tabla Impacto'!$D$14),"Mayor",IF(OR(M439='[12]Tabla Impacto'!$C$15,M439='[12]Tabla Impacto'!$D$15),"Catastrófico","")))))</f>
        <v>Moderado</v>
      </c>
      <c r="O439" s="277">
        <f>IF(N439="","",IF(N439="Leve",0.2,IF(N439="Menor",0.4,IF(N439="Moderado",0.6,IF(N439="Mayor",0.8,IF(N439="Catastrófico",1,))))))</f>
        <v>0.6</v>
      </c>
      <c r="P439" s="279" t="str">
        <f>IF(OR(AND(J439="Muy Baja",N439="Leve"),AND(J439="Muy Baja",N439="Menor"),AND(J439="Baja",N439="Leve")),"Bajo",IF(OR(AND(J439="Muy baja",N439="Moderado"),AND(J439="Baja",N439="Menor"),AND(J439="Baja",N439="Moderado"),AND(J439="Media",N439="Leve"),AND(J439="Media",N439="Menor"),AND(J439="Media",N439="Moderado"),AND(J439="Alta",N439="Leve"),AND(J439="Alta",N439="Menor")),"Moderado",IF(OR(AND(J439="Muy Baja",N439="Mayor"),AND(J439="Baja",N439="Mayor"),AND(J439="Media",N439="Mayor"),AND(J439="Alta",N439="Moderado"),AND(J439="Alta",N439="Mayor"),AND(J439="Muy Alta",N439="Leve"),AND(J439="Muy Alta",N439="Menor"),AND(J439="Muy Alta",N439="Moderado"),AND(J439="Muy Alta",N439="Mayor")),"Alto",IF(OR(AND(J439="Muy Baja",N439="Catastrófico"),AND(J439="Baja",N439="Catastrófico"),AND(J439="Media",N439="Catastrófico"),AND(J439="Alta",N439="Catastrófico"),AND(J439="Muy Alta",N439="Catastrófico")),"Extremo",""))))</f>
        <v>Moderado</v>
      </c>
      <c r="Q439" s="204">
        <v>1</v>
      </c>
      <c r="R439" s="112" t="s">
        <v>848</v>
      </c>
      <c r="S439" s="204" t="str">
        <f t="shared" si="159"/>
        <v>Probabilidad</v>
      </c>
      <c r="T439" s="113" t="s">
        <v>14</v>
      </c>
      <c r="U439" s="113" t="s">
        <v>9</v>
      </c>
      <c r="V439" s="167" t="str">
        <f t="shared" si="166"/>
        <v>40%</v>
      </c>
      <c r="W439" s="113" t="s">
        <v>19</v>
      </c>
      <c r="X439" s="113" t="s">
        <v>22</v>
      </c>
      <c r="Y439" s="113" t="s">
        <v>117</v>
      </c>
      <c r="Z439" s="165">
        <f t="shared" si="165"/>
        <v>0.36</v>
      </c>
      <c r="AA439" s="166" t="str">
        <f t="shared" si="160"/>
        <v>Baja</v>
      </c>
      <c r="AB439" s="167">
        <f t="shared" si="161"/>
        <v>0.36</v>
      </c>
      <c r="AC439" s="166" t="str">
        <f t="shared" si="162"/>
        <v>Moderado</v>
      </c>
      <c r="AD439" s="167">
        <f t="shared" si="164"/>
        <v>0.6</v>
      </c>
      <c r="AE439" s="168" t="str">
        <f t="shared" si="163"/>
        <v>Moderado</v>
      </c>
      <c r="AF439" s="113" t="s">
        <v>31</v>
      </c>
      <c r="AG439" s="191"/>
      <c r="AH439" s="192"/>
      <c r="AI439" s="114"/>
      <c r="AJ439" s="114"/>
      <c r="AK439" s="191"/>
      <c r="AL439" s="192"/>
      <c r="AM439" s="155"/>
      <c r="AN439" s="155"/>
      <c r="AO439" s="155"/>
      <c r="AP439" s="155"/>
      <c r="AQ439" s="155"/>
      <c r="AR439" s="155"/>
      <c r="AS439" s="155"/>
      <c r="AT439" s="155"/>
      <c r="AU439" s="155"/>
      <c r="AV439" s="155"/>
      <c r="AW439" s="155"/>
      <c r="AX439" s="155"/>
      <c r="AY439" s="155"/>
      <c r="AZ439" s="155"/>
      <c r="BA439" s="155"/>
      <c r="BB439" s="155"/>
      <c r="BC439" s="155"/>
      <c r="BD439" s="155"/>
      <c r="BE439" s="155"/>
      <c r="BF439" s="155"/>
      <c r="BG439" s="155"/>
      <c r="BH439" s="155"/>
      <c r="BI439" s="155"/>
      <c r="BJ439" s="155"/>
      <c r="BK439" s="155"/>
      <c r="BL439" s="155"/>
      <c r="BM439" s="155"/>
      <c r="BN439" s="155"/>
      <c r="BO439" s="155"/>
      <c r="BP439" s="155"/>
      <c r="BQ439" s="155"/>
      <c r="BR439" s="155"/>
    </row>
    <row r="440" spans="1:70" s="156" customFormat="1" ht="86.25" customHeight="1" x14ac:dyDescent="0.25">
      <c r="A440" s="266"/>
      <c r="B440" s="294"/>
      <c r="C440" s="294"/>
      <c r="D440" s="270"/>
      <c r="E440" s="270"/>
      <c r="F440" s="270"/>
      <c r="G440" s="362"/>
      <c r="H440" s="270"/>
      <c r="I440" s="281"/>
      <c r="J440" s="275"/>
      <c r="K440" s="277"/>
      <c r="L440" s="273"/>
      <c r="M440" s="277">
        <f ca="1">IF(NOT(ISERROR(MATCH(L440,_xlfn.ANCHORARRAY(G451),0))),K453&amp;"Por favor no seleccionar los criterios de impacto",L440)</f>
        <v>0</v>
      </c>
      <c r="N440" s="275"/>
      <c r="O440" s="277"/>
      <c r="P440" s="279"/>
      <c r="Q440" s="204">
        <v>2</v>
      </c>
      <c r="R440" s="112" t="s">
        <v>849</v>
      </c>
      <c r="S440" s="204" t="str">
        <f t="shared" si="159"/>
        <v>Probabilidad</v>
      </c>
      <c r="T440" s="113" t="s">
        <v>14</v>
      </c>
      <c r="U440" s="113" t="s">
        <v>9</v>
      </c>
      <c r="V440" s="167" t="str">
        <f t="shared" si="166"/>
        <v>40%</v>
      </c>
      <c r="W440" s="113" t="s">
        <v>19</v>
      </c>
      <c r="X440" s="113" t="s">
        <v>22</v>
      </c>
      <c r="Y440" s="113" t="s">
        <v>117</v>
      </c>
      <c r="Z440" s="165">
        <f>IFERROR(IF(S440="Probabilidad",(K439-(+K439*V440)),IF(S440="Impacto",K439,"")),"")</f>
        <v>0.36</v>
      </c>
      <c r="AA440" s="166" t="str">
        <f t="shared" si="160"/>
        <v>Baja</v>
      </c>
      <c r="AB440" s="167">
        <f t="shared" si="161"/>
        <v>0.36</v>
      </c>
      <c r="AC440" s="166" t="str">
        <f t="shared" si="162"/>
        <v>Moderado</v>
      </c>
      <c r="AD440" s="167">
        <f>IFERROR(IF(S440="Impacto",(O439-(+O439*V440)),IF(S440="Probabilidad",O439,"")),"")</f>
        <v>0.6</v>
      </c>
      <c r="AE440" s="168" t="str">
        <f t="shared" si="163"/>
        <v>Moderado</v>
      </c>
      <c r="AF440" s="113" t="s">
        <v>31</v>
      </c>
      <c r="AG440" s="191"/>
      <c r="AH440" s="192"/>
      <c r="AI440" s="114"/>
      <c r="AJ440" s="114"/>
      <c r="AK440" s="191"/>
      <c r="AL440" s="192"/>
      <c r="AM440" s="155"/>
      <c r="AN440" s="155"/>
      <c r="AO440" s="155"/>
      <c r="AP440" s="155"/>
      <c r="AQ440" s="155"/>
      <c r="AR440" s="155"/>
      <c r="AS440" s="155"/>
      <c r="AT440" s="155"/>
      <c r="AU440" s="155"/>
      <c r="AV440" s="155"/>
      <c r="AW440" s="155"/>
      <c r="AX440" s="155"/>
      <c r="AY440" s="155"/>
      <c r="AZ440" s="155"/>
      <c r="BA440" s="155"/>
      <c r="BB440" s="155"/>
      <c r="BC440" s="155"/>
      <c r="BD440" s="155"/>
      <c r="BE440" s="155"/>
      <c r="BF440" s="155"/>
      <c r="BG440" s="155"/>
      <c r="BH440" s="155"/>
      <c r="BI440" s="155"/>
      <c r="BJ440" s="155"/>
      <c r="BK440" s="155"/>
      <c r="BL440" s="155"/>
      <c r="BM440" s="155"/>
      <c r="BN440" s="155"/>
      <c r="BO440" s="155"/>
      <c r="BP440" s="155"/>
      <c r="BQ440" s="155"/>
      <c r="BR440" s="155"/>
    </row>
    <row r="441" spans="1:70" s="156" customFormat="1" ht="86.25" customHeight="1" x14ac:dyDescent="0.25">
      <c r="A441" s="266"/>
      <c r="B441" s="294"/>
      <c r="C441" s="294"/>
      <c r="D441" s="270"/>
      <c r="E441" s="270"/>
      <c r="F441" s="270"/>
      <c r="G441" s="362"/>
      <c r="H441" s="270"/>
      <c r="I441" s="281"/>
      <c r="J441" s="275"/>
      <c r="K441" s="277"/>
      <c r="L441" s="273"/>
      <c r="M441" s="277">
        <f ca="1">IF(NOT(ISERROR(MATCH(L441,_xlfn.ANCHORARRAY(G452),0))),K454&amp;"Por favor no seleccionar los criterios de impacto",L441)</f>
        <v>0</v>
      </c>
      <c r="N441" s="275"/>
      <c r="O441" s="277"/>
      <c r="P441" s="279"/>
      <c r="Q441" s="204">
        <v>3</v>
      </c>
      <c r="R441" s="112" t="s">
        <v>850</v>
      </c>
      <c r="S441" s="204" t="str">
        <f t="shared" si="159"/>
        <v>Probabilidad</v>
      </c>
      <c r="T441" s="113" t="s">
        <v>15</v>
      </c>
      <c r="U441" s="113" t="s">
        <v>9</v>
      </c>
      <c r="V441" s="167" t="str">
        <f t="shared" si="166"/>
        <v>30%</v>
      </c>
      <c r="W441" s="113" t="s">
        <v>19</v>
      </c>
      <c r="X441" s="113" t="s">
        <v>22</v>
      </c>
      <c r="Y441" s="113" t="s">
        <v>117</v>
      </c>
      <c r="Z441" s="165">
        <f>IFERROR(IF(S441="Probabilidad",(K439-(+K439*V441)),IF(S441="Impacto",K439,"")),"")</f>
        <v>0.42</v>
      </c>
      <c r="AA441" s="166" t="str">
        <f t="shared" si="160"/>
        <v>Media</v>
      </c>
      <c r="AB441" s="167">
        <f t="shared" si="161"/>
        <v>0.42</v>
      </c>
      <c r="AC441" s="166" t="str">
        <f t="shared" si="162"/>
        <v>Moderado</v>
      </c>
      <c r="AD441" s="167">
        <f>IFERROR(IF(S441="Impacto",(O439-(+O439*V441)),IF(S441="Probabilidad",O439,"")),"")</f>
        <v>0.6</v>
      </c>
      <c r="AE441" s="168" t="str">
        <f t="shared" si="163"/>
        <v>Moderado</v>
      </c>
      <c r="AF441" s="113" t="s">
        <v>31</v>
      </c>
      <c r="AG441" s="191"/>
      <c r="AH441" s="192"/>
      <c r="AI441" s="114"/>
      <c r="AJ441" s="114"/>
      <c r="AK441" s="191"/>
      <c r="AL441" s="192"/>
      <c r="AM441" s="155"/>
      <c r="AN441" s="155"/>
      <c r="AO441" s="155"/>
      <c r="AP441" s="155"/>
      <c r="AQ441" s="155"/>
      <c r="AR441" s="155"/>
      <c r="AS441" s="155"/>
      <c r="AT441" s="155"/>
      <c r="AU441" s="155"/>
      <c r="AV441" s="155"/>
      <c r="AW441" s="155"/>
      <c r="AX441" s="155"/>
      <c r="AY441" s="155"/>
      <c r="AZ441" s="155"/>
      <c r="BA441" s="155"/>
      <c r="BB441" s="155"/>
      <c r="BC441" s="155"/>
      <c r="BD441" s="155"/>
      <c r="BE441" s="155"/>
      <c r="BF441" s="155"/>
      <c r="BG441" s="155"/>
      <c r="BH441" s="155"/>
      <c r="BI441" s="155"/>
      <c r="BJ441" s="155"/>
      <c r="BK441" s="155"/>
      <c r="BL441" s="155"/>
      <c r="BM441" s="155"/>
      <c r="BN441" s="155"/>
      <c r="BO441" s="155"/>
      <c r="BP441" s="155"/>
      <c r="BQ441" s="155"/>
      <c r="BR441" s="155"/>
    </row>
    <row r="442" spans="1:70" s="156" customFormat="1" ht="16.5" hidden="1" customHeight="1" x14ac:dyDescent="0.25">
      <c r="A442" s="266"/>
      <c r="B442" s="268"/>
      <c r="C442" s="268"/>
      <c r="D442" s="271"/>
      <c r="E442" s="271"/>
      <c r="F442" s="271"/>
      <c r="G442" s="363"/>
      <c r="H442" s="271"/>
      <c r="I442" s="266"/>
      <c r="J442" s="276"/>
      <c r="K442" s="278"/>
      <c r="L442" s="274"/>
      <c r="M442" s="278">
        <f ca="1">IF(NOT(ISERROR(MATCH(L442,_xlfn.ANCHORARRAY(G453),0))),K455&amp;"Por favor no seleccionar los criterios de impacto",L442)</f>
        <v>0</v>
      </c>
      <c r="N442" s="276"/>
      <c r="O442" s="278"/>
      <c r="P442" s="280"/>
      <c r="Q442" s="204">
        <v>4</v>
      </c>
      <c r="R442" s="112"/>
      <c r="S442" s="204" t="str">
        <f t="shared" si="159"/>
        <v/>
      </c>
      <c r="T442" s="113"/>
      <c r="U442" s="113"/>
      <c r="V442" s="167" t="str">
        <f t="shared" si="166"/>
        <v/>
      </c>
      <c r="W442" s="113"/>
      <c r="X442" s="113"/>
      <c r="Y442" s="113"/>
      <c r="Z442" s="165" t="str">
        <f>IFERROR(IF(S442="Probabilidad",(K439-(+K439*V442)),IF(S442="Impacto",K439,"")),"")</f>
        <v/>
      </c>
      <c r="AA442" s="166" t="str">
        <f t="shared" si="160"/>
        <v/>
      </c>
      <c r="AB442" s="167" t="str">
        <f t="shared" si="161"/>
        <v/>
      </c>
      <c r="AC442" s="166" t="str">
        <f t="shared" si="162"/>
        <v/>
      </c>
      <c r="AD442" s="167" t="str">
        <f t="shared" si="164"/>
        <v/>
      </c>
      <c r="AE442" s="168" t="str">
        <f t="shared" si="163"/>
        <v/>
      </c>
      <c r="AF442" s="113"/>
      <c r="AG442" s="191"/>
      <c r="AH442" s="192"/>
      <c r="AI442" s="114"/>
      <c r="AJ442" s="114"/>
      <c r="AK442" s="191"/>
      <c r="AL442" s="192"/>
      <c r="AM442" s="155"/>
      <c r="AN442" s="155"/>
      <c r="AO442" s="155"/>
      <c r="AP442" s="155"/>
      <c r="AQ442" s="155"/>
      <c r="AR442" s="155"/>
      <c r="AS442" s="155"/>
      <c r="AT442" s="155"/>
      <c r="AU442" s="155"/>
      <c r="AV442" s="155"/>
      <c r="AW442" s="155"/>
      <c r="AX442" s="155"/>
      <c r="AY442" s="155"/>
      <c r="AZ442" s="155"/>
      <c r="BA442" s="155"/>
      <c r="BB442" s="155"/>
      <c r="BC442" s="155"/>
      <c r="BD442" s="155"/>
      <c r="BE442" s="155"/>
      <c r="BF442" s="155"/>
      <c r="BG442" s="155"/>
      <c r="BH442" s="155"/>
      <c r="BI442" s="155"/>
      <c r="BJ442" s="155"/>
      <c r="BK442" s="155"/>
      <c r="BL442" s="155"/>
      <c r="BM442" s="155"/>
      <c r="BN442" s="155"/>
      <c r="BO442" s="155"/>
      <c r="BP442" s="155"/>
      <c r="BQ442" s="155"/>
      <c r="BR442" s="155"/>
    </row>
    <row r="443" spans="1:70" s="156" customFormat="1" ht="16.5" hidden="1" customHeight="1" x14ac:dyDescent="0.25">
      <c r="A443" s="266"/>
      <c r="B443" s="268"/>
      <c r="C443" s="268"/>
      <c r="D443" s="271"/>
      <c r="E443" s="271"/>
      <c r="F443" s="271"/>
      <c r="G443" s="363"/>
      <c r="H443" s="271"/>
      <c r="I443" s="266"/>
      <c r="J443" s="276"/>
      <c r="K443" s="278"/>
      <c r="L443" s="274"/>
      <c r="M443" s="278">
        <f ca="1">IF(NOT(ISERROR(MATCH(L443,_xlfn.ANCHORARRAY(G454),0))),K456&amp;"Por favor no seleccionar los criterios de impacto",L443)</f>
        <v>0</v>
      </c>
      <c r="N443" s="276"/>
      <c r="O443" s="278"/>
      <c r="P443" s="280"/>
      <c r="Q443" s="204">
        <v>5</v>
      </c>
      <c r="R443" s="112"/>
      <c r="S443" s="204" t="str">
        <f t="shared" si="159"/>
        <v/>
      </c>
      <c r="T443" s="113"/>
      <c r="U443" s="113"/>
      <c r="V443" s="167" t="str">
        <f t="shared" si="166"/>
        <v/>
      </c>
      <c r="W443" s="113"/>
      <c r="X443" s="113"/>
      <c r="Y443" s="113"/>
      <c r="Z443" s="165" t="str">
        <f>IFERROR(IF(S443="Probabilidad",(K439-(+K439*V443)),IF(S443="Impacto",K439,"")),"")</f>
        <v/>
      </c>
      <c r="AA443" s="166" t="str">
        <f t="shared" si="160"/>
        <v/>
      </c>
      <c r="AB443" s="167" t="str">
        <f t="shared" si="161"/>
        <v/>
      </c>
      <c r="AC443" s="166" t="str">
        <f t="shared" si="162"/>
        <v/>
      </c>
      <c r="AD443" s="167" t="str">
        <f t="shared" si="164"/>
        <v/>
      </c>
      <c r="AE443" s="168" t="str">
        <f t="shared" si="163"/>
        <v/>
      </c>
      <c r="AF443" s="113"/>
      <c r="AG443" s="191"/>
      <c r="AH443" s="192"/>
      <c r="AI443" s="114"/>
      <c r="AJ443" s="114"/>
      <c r="AK443" s="191"/>
      <c r="AL443" s="192"/>
      <c r="AM443" s="155"/>
      <c r="AN443" s="155"/>
      <c r="AO443" s="155"/>
      <c r="AP443" s="155"/>
      <c r="AQ443" s="155"/>
      <c r="AR443" s="155"/>
      <c r="AS443" s="155"/>
      <c r="AT443" s="155"/>
      <c r="AU443" s="155"/>
      <c r="AV443" s="155"/>
      <c r="AW443" s="155"/>
      <c r="AX443" s="155"/>
      <c r="AY443" s="155"/>
      <c r="AZ443" s="155"/>
      <c r="BA443" s="155"/>
      <c r="BB443" s="155"/>
      <c r="BC443" s="155"/>
      <c r="BD443" s="155"/>
      <c r="BE443" s="155"/>
      <c r="BF443" s="155"/>
      <c r="BG443" s="155"/>
      <c r="BH443" s="155"/>
      <c r="BI443" s="155"/>
      <c r="BJ443" s="155"/>
      <c r="BK443" s="155"/>
      <c r="BL443" s="155"/>
      <c r="BM443" s="155"/>
      <c r="BN443" s="155"/>
      <c r="BO443" s="155"/>
      <c r="BP443" s="155"/>
      <c r="BQ443" s="155"/>
      <c r="BR443" s="155"/>
    </row>
    <row r="444" spans="1:70" s="156" customFormat="1" ht="16.5" hidden="1" customHeight="1" x14ac:dyDescent="0.25">
      <c r="A444" s="266"/>
      <c r="B444" s="269"/>
      <c r="C444" s="269"/>
      <c r="D444" s="271"/>
      <c r="E444" s="271"/>
      <c r="F444" s="271"/>
      <c r="G444" s="363"/>
      <c r="H444" s="271"/>
      <c r="I444" s="266"/>
      <c r="J444" s="276"/>
      <c r="K444" s="278"/>
      <c r="L444" s="274"/>
      <c r="M444" s="278">
        <f ca="1">IF(NOT(ISERROR(MATCH(L444,_xlfn.ANCHORARRAY(G455),0))),K457&amp;"Por favor no seleccionar los criterios de impacto",L444)</f>
        <v>0</v>
      </c>
      <c r="N444" s="276"/>
      <c r="O444" s="278"/>
      <c r="P444" s="280"/>
      <c r="Q444" s="204">
        <v>6</v>
      </c>
      <c r="R444" s="112"/>
      <c r="S444" s="204" t="str">
        <f t="shared" si="159"/>
        <v/>
      </c>
      <c r="T444" s="113"/>
      <c r="U444" s="113"/>
      <c r="V444" s="167" t="str">
        <f t="shared" si="166"/>
        <v/>
      </c>
      <c r="W444" s="113"/>
      <c r="X444" s="113"/>
      <c r="Y444" s="113"/>
      <c r="Z444" s="165" t="str">
        <f>IFERROR(IF(S444="Probabilidad",(K439-(+K439*V444)),IF(S444="Impacto",K439,"")),"")</f>
        <v/>
      </c>
      <c r="AA444" s="166" t="str">
        <f t="shared" si="160"/>
        <v/>
      </c>
      <c r="AB444" s="167" t="str">
        <f t="shared" si="161"/>
        <v/>
      </c>
      <c r="AC444" s="166" t="str">
        <f t="shared" si="162"/>
        <v/>
      </c>
      <c r="AD444" s="167" t="str">
        <f t="shared" si="164"/>
        <v/>
      </c>
      <c r="AE444" s="168" t="str">
        <f t="shared" si="163"/>
        <v/>
      </c>
      <c r="AF444" s="113"/>
      <c r="AG444" s="191"/>
      <c r="AH444" s="192"/>
      <c r="AI444" s="114"/>
      <c r="AJ444" s="114"/>
      <c r="AK444" s="191"/>
      <c r="AL444" s="192"/>
      <c r="AM444" s="155"/>
      <c r="AN444" s="155"/>
      <c r="AO444" s="155"/>
      <c r="AP444" s="155"/>
      <c r="AQ444" s="155"/>
      <c r="AR444" s="155"/>
      <c r="AS444" s="155"/>
      <c r="AT444" s="155"/>
      <c r="AU444" s="155"/>
      <c r="AV444" s="155"/>
      <c r="AW444" s="155"/>
      <c r="AX444" s="155"/>
      <c r="AY444" s="155"/>
      <c r="AZ444" s="155"/>
      <c r="BA444" s="155"/>
      <c r="BB444" s="155"/>
      <c r="BC444" s="155"/>
      <c r="BD444" s="155"/>
      <c r="BE444" s="155"/>
      <c r="BF444" s="155"/>
      <c r="BG444" s="155"/>
      <c r="BH444" s="155"/>
      <c r="BI444" s="155"/>
      <c r="BJ444" s="155"/>
      <c r="BK444" s="155"/>
      <c r="BL444" s="155"/>
      <c r="BM444" s="155"/>
      <c r="BN444" s="155"/>
      <c r="BO444" s="155"/>
      <c r="BP444" s="155"/>
      <c r="BQ444" s="155"/>
      <c r="BR444" s="155"/>
    </row>
    <row r="445" spans="1:70" s="156" customFormat="1" ht="95.25" customHeight="1" x14ac:dyDescent="0.25">
      <c r="A445" s="266">
        <v>73</v>
      </c>
      <c r="B445" s="267" t="s">
        <v>220</v>
      </c>
      <c r="C445" s="267" t="s">
        <v>854</v>
      </c>
      <c r="D445" s="270" t="s">
        <v>132</v>
      </c>
      <c r="E445" s="270" t="s">
        <v>855</v>
      </c>
      <c r="F445" s="270" t="s">
        <v>856</v>
      </c>
      <c r="G445" s="362" t="s">
        <v>857</v>
      </c>
      <c r="H445" s="270" t="s">
        <v>437</v>
      </c>
      <c r="I445" s="281">
        <v>1</v>
      </c>
      <c r="J445" s="275" t="str">
        <f>IF(I445&lt;=0,"",IF(I445&lt;=2,"Muy Baja",IF(I445&lt;=24,"Baja",IF(I445&lt;=500,"Media",IF(I445&lt;=5000,"Alta","Muy Alta")))))</f>
        <v>Muy Baja</v>
      </c>
      <c r="K445" s="277">
        <f>IF(J445="","",IF(J445="Muy Baja",0.2,IF(J445="Baja",0.4,IF(J445="Media",0.6,IF(J445="Alta",0.8,IF(J445="Muy Alta",1,))))))</f>
        <v>0.2</v>
      </c>
      <c r="L445" s="273" t="s">
        <v>93</v>
      </c>
      <c r="M445" s="277" t="str">
        <f>IF(NOT(ISERROR(MATCH(L445,'[13]Tabla Impacto'!$B$221:$B$223,0))),'[13]Tabla Impacto'!$F$223&amp;"Por favor no seleccionar los criterios de impacto(Afectación Económica o presupuestal y Pérdida Reputacional)",L445)</f>
        <v xml:space="preserve">Entre 100 y 500 SMLMV </v>
      </c>
      <c r="N445" s="275" t="str">
        <f>+IF(OR(M445='[13]Tabla Impacto'!$C$11,M445='[13]Tabla Impacto'!$D$11),"Leve",IF(OR(M445='[13]Tabla Impacto'!$C$12,M445='[13]Tabla Impacto'!$D$12),"Menor",IF(OR(M445='[13]Tabla Impacto'!$C$13,M445='[13]Tabla Impacto'!$D$13),"Moderado",IF(OR(M445='[13]Tabla Impacto'!$C$14,M445='[13]Tabla Impacto'!$D$14),"Mayor",IF(OR(M445='[13]Tabla Impacto'!$C$15,M445='[13]Tabla Impacto'!$D$15),"Catastrófico","")))))</f>
        <v>Mayor</v>
      </c>
      <c r="O445" s="277">
        <f>IF(N445="","",IF(N445="Leve",0.2,IF(N445="Menor",0.4,IF(N445="Moderado",0.6,IF(N445="Mayor",0.8,IF(N445="Catastrófico",1,))))))</f>
        <v>0.8</v>
      </c>
      <c r="P445" s="279" t="str">
        <f>IF(OR(AND(J445="Muy Baja",N445="Leve"),AND(J445="Muy Baja",N445="Menor"),AND(J445="Baja",N445="Leve")),"Bajo",IF(OR(AND(J445="Muy baja",N445="Moderado"),AND(J445="Baja",N445="Menor"),AND(J445="Baja",N445="Moderado"),AND(J445="Media",N445="Leve"),AND(J445="Media",N445="Menor"),AND(J445="Media",N445="Moderado"),AND(J445="Alta",N445="Leve"),AND(J445="Alta",N445="Menor")),"Moderado",IF(OR(AND(J445="Muy Baja",N445="Mayor"),AND(J445="Baja",N445="Mayor"),AND(J445="Media",N445="Mayor"),AND(J445="Alta",N445="Moderado"),AND(J445="Alta",N445="Mayor"),AND(J445="Muy Alta",N445="Leve"),AND(J445="Muy Alta",N445="Menor"),AND(J445="Muy Alta",N445="Moderado"),AND(J445="Muy Alta",N445="Mayor")),"Alto",IF(OR(AND(J445="Muy Baja",N445="Catastrófico"),AND(J445="Baja",N445="Catastrófico"),AND(J445="Media",N445="Catastrófico"),AND(J445="Alta",N445="Catastrófico"),AND(J445="Muy Alta",N445="Catastrófico")),"Extremo",""))))</f>
        <v>Alto</v>
      </c>
      <c r="Q445" s="204">
        <v>1</v>
      </c>
      <c r="R445" s="112" t="s">
        <v>880</v>
      </c>
      <c r="S445" s="204" t="str">
        <f>IF(OR(T445="Preventivo",T445="Detectivo"),"Probabilidad",IF(T445="Correctivo","Impacto",""))</f>
        <v>Probabilidad</v>
      </c>
      <c r="T445" s="113" t="s">
        <v>14</v>
      </c>
      <c r="U445" s="113" t="s">
        <v>9</v>
      </c>
      <c r="V445" s="167" t="str">
        <f t="shared" si="166"/>
        <v>40%</v>
      </c>
      <c r="W445" s="113" t="s">
        <v>19</v>
      </c>
      <c r="X445" s="113" t="s">
        <v>22</v>
      </c>
      <c r="Y445" s="113" t="s">
        <v>117</v>
      </c>
      <c r="Z445" s="165">
        <f>IFERROR(IF(S445="Probabilidad",(K445-(+K445*V445)),IF(S445="Impacto",K445,"")),"")</f>
        <v>0.12</v>
      </c>
      <c r="AA445" s="166" t="str">
        <f>IFERROR(IF(Z445="","",IF(Z445&lt;=0.2,"Muy Baja",IF(Z445&lt;=0.4,"Baja",IF(Z445&lt;=0.6,"Media",IF(Z445&lt;=0.8,"Alta","Muy Alta"))))),"")</f>
        <v>Muy Baja</v>
      </c>
      <c r="AB445" s="167">
        <f>+Z445</f>
        <v>0.12</v>
      </c>
      <c r="AC445" s="166" t="str">
        <f>IFERROR(IF(AD445="","",IF(AD445&lt;=0.2,"Leve",IF(AD445&lt;=0.4,"Menor",IF(AD445&lt;=0.6,"Moderado",IF(AD445&lt;=0.8,"Mayor","Catastrófico"))))),"")</f>
        <v>Mayor</v>
      </c>
      <c r="AD445" s="167">
        <f>IFERROR(IF(S445="Impacto",(O445-(+O445*V445)),IF(S445="Probabilidad",O445,"")),"")</f>
        <v>0.8</v>
      </c>
      <c r="AE445" s="168" t="str">
        <f>IFERROR(IF(OR(AND(AA445="Muy Baja",AC445="Leve"),AND(AA445="Muy Baja",AC445="Menor"),AND(AA445="Baja",AC445="Leve")),"Bajo",IF(OR(AND(AA445="Muy baja",AC445="Moderado"),AND(AA445="Baja",AC445="Menor"),AND(AA445="Baja",AC445="Moderado"),AND(AA445="Media",AC445="Leve"),AND(AA445="Media",AC445="Menor"),AND(AA445="Media",AC445="Moderado"),AND(AA445="Alta",AC445="Leve"),AND(AA445="Alta",AC445="Menor")),"Moderado",IF(OR(AND(AA445="Muy Baja",AC445="Mayor"),AND(AA445="Baja",AC445="Mayor"),AND(AA445="Media",AC445="Mayor"),AND(AA445="Alta",AC445="Moderado"),AND(AA445="Alta",AC445="Mayor"),AND(AA445="Muy Alta",AC445="Leve"),AND(AA445="Muy Alta",AC445="Menor"),AND(AA445="Muy Alta",AC445="Moderado"),AND(AA445="Muy Alta",AC445="Mayor")),"Alto",IF(OR(AND(AA445="Muy Baja",AC445="Catastrófico"),AND(AA445="Baja",AC445="Catastrófico"),AND(AA445="Media",AC445="Catastrófico"),AND(AA445="Alta",AC445="Catastrófico"),AND(AA445="Muy Alta",AC445="Catastrófico")),"Extremo","")))),"")</f>
        <v>Alto</v>
      </c>
      <c r="AF445" s="113" t="s">
        <v>31</v>
      </c>
      <c r="AG445" s="203" t="s">
        <v>881</v>
      </c>
      <c r="AH445" s="202" t="s">
        <v>882</v>
      </c>
      <c r="AI445" s="114"/>
      <c r="AJ445" s="114"/>
      <c r="AK445" s="203"/>
      <c r="AL445" s="202"/>
      <c r="AM445" s="155"/>
      <c r="AN445" s="155"/>
      <c r="AO445" s="155"/>
      <c r="AP445" s="155"/>
      <c r="AQ445" s="155"/>
      <c r="AR445" s="155"/>
      <c r="AS445" s="155"/>
      <c r="AT445" s="155"/>
      <c r="AU445" s="155"/>
      <c r="AV445" s="155"/>
      <c r="AW445" s="155"/>
      <c r="AX445" s="155"/>
      <c r="AY445" s="155"/>
      <c r="AZ445" s="155"/>
      <c r="BA445" s="155"/>
      <c r="BB445" s="155"/>
      <c r="BC445" s="155"/>
      <c r="BD445" s="155"/>
      <c r="BE445" s="155"/>
      <c r="BF445" s="155"/>
      <c r="BG445" s="155"/>
      <c r="BH445" s="155"/>
      <c r="BI445" s="155"/>
      <c r="BJ445" s="155"/>
      <c r="BK445" s="155"/>
      <c r="BL445" s="155"/>
      <c r="BM445" s="155"/>
      <c r="BN445" s="155"/>
      <c r="BO445" s="155"/>
      <c r="BP445" s="155"/>
      <c r="BQ445" s="155"/>
      <c r="BR445" s="155"/>
    </row>
    <row r="446" spans="1:70" s="156" customFormat="1" ht="95.25" customHeight="1" x14ac:dyDescent="0.25">
      <c r="A446" s="266"/>
      <c r="B446" s="294"/>
      <c r="C446" s="294"/>
      <c r="D446" s="270"/>
      <c r="E446" s="270"/>
      <c r="F446" s="270"/>
      <c r="G446" s="362"/>
      <c r="H446" s="270"/>
      <c r="I446" s="281"/>
      <c r="J446" s="275"/>
      <c r="K446" s="277"/>
      <c r="L446" s="273"/>
      <c r="M446" s="277">
        <f ca="1">IF(NOT(ISERROR(MATCH(L446,_xlfn.ANCHORARRAY(G457),0))),K459&amp;"Por favor no seleccionar los criterios de impacto",L446)</f>
        <v>0</v>
      </c>
      <c r="N446" s="275"/>
      <c r="O446" s="277"/>
      <c r="P446" s="279"/>
      <c r="Q446" s="204">
        <v>2</v>
      </c>
      <c r="R446" s="112" t="s">
        <v>883</v>
      </c>
      <c r="S446" s="204" t="str">
        <f t="shared" ref="S446:S486" si="167">IF(OR(T446="Preventivo",T446="Detectivo"),"Probabilidad",IF(T446="Correctivo","Impacto",""))</f>
        <v>Probabilidad</v>
      </c>
      <c r="T446" s="113" t="s">
        <v>14</v>
      </c>
      <c r="U446" s="113" t="s">
        <v>9</v>
      </c>
      <c r="V446" s="167" t="str">
        <f t="shared" si="166"/>
        <v>40%</v>
      </c>
      <c r="W446" s="113" t="s">
        <v>19</v>
      </c>
      <c r="X446" s="113" t="s">
        <v>22</v>
      </c>
      <c r="Y446" s="113" t="s">
        <v>117</v>
      </c>
      <c r="Z446" s="165">
        <f>IFERROR(IF(S446="Probabilidad",(K445-(+K445*V446)),IF(S446="Impacto",K445,"")),"")</f>
        <v>0.12</v>
      </c>
      <c r="AA446" s="166" t="str">
        <f t="shared" ref="AA446:AA486" si="168">IFERROR(IF(Z446="","",IF(Z446&lt;=0.2,"Muy Baja",IF(Z446&lt;=0.4,"Baja",IF(Z446&lt;=0.6,"Media",IF(Z446&lt;=0.8,"Alta","Muy Alta"))))),"")</f>
        <v>Muy Baja</v>
      </c>
      <c r="AB446" s="167">
        <f t="shared" ref="AB446:AB486" si="169">+Z446</f>
        <v>0.12</v>
      </c>
      <c r="AC446" s="166" t="str">
        <f t="shared" ref="AC446:AC486" si="170">IFERROR(IF(AD446="","",IF(AD446&lt;=0.2,"Leve",IF(AD446&lt;=0.4,"Menor",IF(AD446&lt;=0.6,"Moderado",IF(AD446&lt;=0.8,"Mayor","Catastrófico"))))),"")</f>
        <v>Mayor</v>
      </c>
      <c r="AD446" s="167">
        <f>IFERROR(IF(S446="Impacto",(O445-(+O445*V446)),IF(S446="Probabilidad",O445,"")),"")</f>
        <v>0.8</v>
      </c>
      <c r="AE446" s="168" t="str">
        <f t="shared" ref="AE446:AE486" si="171">IFERROR(IF(OR(AND(AA446="Muy Baja",AC446="Leve"),AND(AA446="Muy Baja",AC446="Menor"),AND(AA446="Baja",AC446="Leve")),"Bajo",IF(OR(AND(AA446="Muy baja",AC446="Moderado"),AND(AA446="Baja",AC446="Menor"),AND(AA446="Baja",AC446="Moderado"),AND(AA446="Media",AC446="Leve"),AND(AA446="Media",AC446="Menor"),AND(AA446="Media",AC446="Moderado"),AND(AA446="Alta",AC446="Leve"),AND(AA446="Alta",AC446="Menor")),"Moderado",IF(OR(AND(AA446="Muy Baja",AC446="Mayor"),AND(AA446="Baja",AC446="Mayor"),AND(AA446="Media",AC446="Mayor"),AND(AA446="Alta",AC446="Moderado"),AND(AA446="Alta",AC446="Mayor"),AND(AA446="Muy Alta",AC446="Leve"),AND(AA446="Muy Alta",AC446="Menor"),AND(AA446="Muy Alta",AC446="Moderado"),AND(AA446="Muy Alta",AC446="Mayor")),"Alto",IF(OR(AND(AA446="Muy Baja",AC446="Catastrófico"),AND(AA446="Baja",AC446="Catastrófico"),AND(AA446="Media",AC446="Catastrófico"),AND(AA446="Alta",AC446="Catastrófico"),AND(AA446="Muy Alta",AC446="Catastrófico")),"Extremo","")))),"")</f>
        <v>Alto</v>
      </c>
      <c r="AF446" s="113" t="s">
        <v>134</v>
      </c>
      <c r="AG446" s="203" t="s">
        <v>884</v>
      </c>
      <c r="AH446" s="202" t="s">
        <v>885</v>
      </c>
      <c r="AI446" s="114"/>
      <c r="AJ446" s="114"/>
      <c r="AK446" s="203"/>
      <c r="AL446" s="202"/>
      <c r="AM446" s="155"/>
      <c r="AN446" s="155"/>
      <c r="AO446" s="155"/>
      <c r="AP446" s="155"/>
      <c r="AQ446" s="155"/>
      <c r="AR446" s="155"/>
      <c r="AS446" s="155"/>
      <c r="AT446" s="155"/>
      <c r="AU446" s="155"/>
      <c r="AV446" s="155"/>
      <c r="AW446" s="155"/>
      <c r="AX446" s="155"/>
      <c r="AY446" s="155"/>
      <c r="AZ446" s="155"/>
      <c r="BA446" s="155"/>
      <c r="BB446" s="155"/>
      <c r="BC446" s="155"/>
      <c r="BD446" s="155"/>
      <c r="BE446" s="155"/>
      <c r="BF446" s="155"/>
      <c r="BG446" s="155"/>
      <c r="BH446" s="155"/>
      <c r="BI446" s="155"/>
      <c r="BJ446" s="155"/>
      <c r="BK446" s="155"/>
      <c r="BL446" s="155"/>
      <c r="BM446" s="155"/>
      <c r="BN446" s="155"/>
      <c r="BO446" s="155"/>
      <c r="BP446" s="155"/>
      <c r="BQ446" s="155"/>
      <c r="BR446" s="155"/>
    </row>
    <row r="447" spans="1:70" s="156" customFormat="1" ht="95.25" customHeight="1" x14ac:dyDescent="0.25">
      <c r="A447" s="266"/>
      <c r="B447" s="294"/>
      <c r="C447" s="294"/>
      <c r="D447" s="270"/>
      <c r="E447" s="270"/>
      <c r="F447" s="270"/>
      <c r="G447" s="362"/>
      <c r="H447" s="270"/>
      <c r="I447" s="281"/>
      <c r="J447" s="275"/>
      <c r="K447" s="277"/>
      <c r="L447" s="273"/>
      <c r="M447" s="277">
        <f ca="1">IF(NOT(ISERROR(MATCH(L447,_xlfn.ANCHORARRAY(G458),0))),K460&amp;"Por favor no seleccionar los criterios de impacto",L447)</f>
        <v>0</v>
      </c>
      <c r="N447" s="275"/>
      <c r="O447" s="277"/>
      <c r="P447" s="279"/>
      <c r="Q447" s="204">
        <v>3</v>
      </c>
      <c r="R447" s="112" t="s">
        <v>886</v>
      </c>
      <c r="S447" s="204" t="str">
        <f t="shared" si="167"/>
        <v>Probabilidad</v>
      </c>
      <c r="T447" s="113" t="s">
        <v>14</v>
      </c>
      <c r="U447" s="113" t="s">
        <v>9</v>
      </c>
      <c r="V447" s="167" t="str">
        <f t="shared" si="166"/>
        <v>40%</v>
      </c>
      <c r="W447" s="113" t="s">
        <v>19</v>
      </c>
      <c r="X447" s="113" t="s">
        <v>22</v>
      </c>
      <c r="Y447" s="113" t="s">
        <v>117</v>
      </c>
      <c r="Z447" s="165">
        <f>IFERROR(IF(S447="Probabilidad",(K445-(+K445*V447)),IF(S447="Impacto",K445,"")),"")</f>
        <v>0.12</v>
      </c>
      <c r="AA447" s="166" t="str">
        <f t="shared" si="168"/>
        <v>Muy Baja</v>
      </c>
      <c r="AB447" s="167">
        <f t="shared" si="169"/>
        <v>0.12</v>
      </c>
      <c r="AC447" s="166" t="str">
        <f t="shared" si="170"/>
        <v>Mayor</v>
      </c>
      <c r="AD447" s="167">
        <f>IFERROR(IF(S447="Impacto",(O445-(+O445*V447)),IF(S447="Probabilidad",O445,"")),"")</f>
        <v>0.8</v>
      </c>
      <c r="AE447" s="168" t="str">
        <f t="shared" si="171"/>
        <v>Alto</v>
      </c>
      <c r="AF447" s="113" t="s">
        <v>134</v>
      </c>
      <c r="AG447" s="203" t="s">
        <v>887</v>
      </c>
      <c r="AH447" s="202" t="s">
        <v>888</v>
      </c>
      <c r="AI447" s="114"/>
      <c r="AJ447" s="114"/>
      <c r="AK447" s="203"/>
      <c r="AL447" s="202"/>
      <c r="AM447" s="155"/>
      <c r="AN447" s="155"/>
      <c r="AO447" s="155"/>
      <c r="AP447" s="155"/>
      <c r="AQ447" s="155"/>
      <c r="AR447" s="155"/>
      <c r="AS447" s="155"/>
      <c r="AT447" s="155"/>
      <c r="AU447" s="155"/>
      <c r="AV447" s="155"/>
      <c r="AW447" s="155"/>
      <c r="AX447" s="155"/>
      <c r="AY447" s="155"/>
      <c r="AZ447" s="155"/>
      <c r="BA447" s="155"/>
      <c r="BB447" s="155"/>
      <c r="BC447" s="155"/>
      <c r="BD447" s="155"/>
      <c r="BE447" s="155"/>
      <c r="BF447" s="155"/>
      <c r="BG447" s="155"/>
      <c r="BH447" s="155"/>
      <c r="BI447" s="155"/>
      <c r="BJ447" s="155"/>
      <c r="BK447" s="155"/>
      <c r="BL447" s="155"/>
      <c r="BM447" s="155"/>
      <c r="BN447" s="155"/>
      <c r="BO447" s="155"/>
      <c r="BP447" s="155"/>
      <c r="BQ447" s="155"/>
      <c r="BR447" s="155"/>
    </row>
    <row r="448" spans="1:70" s="156" customFormat="1" ht="16.5" hidden="1" customHeight="1" x14ac:dyDescent="0.25">
      <c r="A448" s="266"/>
      <c r="B448" s="268"/>
      <c r="C448" s="268"/>
      <c r="D448" s="271"/>
      <c r="E448" s="271"/>
      <c r="F448" s="271"/>
      <c r="G448" s="363"/>
      <c r="H448" s="271"/>
      <c r="I448" s="266"/>
      <c r="J448" s="276"/>
      <c r="K448" s="278"/>
      <c r="L448" s="274"/>
      <c r="M448" s="278">
        <f ca="1">IF(NOT(ISERROR(MATCH(L448,_xlfn.ANCHORARRAY(G459),0))),K461&amp;"Por favor no seleccionar los criterios de impacto",L448)</f>
        <v>0</v>
      </c>
      <c r="N448" s="276"/>
      <c r="O448" s="278"/>
      <c r="P448" s="280"/>
      <c r="Q448" s="204">
        <v>4</v>
      </c>
      <c r="R448" s="112"/>
      <c r="S448" s="204" t="str">
        <f t="shared" si="167"/>
        <v/>
      </c>
      <c r="T448" s="113"/>
      <c r="U448" s="113"/>
      <c r="V448" s="167" t="str">
        <f t="shared" si="166"/>
        <v/>
      </c>
      <c r="W448" s="113"/>
      <c r="X448" s="113"/>
      <c r="Y448" s="113"/>
      <c r="Z448" s="165" t="str">
        <f>IFERROR(IF(S448="Probabilidad",(K445-(+K445*V448)),IF(S448="Impacto",K445,"")),"")</f>
        <v/>
      </c>
      <c r="AA448" s="166" t="str">
        <f t="shared" si="168"/>
        <v/>
      </c>
      <c r="AB448" s="167" t="str">
        <f t="shared" si="169"/>
        <v/>
      </c>
      <c r="AC448" s="166" t="str">
        <f t="shared" si="170"/>
        <v/>
      </c>
      <c r="AD448" s="167" t="str">
        <f t="shared" ref="AD448:AD486" si="172">IFERROR(IF(S448="Impacto",(O448-(+O448*V448)),IF(S448="Probabilidad",O448,"")),"")</f>
        <v/>
      </c>
      <c r="AE448" s="168" t="str">
        <f t="shared" si="171"/>
        <v/>
      </c>
      <c r="AF448" s="113"/>
      <c r="AG448" s="203"/>
      <c r="AH448" s="202"/>
      <c r="AI448" s="114"/>
      <c r="AJ448" s="114"/>
      <c r="AK448" s="203"/>
      <c r="AL448" s="202"/>
      <c r="AM448" s="155"/>
      <c r="AN448" s="155"/>
      <c r="AO448" s="155"/>
      <c r="AP448" s="155"/>
      <c r="AQ448" s="155"/>
      <c r="AR448" s="155"/>
      <c r="AS448" s="155"/>
      <c r="AT448" s="155"/>
      <c r="AU448" s="155"/>
      <c r="AV448" s="155"/>
      <c r="AW448" s="155"/>
      <c r="AX448" s="155"/>
      <c r="AY448" s="155"/>
      <c r="AZ448" s="155"/>
      <c r="BA448" s="155"/>
      <c r="BB448" s="155"/>
      <c r="BC448" s="155"/>
      <c r="BD448" s="155"/>
      <c r="BE448" s="155"/>
      <c r="BF448" s="155"/>
      <c r="BG448" s="155"/>
      <c r="BH448" s="155"/>
      <c r="BI448" s="155"/>
      <c r="BJ448" s="155"/>
      <c r="BK448" s="155"/>
      <c r="BL448" s="155"/>
      <c r="BM448" s="155"/>
      <c r="BN448" s="155"/>
      <c r="BO448" s="155"/>
      <c r="BP448" s="155"/>
      <c r="BQ448" s="155"/>
      <c r="BR448" s="155"/>
    </row>
    <row r="449" spans="1:70" s="156" customFormat="1" ht="16.5" hidden="1" customHeight="1" x14ac:dyDescent="0.25">
      <c r="A449" s="266"/>
      <c r="B449" s="268"/>
      <c r="C449" s="268"/>
      <c r="D449" s="271"/>
      <c r="E449" s="271"/>
      <c r="F449" s="271"/>
      <c r="G449" s="363"/>
      <c r="H449" s="271"/>
      <c r="I449" s="266"/>
      <c r="J449" s="276"/>
      <c r="K449" s="278"/>
      <c r="L449" s="274"/>
      <c r="M449" s="278">
        <f ca="1">IF(NOT(ISERROR(MATCH(L449,_xlfn.ANCHORARRAY(G460),0))),K462&amp;"Por favor no seleccionar los criterios de impacto",L449)</f>
        <v>0</v>
      </c>
      <c r="N449" s="276"/>
      <c r="O449" s="278"/>
      <c r="P449" s="280"/>
      <c r="Q449" s="204">
        <v>5</v>
      </c>
      <c r="R449" s="112"/>
      <c r="S449" s="204" t="str">
        <f t="shared" si="167"/>
        <v/>
      </c>
      <c r="T449" s="113"/>
      <c r="U449" s="113"/>
      <c r="V449" s="167" t="str">
        <f t="shared" si="166"/>
        <v/>
      </c>
      <c r="W449" s="113"/>
      <c r="X449" s="113"/>
      <c r="Y449" s="113"/>
      <c r="Z449" s="165" t="str">
        <f>IFERROR(IF(S449="Probabilidad",(K445-(+K445*V449)),IF(S449="Impacto",K445,"")),"")</f>
        <v/>
      </c>
      <c r="AA449" s="166" t="str">
        <f t="shared" si="168"/>
        <v/>
      </c>
      <c r="AB449" s="167" t="str">
        <f t="shared" si="169"/>
        <v/>
      </c>
      <c r="AC449" s="166" t="str">
        <f t="shared" si="170"/>
        <v/>
      </c>
      <c r="AD449" s="167" t="str">
        <f t="shared" si="172"/>
        <v/>
      </c>
      <c r="AE449" s="168" t="str">
        <f t="shared" si="171"/>
        <v/>
      </c>
      <c r="AF449" s="113"/>
      <c r="AG449" s="203"/>
      <c r="AH449" s="202"/>
      <c r="AI449" s="114"/>
      <c r="AJ449" s="114"/>
      <c r="AK449" s="203"/>
      <c r="AL449" s="202"/>
      <c r="AM449" s="155"/>
      <c r="AN449" s="155"/>
      <c r="AO449" s="155"/>
      <c r="AP449" s="155"/>
      <c r="AQ449" s="155"/>
      <c r="AR449" s="155"/>
      <c r="AS449" s="155"/>
      <c r="AT449" s="155"/>
      <c r="AU449" s="155"/>
      <c r="AV449" s="155"/>
      <c r="AW449" s="155"/>
      <c r="AX449" s="155"/>
      <c r="AY449" s="155"/>
      <c r="AZ449" s="155"/>
      <c r="BA449" s="155"/>
      <c r="BB449" s="155"/>
      <c r="BC449" s="155"/>
      <c r="BD449" s="155"/>
      <c r="BE449" s="155"/>
      <c r="BF449" s="155"/>
      <c r="BG449" s="155"/>
      <c r="BH449" s="155"/>
      <c r="BI449" s="155"/>
      <c r="BJ449" s="155"/>
      <c r="BK449" s="155"/>
      <c r="BL449" s="155"/>
      <c r="BM449" s="155"/>
      <c r="BN449" s="155"/>
      <c r="BO449" s="155"/>
      <c r="BP449" s="155"/>
      <c r="BQ449" s="155"/>
      <c r="BR449" s="155"/>
    </row>
    <row r="450" spans="1:70" s="156" customFormat="1" ht="16.5" hidden="1" customHeight="1" x14ac:dyDescent="0.25">
      <c r="A450" s="266"/>
      <c r="B450" s="269"/>
      <c r="C450" s="269"/>
      <c r="D450" s="271"/>
      <c r="E450" s="271"/>
      <c r="F450" s="271"/>
      <c r="G450" s="363"/>
      <c r="H450" s="271"/>
      <c r="I450" s="266"/>
      <c r="J450" s="276"/>
      <c r="K450" s="278"/>
      <c r="L450" s="274"/>
      <c r="M450" s="278">
        <f ca="1">IF(NOT(ISERROR(MATCH(L450,_xlfn.ANCHORARRAY(G461),0))),K463&amp;"Por favor no seleccionar los criterios de impacto",L450)</f>
        <v>0</v>
      </c>
      <c r="N450" s="276"/>
      <c r="O450" s="278"/>
      <c r="P450" s="280"/>
      <c r="Q450" s="204">
        <v>6</v>
      </c>
      <c r="R450" s="112"/>
      <c r="S450" s="204" t="str">
        <f t="shared" si="167"/>
        <v/>
      </c>
      <c r="T450" s="113"/>
      <c r="U450" s="113"/>
      <c r="V450" s="167" t="str">
        <f t="shared" si="166"/>
        <v/>
      </c>
      <c r="W450" s="113"/>
      <c r="X450" s="113"/>
      <c r="Y450" s="113"/>
      <c r="Z450" s="165" t="str">
        <f>IFERROR(IF(S449="Probabilidad",(K445-(+K445*V450)),IF(S450="Impacto",K445,"")),"")</f>
        <v/>
      </c>
      <c r="AA450" s="166" t="str">
        <f t="shared" si="168"/>
        <v/>
      </c>
      <c r="AB450" s="167" t="str">
        <f t="shared" si="169"/>
        <v/>
      </c>
      <c r="AC450" s="166" t="str">
        <f t="shared" si="170"/>
        <v/>
      </c>
      <c r="AD450" s="167" t="str">
        <f t="shared" si="172"/>
        <v/>
      </c>
      <c r="AE450" s="168" t="str">
        <f t="shared" si="171"/>
        <v/>
      </c>
      <c r="AF450" s="113"/>
      <c r="AG450" s="203"/>
      <c r="AH450" s="202"/>
      <c r="AI450" s="114"/>
      <c r="AJ450" s="114"/>
      <c r="AK450" s="203"/>
      <c r="AL450" s="202"/>
      <c r="AM450" s="155"/>
      <c r="AN450" s="155"/>
      <c r="AO450" s="155"/>
      <c r="AP450" s="155"/>
      <c r="AQ450" s="155"/>
      <c r="AR450" s="155"/>
      <c r="AS450" s="155"/>
      <c r="AT450" s="155"/>
      <c r="AU450" s="155"/>
      <c r="AV450" s="155"/>
      <c r="AW450" s="155"/>
      <c r="AX450" s="155"/>
      <c r="AY450" s="155"/>
      <c r="AZ450" s="155"/>
      <c r="BA450" s="155"/>
      <c r="BB450" s="155"/>
      <c r="BC450" s="155"/>
      <c r="BD450" s="155"/>
      <c r="BE450" s="155"/>
      <c r="BF450" s="155"/>
      <c r="BG450" s="155"/>
      <c r="BH450" s="155"/>
      <c r="BI450" s="155"/>
      <c r="BJ450" s="155"/>
      <c r="BK450" s="155"/>
      <c r="BL450" s="155"/>
      <c r="BM450" s="155"/>
      <c r="BN450" s="155"/>
      <c r="BO450" s="155"/>
      <c r="BP450" s="155"/>
      <c r="BQ450" s="155"/>
      <c r="BR450" s="155"/>
    </row>
    <row r="451" spans="1:70" s="156" customFormat="1" ht="64.5" x14ac:dyDescent="0.25">
      <c r="A451" s="266">
        <v>74</v>
      </c>
      <c r="B451" s="267" t="s">
        <v>220</v>
      </c>
      <c r="C451" s="267" t="s">
        <v>858</v>
      </c>
      <c r="D451" s="270" t="s">
        <v>132</v>
      </c>
      <c r="E451" s="270" t="s">
        <v>859</v>
      </c>
      <c r="F451" s="270" t="s">
        <v>860</v>
      </c>
      <c r="G451" s="362" t="s">
        <v>861</v>
      </c>
      <c r="H451" s="270" t="s">
        <v>437</v>
      </c>
      <c r="I451" s="281">
        <v>365</v>
      </c>
      <c r="J451" s="275" t="str">
        <f>IF(I451&lt;=0,"",IF(I451&lt;=2,"Muy Baja",IF(I451&lt;=24,"Baja",IF(I451&lt;=500,"Media",IF(I451&lt;=5000,"Alta","Muy Alta")))))</f>
        <v>Media</v>
      </c>
      <c r="K451" s="277">
        <f>IF(J451="","",IF(J451="Muy Baja",0.2,IF(J451="Baja",0.4,IF(J451="Media",0.6,IF(J451="Alta",0.8,IF(J451="Muy Alta",1,))))))</f>
        <v>0.6</v>
      </c>
      <c r="L451" s="273" t="s">
        <v>92</v>
      </c>
      <c r="M451" s="277" t="str">
        <f>IF(NOT(ISERROR(MATCH(L451,'[13]Tabla Impacto'!$B$221:$B$223,0))),'[13]Tabla Impacto'!$F$223&amp;"Por favor no seleccionar los criterios de impacto(Afectación Económica o presupuestal y Pérdida Reputacional)",L451)</f>
        <v xml:space="preserve">Entre 50 y 100 SMLMV </v>
      </c>
      <c r="N451" s="275" t="str">
        <f>+IF(OR(M451='[13]Tabla Impacto'!$C$11,M451='[13]Tabla Impacto'!$D$11),"Leve",IF(OR(M451='[13]Tabla Impacto'!$C$12,M451='[13]Tabla Impacto'!$D$12),"Menor",IF(OR(M451='[13]Tabla Impacto'!$C$13,M451='[13]Tabla Impacto'!$D$13),"Moderado",IF(OR(M451='[13]Tabla Impacto'!$C$14,M451='[13]Tabla Impacto'!$D$14),"Mayor",IF(OR(M451='[13]Tabla Impacto'!$C$15,M451='[13]Tabla Impacto'!$D$15),"Catastrófico","")))))</f>
        <v>Moderado</v>
      </c>
      <c r="O451" s="277">
        <f>IF(N451="","",IF(N451="Leve",0.2,IF(N451="Menor",0.4,IF(N451="Moderado",0.6,IF(N451="Mayor",0.8,IF(N451="Catastrófico",1,))))))</f>
        <v>0.6</v>
      </c>
      <c r="P451" s="279" t="str">
        <f>IF(OR(AND(J451="Muy Baja",N451="Leve"),AND(J451="Muy Baja",N451="Menor"),AND(J451="Baja",N451="Leve")),"Bajo",IF(OR(AND(J451="Muy baja",N451="Moderado"),AND(J451="Baja",N451="Menor"),AND(J451="Baja",N451="Moderado"),AND(J451="Media",N451="Leve"),AND(J451="Media",N451="Menor"),AND(J451="Media",N451="Moderado"),AND(J451="Alta",N451="Leve"),AND(J451="Alta",N451="Menor")),"Moderado",IF(OR(AND(J451="Muy Baja",N451="Mayor"),AND(J451="Baja",N451="Mayor"),AND(J451="Media",N451="Mayor"),AND(J451="Alta",N451="Moderado"),AND(J451="Alta",N451="Mayor"),AND(J451="Muy Alta",N451="Leve"),AND(J451="Muy Alta",N451="Menor"),AND(J451="Muy Alta",N451="Moderado"),AND(J451="Muy Alta",N451="Mayor")),"Alto",IF(OR(AND(J451="Muy Baja",N451="Catastrófico"),AND(J451="Baja",N451="Catastrófico"),AND(J451="Media",N451="Catastrófico"),AND(J451="Alta",N451="Catastrófico"),AND(J451="Muy Alta",N451="Catastrófico")),"Extremo",""))))</f>
        <v>Moderado</v>
      </c>
      <c r="Q451" s="204">
        <v>1</v>
      </c>
      <c r="R451" s="112" t="s">
        <v>889</v>
      </c>
      <c r="S451" s="204" t="str">
        <f t="shared" si="167"/>
        <v>Probabilidad</v>
      </c>
      <c r="T451" s="113" t="s">
        <v>14</v>
      </c>
      <c r="U451" s="113" t="s">
        <v>9</v>
      </c>
      <c r="V451" s="167" t="str">
        <f t="shared" si="166"/>
        <v>40%</v>
      </c>
      <c r="W451" s="113" t="s">
        <v>19</v>
      </c>
      <c r="X451" s="113" t="s">
        <v>22</v>
      </c>
      <c r="Y451" s="113" t="s">
        <v>117</v>
      </c>
      <c r="Z451" s="165">
        <f t="shared" ref="Z451:Z481" si="173">IFERROR(IF(S451="Probabilidad",(K451-(+K451*V451)),IF(S451="Impacto",K451,"")),"")</f>
        <v>0.36</v>
      </c>
      <c r="AA451" s="166" t="str">
        <f t="shared" si="168"/>
        <v>Baja</v>
      </c>
      <c r="AB451" s="167">
        <f t="shared" si="169"/>
        <v>0.36</v>
      </c>
      <c r="AC451" s="166" t="str">
        <f t="shared" si="170"/>
        <v>Moderado</v>
      </c>
      <c r="AD451" s="167">
        <f t="shared" si="172"/>
        <v>0.6</v>
      </c>
      <c r="AE451" s="168" t="str">
        <f t="shared" si="171"/>
        <v>Moderado</v>
      </c>
      <c r="AF451" s="113" t="s">
        <v>31</v>
      </c>
      <c r="AG451" s="203"/>
      <c r="AH451" s="202"/>
      <c r="AI451" s="114"/>
      <c r="AJ451" s="114"/>
      <c r="AK451" s="203"/>
      <c r="AL451" s="202"/>
      <c r="AM451" s="155"/>
      <c r="AN451" s="155"/>
      <c r="AO451" s="155"/>
      <c r="AP451" s="155"/>
      <c r="AQ451" s="155"/>
      <c r="AR451" s="155"/>
      <c r="AS451" s="155"/>
      <c r="AT451" s="155"/>
      <c r="AU451" s="155"/>
      <c r="AV451" s="155"/>
      <c r="AW451" s="155"/>
      <c r="AX451" s="155"/>
      <c r="AY451" s="155"/>
      <c r="AZ451" s="155"/>
      <c r="BA451" s="155"/>
      <c r="BB451" s="155"/>
      <c r="BC451" s="155"/>
      <c r="BD451" s="155"/>
      <c r="BE451" s="155"/>
      <c r="BF451" s="155"/>
      <c r="BG451" s="155"/>
      <c r="BH451" s="155"/>
      <c r="BI451" s="155"/>
      <c r="BJ451" s="155"/>
      <c r="BK451" s="155"/>
      <c r="BL451" s="155"/>
      <c r="BM451" s="155"/>
      <c r="BN451" s="155"/>
      <c r="BO451" s="155"/>
      <c r="BP451" s="155"/>
      <c r="BQ451" s="155"/>
      <c r="BR451" s="155"/>
    </row>
    <row r="452" spans="1:70" s="156" customFormat="1" ht="64.5" x14ac:dyDescent="0.25">
      <c r="A452" s="266"/>
      <c r="B452" s="294"/>
      <c r="C452" s="294"/>
      <c r="D452" s="270"/>
      <c r="E452" s="270"/>
      <c r="F452" s="270"/>
      <c r="G452" s="362"/>
      <c r="H452" s="270"/>
      <c r="I452" s="281"/>
      <c r="J452" s="275"/>
      <c r="K452" s="277"/>
      <c r="L452" s="273"/>
      <c r="M452" s="277">
        <f ca="1">IF(NOT(ISERROR(MATCH(L452,_xlfn.ANCHORARRAY(G463),0))),K465&amp;"Por favor no seleccionar los criterios de impacto",L452)</f>
        <v>0</v>
      </c>
      <c r="N452" s="275"/>
      <c r="O452" s="277"/>
      <c r="P452" s="279"/>
      <c r="Q452" s="204">
        <v>2</v>
      </c>
      <c r="R452" s="112" t="s">
        <v>890</v>
      </c>
      <c r="S452" s="204" t="str">
        <f t="shared" si="167"/>
        <v>Probabilidad</v>
      </c>
      <c r="T452" s="113" t="s">
        <v>14</v>
      </c>
      <c r="U452" s="113" t="s">
        <v>9</v>
      </c>
      <c r="V452" s="167" t="str">
        <f t="shared" si="166"/>
        <v>40%</v>
      </c>
      <c r="W452" s="113" t="s">
        <v>19</v>
      </c>
      <c r="X452" s="113" t="s">
        <v>22</v>
      </c>
      <c r="Y452" s="113" t="s">
        <v>117</v>
      </c>
      <c r="Z452" s="165">
        <f>IFERROR(IF(S452="Probabilidad",(K451-(+K451*V452)),IF(S452="Impacto",K451,"")),"")</f>
        <v>0.36</v>
      </c>
      <c r="AA452" s="166" t="str">
        <f t="shared" si="168"/>
        <v>Baja</v>
      </c>
      <c r="AB452" s="167">
        <f t="shared" si="169"/>
        <v>0.36</v>
      </c>
      <c r="AC452" s="166" t="str">
        <f t="shared" si="170"/>
        <v>Moderado</v>
      </c>
      <c r="AD452" s="167">
        <f>IFERROR(IF(S452="Impacto",(O451-(+O451*V452)),IF(S452="Probabilidad",O451,"")),"")</f>
        <v>0.6</v>
      </c>
      <c r="AE452" s="168" t="str">
        <f t="shared" si="171"/>
        <v>Moderado</v>
      </c>
      <c r="AF452" s="113" t="s">
        <v>31</v>
      </c>
      <c r="AG452" s="203"/>
      <c r="AH452" s="202"/>
      <c r="AI452" s="114"/>
      <c r="AJ452" s="114"/>
      <c r="AK452" s="203"/>
      <c r="AL452" s="202"/>
      <c r="AM452" s="155"/>
      <c r="AN452" s="155"/>
      <c r="AO452" s="155"/>
      <c r="AP452" s="155"/>
      <c r="AQ452" s="155"/>
      <c r="AR452" s="155"/>
      <c r="AS452" s="155"/>
      <c r="AT452" s="155"/>
      <c r="AU452" s="155"/>
      <c r="AV452" s="155"/>
      <c r="AW452" s="155"/>
      <c r="AX452" s="155"/>
      <c r="AY452" s="155"/>
      <c r="AZ452" s="155"/>
      <c r="BA452" s="155"/>
      <c r="BB452" s="155"/>
      <c r="BC452" s="155"/>
      <c r="BD452" s="155"/>
      <c r="BE452" s="155"/>
      <c r="BF452" s="155"/>
      <c r="BG452" s="155"/>
      <c r="BH452" s="155"/>
      <c r="BI452" s="155"/>
      <c r="BJ452" s="155"/>
      <c r="BK452" s="155"/>
      <c r="BL452" s="155"/>
      <c r="BM452" s="155"/>
      <c r="BN452" s="155"/>
      <c r="BO452" s="155"/>
      <c r="BP452" s="155"/>
      <c r="BQ452" s="155"/>
      <c r="BR452" s="155"/>
    </row>
    <row r="453" spans="1:70" s="156" customFormat="1" ht="64.5" x14ac:dyDescent="0.25">
      <c r="A453" s="266"/>
      <c r="B453" s="294"/>
      <c r="C453" s="294"/>
      <c r="D453" s="270"/>
      <c r="E453" s="270"/>
      <c r="F453" s="270"/>
      <c r="G453" s="362"/>
      <c r="H453" s="270"/>
      <c r="I453" s="281"/>
      <c r="J453" s="275"/>
      <c r="K453" s="277"/>
      <c r="L453" s="273"/>
      <c r="M453" s="277">
        <f ca="1">IF(NOT(ISERROR(MATCH(L453,_xlfn.ANCHORARRAY(G464),0))),K466&amp;"Por favor no seleccionar los criterios de impacto",L453)</f>
        <v>0</v>
      </c>
      <c r="N453" s="275"/>
      <c r="O453" s="277"/>
      <c r="P453" s="279"/>
      <c r="Q453" s="204">
        <v>3</v>
      </c>
      <c r="R453" s="112" t="s">
        <v>891</v>
      </c>
      <c r="S453" s="204" t="str">
        <f t="shared" si="167"/>
        <v>Probabilidad</v>
      </c>
      <c r="T453" s="113" t="s">
        <v>14</v>
      </c>
      <c r="U453" s="113" t="s">
        <v>9</v>
      </c>
      <c r="V453" s="167" t="str">
        <f t="shared" si="166"/>
        <v>40%</v>
      </c>
      <c r="W453" s="113" t="s">
        <v>19</v>
      </c>
      <c r="X453" s="113" t="s">
        <v>22</v>
      </c>
      <c r="Y453" s="113" t="s">
        <v>117</v>
      </c>
      <c r="Z453" s="165">
        <f>IFERROR(IF(S453="Probabilidad",(K451-(+K451*V453)),IF(S453="Impacto",K451,"")),"")</f>
        <v>0.36</v>
      </c>
      <c r="AA453" s="166" t="str">
        <f t="shared" si="168"/>
        <v>Baja</v>
      </c>
      <c r="AB453" s="167">
        <f t="shared" si="169"/>
        <v>0.36</v>
      </c>
      <c r="AC453" s="166" t="str">
        <f t="shared" si="170"/>
        <v>Moderado</v>
      </c>
      <c r="AD453" s="167">
        <f>IFERROR(IF(S453="Impacto",(O451-(+O451*V453)),IF(S453="Probabilidad",O451,"")),"")</f>
        <v>0.6</v>
      </c>
      <c r="AE453" s="168" t="str">
        <f t="shared" si="171"/>
        <v>Moderado</v>
      </c>
      <c r="AF453" s="113" t="s">
        <v>31</v>
      </c>
      <c r="AG453" s="203"/>
      <c r="AH453" s="202"/>
      <c r="AI453" s="114"/>
      <c r="AJ453" s="114"/>
      <c r="AK453" s="203"/>
      <c r="AL453" s="202"/>
      <c r="AM453" s="155"/>
      <c r="AN453" s="155"/>
      <c r="AO453" s="155"/>
      <c r="AP453" s="155"/>
      <c r="AQ453" s="155"/>
      <c r="AR453" s="155"/>
      <c r="AS453" s="155"/>
      <c r="AT453" s="155"/>
      <c r="AU453" s="155"/>
      <c r="AV453" s="155"/>
      <c r="AW453" s="155"/>
      <c r="AX453" s="155"/>
      <c r="AY453" s="155"/>
      <c r="AZ453" s="155"/>
      <c r="BA453" s="155"/>
      <c r="BB453" s="155"/>
      <c r="BC453" s="155"/>
      <c r="BD453" s="155"/>
      <c r="BE453" s="155"/>
      <c r="BF453" s="155"/>
      <c r="BG453" s="155"/>
      <c r="BH453" s="155"/>
      <c r="BI453" s="155"/>
      <c r="BJ453" s="155"/>
      <c r="BK453" s="155"/>
      <c r="BL453" s="155"/>
      <c r="BM453" s="155"/>
      <c r="BN453" s="155"/>
      <c r="BO453" s="155"/>
      <c r="BP453" s="155"/>
      <c r="BQ453" s="155"/>
      <c r="BR453" s="155"/>
    </row>
    <row r="454" spans="1:70" s="156" customFormat="1" ht="72.75" x14ac:dyDescent="0.25">
      <c r="A454" s="266"/>
      <c r="B454" s="294"/>
      <c r="C454" s="294"/>
      <c r="D454" s="270"/>
      <c r="E454" s="270"/>
      <c r="F454" s="270"/>
      <c r="G454" s="362"/>
      <c r="H454" s="270"/>
      <c r="I454" s="281"/>
      <c r="J454" s="275"/>
      <c r="K454" s="277"/>
      <c r="L454" s="273"/>
      <c r="M454" s="277">
        <f ca="1">IF(NOT(ISERROR(MATCH(L454,_xlfn.ANCHORARRAY(G465),0))),K467&amp;"Por favor no seleccionar los criterios de impacto",L454)</f>
        <v>0</v>
      </c>
      <c r="N454" s="275"/>
      <c r="O454" s="277"/>
      <c r="P454" s="279"/>
      <c r="Q454" s="204">
        <v>4</v>
      </c>
      <c r="R454" s="112" t="s">
        <v>892</v>
      </c>
      <c r="S454" s="204" t="str">
        <f t="shared" si="167"/>
        <v>Probabilidad</v>
      </c>
      <c r="T454" s="113" t="s">
        <v>14</v>
      </c>
      <c r="U454" s="113" t="s">
        <v>9</v>
      </c>
      <c r="V454" s="167" t="str">
        <f t="shared" si="166"/>
        <v>40%</v>
      </c>
      <c r="W454" s="113" t="s">
        <v>20</v>
      </c>
      <c r="X454" s="113" t="s">
        <v>22</v>
      </c>
      <c r="Y454" s="113" t="s">
        <v>117</v>
      </c>
      <c r="Z454" s="165">
        <f>IFERROR(IF(S454="Probabilidad",(K451-(+K451*V454)),IF(S454="Impacto",K451,"")),"")</f>
        <v>0.36</v>
      </c>
      <c r="AA454" s="166" t="str">
        <f t="shared" si="168"/>
        <v>Baja</v>
      </c>
      <c r="AB454" s="167">
        <f t="shared" si="169"/>
        <v>0.36</v>
      </c>
      <c r="AC454" s="166" t="str">
        <f t="shared" si="170"/>
        <v>Moderado</v>
      </c>
      <c r="AD454" s="167">
        <f>IFERROR(IF(S454="Impacto",(O451-(+O451*V454)),IF(S454="Probabilidad",O451,"")),"")</f>
        <v>0.6</v>
      </c>
      <c r="AE454" s="168" t="str">
        <f t="shared" si="171"/>
        <v>Moderado</v>
      </c>
      <c r="AF454" s="113" t="s">
        <v>31</v>
      </c>
      <c r="AG454" s="203"/>
      <c r="AH454" s="202"/>
      <c r="AI454" s="114"/>
      <c r="AJ454" s="114"/>
      <c r="AK454" s="203"/>
      <c r="AL454" s="202"/>
      <c r="AM454" s="155"/>
      <c r="AN454" s="155"/>
      <c r="AO454" s="155"/>
      <c r="AP454" s="155"/>
      <c r="AQ454" s="155"/>
      <c r="AR454" s="155"/>
      <c r="AS454" s="155"/>
      <c r="AT454" s="155"/>
      <c r="AU454" s="155"/>
      <c r="AV454" s="155"/>
      <c r="AW454" s="155"/>
      <c r="AX454" s="155"/>
      <c r="AY454" s="155"/>
      <c r="AZ454" s="155"/>
      <c r="BA454" s="155"/>
      <c r="BB454" s="155"/>
      <c r="BC454" s="155"/>
      <c r="BD454" s="155"/>
      <c r="BE454" s="155"/>
      <c r="BF454" s="155"/>
      <c r="BG454" s="155"/>
      <c r="BH454" s="155"/>
      <c r="BI454" s="155"/>
      <c r="BJ454" s="155"/>
      <c r="BK454" s="155"/>
      <c r="BL454" s="155"/>
      <c r="BM454" s="155"/>
      <c r="BN454" s="155"/>
      <c r="BO454" s="155"/>
      <c r="BP454" s="155"/>
      <c r="BQ454" s="155"/>
      <c r="BR454" s="155"/>
    </row>
    <row r="455" spans="1:70" s="156" customFormat="1" ht="16.5" hidden="1" customHeight="1" x14ac:dyDescent="0.25">
      <c r="A455" s="266"/>
      <c r="B455" s="268"/>
      <c r="C455" s="268"/>
      <c r="D455" s="271"/>
      <c r="E455" s="271"/>
      <c r="F455" s="271"/>
      <c r="G455" s="363"/>
      <c r="H455" s="271"/>
      <c r="I455" s="266"/>
      <c r="J455" s="276"/>
      <c r="K455" s="278"/>
      <c r="L455" s="274"/>
      <c r="M455" s="278">
        <f ca="1">IF(NOT(ISERROR(MATCH(L455,_xlfn.ANCHORARRAY(G466),0))),K468&amp;"Por favor no seleccionar los criterios de impacto",L455)</f>
        <v>0</v>
      </c>
      <c r="N455" s="276"/>
      <c r="O455" s="278"/>
      <c r="P455" s="280"/>
      <c r="Q455" s="204">
        <v>5</v>
      </c>
      <c r="R455" s="112"/>
      <c r="S455" s="204" t="str">
        <f t="shared" si="167"/>
        <v/>
      </c>
      <c r="T455" s="113"/>
      <c r="U455" s="113"/>
      <c r="V455" s="167" t="str">
        <f t="shared" si="166"/>
        <v/>
      </c>
      <c r="W455" s="113"/>
      <c r="X455" s="113"/>
      <c r="Y455" s="113"/>
      <c r="Z455" s="165" t="str">
        <f>IFERROR(IF(S455="Probabilidad",(K451-(+K451*V455)),IF(S455="Impacto",K451,"")),"")</f>
        <v/>
      </c>
      <c r="AA455" s="166" t="str">
        <f t="shared" si="168"/>
        <v/>
      </c>
      <c r="AB455" s="167" t="str">
        <f t="shared" si="169"/>
        <v/>
      </c>
      <c r="AC455" s="166" t="str">
        <f t="shared" si="170"/>
        <v/>
      </c>
      <c r="AD455" s="167" t="str">
        <f t="shared" si="172"/>
        <v/>
      </c>
      <c r="AE455" s="168" t="str">
        <f t="shared" si="171"/>
        <v/>
      </c>
      <c r="AF455" s="113"/>
      <c r="AG455" s="203"/>
      <c r="AH455" s="202"/>
      <c r="AI455" s="114"/>
      <c r="AJ455" s="114"/>
      <c r="AK455" s="203"/>
      <c r="AL455" s="202"/>
      <c r="AM455" s="155"/>
      <c r="AN455" s="155"/>
      <c r="AO455" s="155"/>
      <c r="AP455" s="155"/>
      <c r="AQ455" s="155"/>
      <c r="AR455" s="155"/>
      <c r="AS455" s="155"/>
      <c r="AT455" s="155"/>
      <c r="AU455" s="155"/>
      <c r="AV455" s="155"/>
      <c r="AW455" s="155"/>
      <c r="AX455" s="155"/>
      <c r="AY455" s="155"/>
      <c r="AZ455" s="155"/>
      <c r="BA455" s="155"/>
      <c r="BB455" s="155"/>
      <c r="BC455" s="155"/>
      <c r="BD455" s="155"/>
      <c r="BE455" s="155"/>
      <c r="BF455" s="155"/>
      <c r="BG455" s="155"/>
      <c r="BH455" s="155"/>
      <c r="BI455" s="155"/>
      <c r="BJ455" s="155"/>
      <c r="BK455" s="155"/>
      <c r="BL455" s="155"/>
      <c r="BM455" s="155"/>
      <c r="BN455" s="155"/>
      <c r="BO455" s="155"/>
      <c r="BP455" s="155"/>
      <c r="BQ455" s="155"/>
      <c r="BR455" s="155"/>
    </row>
    <row r="456" spans="1:70" s="156" customFormat="1" ht="16.5" hidden="1" customHeight="1" x14ac:dyDescent="0.25">
      <c r="A456" s="266"/>
      <c r="B456" s="269"/>
      <c r="C456" s="269"/>
      <c r="D456" s="271"/>
      <c r="E456" s="271"/>
      <c r="F456" s="271"/>
      <c r="G456" s="363"/>
      <c r="H456" s="271"/>
      <c r="I456" s="266"/>
      <c r="J456" s="276"/>
      <c r="K456" s="278"/>
      <c r="L456" s="274"/>
      <c r="M456" s="278">
        <f ca="1">IF(NOT(ISERROR(MATCH(L456,_xlfn.ANCHORARRAY(G467),0))),K469&amp;"Por favor no seleccionar los criterios de impacto",L456)</f>
        <v>0</v>
      </c>
      <c r="N456" s="276"/>
      <c r="O456" s="278"/>
      <c r="P456" s="280"/>
      <c r="Q456" s="204">
        <v>6</v>
      </c>
      <c r="R456" s="112"/>
      <c r="S456" s="204" t="str">
        <f t="shared" si="167"/>
        <v/>
      </c>
      <c r="T456" s="113"/>
      <c r="U456" s="113"/>
      <c r="V456" s="167" t="str">
        <f t="shared" si="166"/>
        <v/>
      </c>
      <c r="W456" s="113"/>
      <c r="X456" s="113"/>
      <c r="Y456" s="113"/>
      <c r="Z456" s="165" t="str">
        <f>IFERROR(IF(S456="Probabilidad",(K451-(+K451*V456)),IF(S456="Impacto",K451,"")),"")</f>
        <v/>
      </c>
      <c r="AA456" s="166" t="str">
        <f t="shared" si="168"/>
        <v/>
      </c>
      <c r="AB456" s="167" t="str">
        <f t="shared" si="169"/>
        <v/>
      </c>
      <c r="AC456" s="166" t="str">
        <f t="shared" si="170"/>
        <v/>
      </c>
      <c r="AD456" s="167" t="str">
        <f t="shared" si="172"/>
        <v/>
      </c>
      <c r="AE456" s="168" t="str">
        <f t="shared" si="171"/>
        <v/>
      </c>
      <c r="AF456" s="113"/>
      <c r="AG456" s="203"/>
      <c r="AH456" s="202"/>
      <c r="AI456" s="114"/>
      <c r="AJ456" s="114"/>
      <c r="AK456" s="203"/>
      <c r="AL456" s="202"/>
      <c r="AM456" s="155"/>
      <c r="AN456" s="155"/>
      <c r="AO456" s="155"/>
      <c r="AP456" s="155"/>
      <c r="AQ456" s="155"/>
      <c r="AR456" s="155"/>
      <c r="AS456" s="155"/>
      <c r="AT456" s="155"/>
      <c r="AU456" s="155"/>
      <c r="AV456" s="155"/>
      <c r="AW456" s="155"/>
      <c r="AX456" s="155"/>
      <c r="AY456" s="155"/>
      <c r="AZ456" s="155"/>
      <c r="BA456" s="155"/>
      <c r="BB456" s="155"/>
      <c r="BC456" s="155"/>
      <c r="BD456" s="155"/>
      <c r="BE456" s="155"/>
      <c r="BF456" s="155"/>
      <c r="BG456" s="155"/>
      <c r="BH456" s="155"/>
      <c r="BI456" s="155"/>
      <c r="BJ456" s="155"/>
      <c r="BK456" s="155"/>
      <c r="BL456" s="155"/>
      <c r="BM456" s="155"/>
      <c r="BN456" s="155"/>
      <c r="BO456" s="155"/>
      <c r="BP456" s="155"/>
      <c r="BQ456" s="155"/>
      <c r="BR456" s="155"/>
    </row>
    <row r="457" spans="1:70" s="156" customFormat="1" ht="75" x14ac:dyDescent="0.25">
      <c r="A457" s="266">
        <v>75</v>
      </c>
      <c r="B457" s="267" t="s">
        <v>220</v>
      </c>
      <c r="C457" s="267" t="s">
        <v>862</v>
      </c>
      <c r="D457" s="270" t="s">
        <v>132</v>
      </c>
      <c r="E457" s="270" t="s">
        <v>859</v>
      </c>
      <c r="F457" s="270" t="s">
        <v>863</v>
      </c>
      <c r="G457" s="362" t="s">
        <v>864</v>
      </c>
      <c r="H457" s="364" t="s">
        <v>123</v>
      </c>
      <c r="I457" s="281">
        <v>365</v>
      </c>
      <c r="J457" s="275" t="str">
        <f>IF(I457&lt;=0,"",IF(I457&lt;=2,"Muy Baja",IF(I457&lt;=24,"Baja",IF(I457&lt;=500,"Media",IF(I457&lt;=5000,"Alta","Muy Alta")))))</f>
        <v>Media</v>
      </c>
      <c r="K457" s="277">
        <f>IF(J457="","",IF(J457="Muy Baja",0.2,IF(J457="Baja",0.4,IF(J457="Media",0.6,IF(J457="Alta",0.8,IF(J457="Muy Alta",1,))))))</f>
        <v>0.6</v>
      </c>
      <c r="L457" s="273" t="s">
        <v>93</v>
      </c>
      <c r="M457" s="277" t="str">
        <f>IF(NOT(ISERROR(MATCH(L457,'[13]Tabla Impacto'!$B$221:$B$223,0))),'[13]Tabla Impacto'!$F$223&amp;"Por favor no seleccionar los criterios de impacto(Afectación Económica o presupuestal y Pérdida Reputacional)",L457)</f>
        <v xml:space="preserve">Entre 100 y 500 SMLMV </v>
      </c>
      <c r="N457" s="275" t="str">
        <f>+IF(OR(M457='[13]Tabla Impacto'!$C$11,M457='[13]Tabla Impacto'!$D$11),"Leve",IF(OR(M457='[13]Tabla Impacto'!$C$12,M457='[13]Tabla Impacto'!$D$12),"Menor",IF(OR(M457='[13]Tabla Impacto'!$C$13,M457='[13]Tabla Impacto'!$D$13),"Moderado",IF(OR(M457='[13]Tabla Impacto'!$C$14,M457='[13]Tabla Impacto'!$D$14),"Mayor",IF(OR(M457='[13]Tabla Impacto'!$C$15,M457='[13]Tabla Impacto'!$D$15),"Catastrófico","")))))</f>
        <v>Mayor</v>
      </c>
      <c r="O457" s="277">
        <f>IF(N457="","",IF(N457="Leve",0.2,IF(N457="Menor",0.4,IF(N457="Moderado",0.6,IF(N457="Mayor",0.8,IF(N457="Catastrófico",1,))))))</f>
        <v>0.8</v>
      </c>
      <c r="P457" s="279" t="str">
        <f>IF(OR(AND(J457="Muy Baja",N457="Leve"),AND(J457="Muy Baja",N457="Menor"),AND(J457="Baja",N457="Leve")),"Bajo",IF(OR(AND(J457="Muy baja",N457="Moderado"),AND(J457="Baja",N457="Menor"),AND(J457="Baja",N457="Moderado"),AND(J457="Media",N457="Leve"),AND(J457="Media",N457="Menor"),AND(J457="Media",N457="Moderado"),AND(J457="Alta",N457="Leve"),AND(J457="Alta",N457="Menor")),"Moderado",IF(OR(AND(J457="Muy Baja",N457="Mayor"),AND(J457="Baja",N457="Mayor"),AND(J457="Media",N457="Mayor"),AND(J457="Alta",N457="Moderado"),AND(J457="Alta",N457="Mayor"),AND(J457="Muy Alta",N457="Leve"),AND(J457="Muy Alta",N457="Menor"),AND(J457="Muy Alta",N457="Moderado"),AND(J457="Muy Alta",N457="Mayor")),"Alto",IF(OR(AND(J457="Muy Baja",N457="Catastrófico"),AND(J457="Baja",N457="Catastrófico"),AND(J457="Media",N457="Catastrófico"),AND(J457="Alta",N457="Catastrófico"),AND(J457="Muy Alta",N457="Catastrófico")),"Extremo",""))))</f>
        <v>Alto</v>
      </c>
      <c r="Q457" s="204">
        <v>1</v>
      </c>
      <c r="R457" s="112" t="s">
        <v>893</v>
      </c>
      <c r="S457" s="204" t="str">
        <f t="shared" si="167"/>
        <v>Probabilidad</v>
      </c>
      <c r="T457" s="113" t="s">
        <v>15</v>
      </c>
      <c r="U457" s="113" t="s">
        <v>9</v>
      </c>
      <c r="V457" s="167" t="str">
        <f t="shared" si="166"/>
        <v>30%</v>
      </c>
      <c r="W457" s="113" t="s">
        <v>19</v>
      </c>
      <c r="X457" s="113" t="s">
        <v>22</v>
      </c>
      <c r="Y457" s="113" t="s">
        <v>118</v>
      </c>
      <c r="Z457" s="165">
        <f t="shared" si="173"/>
        <v>0.42</v>
      </c>
      <c r="AA457" s="166" t="str">
        <f t="shared" si="168"/>
        <v>Media</v>
      </c>
      <c r="AB457" s="167">
        <f t="shared" si="169"/>
        <v>0.42</v>
      </c>
      <c r="AC457" s="166" t="str">
        <f t="shared" si="170"/>
        <v>Mayor</v>
      </c>
      <c r="AD457" s="167">
        <f t="shared" si="172"/>
        <v>0.8</v>
      </c>
      <c r="AE457" s="168" t="str">
        <f t="shared" si="171"/>
        <v>Alto</v>
      </c>
      <c r="AF457" s="113" t="s">
        <v>134</v>
      </c>
      <c r="AG457" s="203"/>
      <c r="AH457" s="202"/>
      <c r="AI457" s="114"/>
      <c r="AJ457" s="114"/>
      <c r="AK457" s="203"/>
      <c r="AL457" s="202"/>
      <c r="AM457" s="155"/>
      <c r="AN457" s="155"/>
      <c r="AO457" s="155"/>
      <c r="AP457" s="155"/>
      <c r="AQ457" s="155"/>
      <c r="AR457" s="155"/>
      <c r="AS457" s="155"/>
      <c r="AT457" s="155"/>
      <c r="AU457" s="155"/>
      <c r="AV457" s="155"/>
      <c r="AW457" s="155"/>
      <c r="AX457" s="155"/>
      <c r="AY457" s="155"/>
      <c r="AZ457" s="155"/>
      <c r="BA457" s="155"/>
      <c r="BB457" s="155"/>
      <c r="BC457" s="155"/>
      <c r="BD457" s="155"/>
      <c r="BE457" s="155"/>
      <c r="BF457" s="155"/>
      <c r="BG457" s="155"/>
      <c r="BH457" s="155"/>
      <c r="BI457" s="155"/>
      <c r="BJ457" s="155"/>
      <c r="BK457" s="155"/>
      <c r="BL457" s="155"/>
      <c r="BM457" s="155"/>
      <c r="BN457" s="155"/>
      <c r="BO457" s="155"/>
      <c r="BP457" s="155"/>
      <c r="BQ457" s="155"/>
      <c r="BR457" s="155"/>
    </row>
    <row r="458" spans="1:70" s="156" customFormat="1" ht="64.5" x14ac:dyDescent="0.25">
      <c r="A458" s="266"/>
      <c r="B458" s="294"/>
      <c r="C458" s="294"/>
      <c r="D458" s="270"/>
      <c r="E458" s="270"/>
      <c r="F458" s="270"/>
      <c r="G458" s="362"/>
      <c r="H458" s="270"/>
      <c r="I458" s="281"/>
      <c r="J458" s="275"/>
      <c r="K458" s="277"/>
      <c r="L458" s="273"/>
      <c r="M458" s="277">
        <f ca="1">IF(NOT(ISERROR(MATCH(L458,_xlfn.ANCHORARRAY(G469),0))),K471&amp;"Por favor no seleccionar los criterios de impacto",L458)</f>
        <v>0</v>
      </c>
      <c r="N458" s="275"/>
      <c r="O458" s="277"/>
      <c r="P458" s="279"/>
      <c r="Q458" s="204">
        <v>2</v>
      </c>
      <c r="R458" s="112" t="s">
        <v>894</v>
      </c>
      <c r="S458" s="204" t="str">
        <f t="shared" si="167"/>
        <v>Probabilidad</v>
      </c>
      <c r="T458" s="113" t="s">
        <v>15</v>
      </c>
      <c r="U458" s="113" t="s">
        <v>9</v>
      </c>
      <c r="V458" s="167" t="str">
        <f t="shared" si="166"/>
        <v>30%</v>
      </c>
      <c r="W458" s="113" t="s">
        <v>19</v>
      </c>
      <c r="X458" s="113" t="s">
        <v>22</v>
      </c>
      <c r="Y458" s="113" t="s">
        <v>117</v>
      </c>
      <c r="Z458" s="165">
        <f>IFERROR(IF(S458="Probabilidad",(K457-(+K457*V458)),IF(S458="Impacto",K457,"")),"")</f>
        <v>0.42</v>
      </c>
      <c r="AA458" s="166" t="str">
        <f t="shared" si="168"/>
        <v>Media</v>
      </c>
      <c r="AB458" s="167">
        <f t="shared" si="169"/>
        <v>0.42</v>
      </c>
      <c r="AC458" s="166" t="str">
        <f t="shared" si="170"/>
        <v>Mayor</v>
      </c>
      <c r="AD458" s="167">
        <f>IFERROR(IF(S482="Impacto",(O457-(+O457*V458)),IF(S458="Probabilidad",O457,"")),"")</f>
        <v>0.8</v>
      </c>
      <c r="AE458" s="168" t="str">
        <f t="shared" si="171"/>
        <v>Alto</v>
      </c>
      <c r="AF458" s="113" t="s">
        <v>31</v>
      </c>
      <c r="AG458" s="203"/>
      <c r="AH458" s="202"/>
      <c r="AI458" s="114"/>
      <c r="AJ458" s="114"/>
      <c r="AK458" s="203"/>
      <c r="AL458" s="202"/>
      <c r="AM458" s="155"/>
      <c r="AN458" s="155"/>
      <c r="AO458" s="155"/>
      <c r="AP458" s="155"/>
      <c r="AQ458" s="155"/>
      <c r="AR458" s="155"/>
      <c r="AS458" s="155"/>
      <c r="AT458" s="155"/>
      <c r="AU458" s="155"/>
      <c r="AV458" s="155"/>
      <c r="AW458" s="155"/>
      <c r="AX458" s="155"/>
      <c r="AY458" s="155"/>
      <c r="AZ458" s="155"/>
      <c r="BA458" s="155"/>
      <c r="BB458" s="155"/>
      <c r="BC458" s="155"/>
      <c r="BD458" s="155"/>
      <c r="BE458" s="155"/>
      <c r="BF458" s="155"/>
      <c r="BG458" s="155"/>
      <c r="BH458" s="155"/>
      <c r="BI458" s="155"/>
      <c r="BJ458" s="155"/>
      <c r="BK458" s="155"/>
      <c r="BL458" s="155"/>
      <c r="BM458" s="155"/>
      <c r="BN458" s="155"/>
      <c r="BO458" s="155"/>
      <c r="BP458" s="155"/>
      <c r="BQ458" s="155"/>
      <c r="BR458" s="155"/>
    </row>
    <row r="459" spans="1:70" s="156" customFormat="1" ht="64.5" x14ac:dyDescent="0.25">
      <c r="A459" s="266"/>
      <c r="B459" s="294"/>
      <c r="C459" s="294"/>
      <c r="D459" s="270"/>
      <c r="E459" s="270"/>
      <c r="F459" s="270"/>
      <c r="G459" s="362"/>
      <c r="H459" s="270"/>
      <c r="I459" s="281"/>
      <c r="J459" s="275"/>
      <c r="K459" s="277"/>
      <c r="L459" s="273"/>
      <c r="M459" s="277">
        <f ca="1">IF(NOT(ISERROR(MATCH(L459,_xlfn.ANCHORARRAY(G470),0))),K472&amp;"Por favor no seleccionar los criterios de impacto",L459)</f>
        <v>0</v>
      </c>
      <c r="N459" s="275"/>
      <c r="O459" s="277"/>
      <c r="P459" s="279"/>
      <c r="Q459" s="204">
        <v>3</v>
      </c>
      <c r="R459" s="112" t="s">
        <v>895</v>
      </c>
      <c r="S459" s="204" t="str">
        <f t="shared" si="167"/>
        <v>Probabilidad</v>
      </c>
      <c r="T459" s="113" t="s">
        <v>14</v>
      </c>
      <c r="U459" s="113" t="s">
        <v>9</v>
      </c>
      <c r="V459" s="167" t="str">
        <f t="shared" si="166"/>
        <v>40%</v>
      </c>
      <c r="W459" s="113" t="s">
        <v>19</v>
      </c>
      <c r="X459" s="113" t="s">
        <v>22</v>
      </c>
      <c r="Y459" s="113" t="s">
        <v>117</v>
      </c>
      <c r="Z459" s="165">
        <f>IFERROR(IF(S459="Probabilidad",(K457-(+K457*V459)),IF(S459="Impacto",K457,"")),"")</f>
        <v>0.36</v>
      </c>
      <c r="AA459" s="166" t="str">
        <f t="shared" si="168"/>
        <v>Baja</v>
      </c>
      <c r="AB459" s="167">
        <f t="shared" si="169"/>
        <v>0.36</v>
      </c>
      <c r="AC459" s="166" t="str">
        <f t="shared" si="170"/>
        <v>Mayor</v>
      </c>
      <c r="AD459" s="167">
        <f>IFERROR(IF(S459="Impacto",(O457-(+O457*V459)),IF(S459="Probabilidad",O457,"")),"")</f>
        <v>0.8</v>
      </c>
      <c r="AE459" s="168" t="str">
        <f t="shared" si="171"/>
        <v>Alto</v>
      </c>
      <c r="AF459" s="113" t="s">
        <v>31</v>
      </c>
      <c r="AG459" s="203"/>
      <c r="AH459" s="202"/>
      <c r="AI459" s="114"/>
      <c r="AJ459" s="114"/>
      <c r="AK459" s="203"/>
      <c r="AL459" s="202"/>
      <c r="AM459" s="155"/>
      <c r="AN459" s="155"/>
      <c r="AO459" s="155"/>
      <c r="AP459" s="155"/>
      <c r="AQ459" s="155"/>
      <c r="AR459" s="155"/>
      <c r="AS459" s="155"/>
      <c r="AT459" s="155"/>
      <c r="AU459" s="155"/>
      <c r="AV459" s="155"/>
      <c r="AW459" s="155"/>
      <c r="AX459" s="155"/>
      <c r="AY459" s="155"/>
      <c r="AZ459" s="155"/>
      <c r="BA459" s="155"/>
      <c r="BB459" s="155"/>
      <c r="BC459" s="155"/>
      <c r="BD459" s="155"/>
      <c r="BE459" s="155"/>
      <c r="BF459" s="155"/>
      <c r="BG459" s="155"/>
      <c r="BH459" s="155"/>
      <c r="BI459" s="155"/>
      <c r="BJ459" s="155"/>
      <c r="BK459" s="155"/>
      <c r="BL459" s="155"/>
      <c r="BM459" s="155"/>
      <c r="BN459" s="155"/>
      <c r="BO459" s="155"/>
      <c r="BP459" s="155"/>
      <c r="BQ459" s="155"/>
      <c r="BR459" s="155"/>
    </row>
    <row r="460" spans="1:70" s="156" customFormat="1" ht="36.75" hidden="1" customHeight="1" x14ac:dyDescent="0.25">
      <c r="A460" s="266"/>
      <c r="B460" s="268"/>
      <c r="C460" s="268"/>
      <c r="D460" s="271"/>
      <c r="E460" s="271"/>
      <c r="F460" s="271"/>
      <c r="G460" s="363"/>
      <c r="H460" s="271"/>
      <c r="I460" s="266"/>
      <c r="J460" s="276"/>
      <c r="K460" s="278"/>
      <c r="L460" s="274"/>
      <c r="M460" s="278">
        <f ca="1">IF(NOT(ISERROR(MATCH(L460,_xlfn.ANCHORARRAY(G471),0))),K473&amp;"Por favor no seleccionar los criterios de impacto",L460)</f>
        <v>0</v>
      </c>
      <c r="N460" s="276"/>
      <c r="O460" s="278"/>
      <c r="P460" s="280"/>
      <c r="Q460" s="204">
        <v>4</v>
      </c>
      <c r="R460" s="112"/>
      <c r="S460" s="204" t="str">
        <f t="shared" si="167"/>
        <v/>
      </c>
      <c r="T460" s="113"/>
      <c r="U460" s="113"/>
      <c r="V460" s="167" t="str">
        <f t="shared" si="166"/>
        <v/>
      </c>
      <c r="W460" s="113"/>
      <c r="X460" s="113"/>
      <c r="Y460" s="113"/>
      <c r="Z460" s="165" t="str">
        <f>IFERROR(IF(S460="Probabilidad",(K457-(+K457*V460)),IF(S460="Impacto",K457,"")),"")</f>
        <v/>
      </c>
      <c r="AA460" s="166" t="str">
        <f t="shared" si="168"/>
        <v/>
      </c>
      <c r="AB460" s="167" t="str">
        <f t="shared" si="169"/>
        <v/>
      </c>
      <c r="AC460" s="166" t="str">
        <f t="shared" si="170"/>
        <v/>
      </c>
      <c r="AD460" s="167" t="str">
        <f t="shared" si="172"/>
        <v/>
      </c>
      <c r="AE460" s="168" t="str">
        <f t="shared" si="171"/>
        <v/>
      </c>
      <c r="AF460" s="113" t="s">
        <v>31</v>
      </c>
      <c r="AG460" s="203"/>
      <c r="AH460" s="202"/>
      <c r="AI460" s="114"/>
      <c r="AJ460" s="114"/>
      <c r="AK460" s="203"/>
      <c r="AL460" s="202"/>
      <c r="AM460" s="155"/>
      <c r="AN460" s="155"/>
      <c r="AO460" s="155"/>
      <c r="AP460" s="155"/>
      <c r="AQ460" s="155"/>
      <c r="AR460" s="155"/>
      <c r="AS460" s="155"/>
      <c r="AT460" s="155"/>
      <c r="AU460" s="155"/>
      <c r="AV460" s="155"/>
      <c r="AW460" s="155"/>
      <c r="AX460" s="155"/>
      <c r="AY460" s="155"/>
      <c r="AZ460" s="155"/>
      <c r="BA460" s="155"/>
      <c r="BB460" s="155"/>
      <c r="BC460" s="155"/>
      <c r="BD460" s="155"/>
      <c r="BE460" s="155"/>
      <c r="BF460" s="155"/>
      <c r="BG460" s="155"/>
      <c r="BH460" s="155"/>
      <c r="BI460" s="155"/>
      <c r="BJ460" s="155"/>
      <c r="BK460" s="155"/>
      <c r="BL460" s="155"/>
      <c r="BM460" s="155"/>
      <c r="BN460" s="155"/>
      <c r="BO460" s="155"/>
      <c r="BP460" s="155"/>
      <c r="BQ460" s="155"/>
      <c r="BR460" s="155"/>
    </row>
    <row r="461" spans="1:70" s="156" customFormat="1" ht="36.75" hidden="1" customHeight="1" x14ac:dyDescent="0.25">
      <c r="A461" s="266"/>
      <c r="B461" s="268"/>
      <c r="C461" s="268"/>
      <c r="D461" s="271"/>
      <c r="E461" s="271"/>
      <c r="F461" s="271"/>
      <c r="G461" s="363"/>
      <c r="H461" s="271"/>
      <c r="I461" s="266"/>
      <c r="J461" s="276"/>
      <c r="K461" s="278"/>
      <c r="L461" s="274"/>
      <c r="M461" s="278">
        <f ca="1">IF(NOT(ISERROR(MATCH(L461,_xlfn.ANCHORARRAY(G472),0))),K474&amp;"Por favor no seleccionar los criterios de impacto",L461)</f>
        <v>0</v>
      </c>
      <c r="N461" s="276"/>
      <c r="O461" s="278"/>
      <c r="P461" s="280"/>
      <c r="Q461" s="204">
        <v>5</v>
      </c>
      <c r="R461" s="112"/>
      <c r="S461" s="204" t="str">
        <f t="shared" si="167"/>
        <v/>
      </c>
      <c r="T461" s="113"/>
      <c r="U461" s="113"/>
      <c r="V461" s="167" t="str">
        <f t="shared" si="166"/>
        <v/>
      </c>
      <c r="W461" s="113"/>
      <c r="X461" s="113"/>
      <c r="Y461" s="113"/>
      <c r="Z461" s="165" t="str">
        <f>IFERROR(IF(S461="Probabilidad",(K457-(+K457*V461)),IF(S461="Impacto",K457,"")),"")</f>
        <v/>
      </c>
      <c r="AA461" s="166" t="str">
        <f t="shared" si="168"/>
        <v/>
      </c>
      <c r="AB461" s="167" t="str">
        <f t="shared" si="169"/>
        <v/>
      </c>
      <c r="AC461" s="166" t="str">
        <f t="shared" si="170"/>
        <v/>
      </c>
      <c r="AD461" s="167" t="str">
        <f t="shared" si="172"/>
        <v/>
      </c>
      <c r="AE461" s="168" t="str">
        <f t="shared" si="171"/>
        <v/>
      </c>
      <c r="AF461" s="113" t="s">
        <v>31</v>
      </c>
      <c r="AG461" s="203"/>
      <c r="AH461" s="202"/>
      <c r="AI461" s="114"/>
      <c r="AJ461" s="114"/>
      <c r="AK461" s="203"/>
      <c r="AL461" s="202"/>
      <c r="AM461" s="155"/>
      <c r="AN461" s="155"/>
      <c r="AO461" s="155"/>
      <c r="AP461" s="155"/>
      <c r="AQ461" s="155"/>
      <c r="AR461" s="155"/>
      <c r="AS461" s="155"/>
      <c r="AT461" s="155"/>
      <c r="AU461" s="155"/>
      <c r="AV461" s="155"/>
      <c r="AW461" s="155"/>
      <c r="AX461" s="155"/>
      <c r="AY461" s="155"/>
      <c r="AZ461" s="155"/>
      <c r="BA461" s="155"/>
      <c r="BB461" s="155"/>
      <c r="BC461" s="155"/>
      <c r="BD461" s="155"/>
      <c r="BE461" s="155"/>
      <c r="BF461" s="155"/>
      <c r="BG461" s="155"/>
      <c r="BH461" s="155"/>
      <c r="BI461" s="155"/>
      <c r="BJ461" s="155"/>
      <c r="BK461" s="155"/>
      <c r="BL461" s="155"/>
      <c r="BM461" s="155"/>
      <c r="BN461" s="155"/>
      <c r="BO461" s="155"/>
      <c r="BP461" s="155"/>
      <c r="BQ461" s="155"/>
      <c r="BR461" s="155"/>
    </row>
    <row r="462" spans="1:70" s="156" customFormat="1" ht="36.75" hidden="1" customHeight="1" x14ac:dyDescent="0.25">
      <c r="A462" s="266"/>
      <c r="B462" s="269"/>
      <c r="C462" s="269"/>
      <c r="D462" s="271"/>
      <c r="E462" s="271"/>
      <c r="F462" s="271"/>
      <c r="G462" s="363"/>
      <c r="H462" s="271"/>
      <c r="I462" s="266"/>
      <c r="J462" s="276"/>
      <c r="K462" s="278"/>
      <c r="L462" s="274"/>
      <c r="M462" s="278">
        <f ca="1">IF(NOT(ISERROR(MATCH(L462,_xlfn.ANCHORARRAY(G473),0))),K475&amp;"Por favor no seleccionar los criterios de impacto",L462)</f>
        <v>0</v>
      </c>
      <c r="N462" s="276"/>
      <c r="O462" s="278"/>
      <c r="P462" s="280"/>
      <c r="Q462" s="204">
        <v>6</v>
      </c>
      <c r="R462" s="112"/>
      <c r="S462" s="204" t="str">
        <f t="shared" si="167"/>
        <v/>
      </c>
      <c r="T462" s="113"/>
      <c r="U462" s="113"/>
      <c r="V462" s="167" t="str">
        <f t="shared" si="166"/>
        <v/>
      </c>
      <c r="W462" s="113"/>
      <c r="X462" s="113"/>
      <c r="Y462" s="113"/>
      <c r="Z462" s="165" t="str">
        <f>IFERROR(IF(S462="Probabilidad",(K457-(+K457*V462)),IF(S462="Impacto",K457,"")),"")</f>
        <v/>
      </c>
      <c r="AA462" s="166" t="str">
        <f t="shared" si="168"/>
        <v/>
      </c>
      <c r="AB462" s="167" t="str">
        <f t="shared" si="169"/>
        <v/>
      </c>
      <c r="AC462" s="166" t="str">
        <f t="shared" si="170"/>
        <v/>
      </c>
      <c r="AD462" s="167" t="str">
        <f t="shared" si="172"/>
        <v/>
      </c>
      <c r="AE462" s="168" t="str">
        <f t="shared" si="171"/>
        <v/>
      </c>
      <c r="AF462" s="113" t="s">
        <v>31</v>
      </c>
      <c r="AG462" s="203"/>
      <c r="AH462" s="202"/>
      <c r="AI462" s="114"/>
      <c r="AJ462" s="114"/>
      <c r="AK462" s="203"/>
      <c r="AL462" s="202"/>
      <c r="AM462" s="155"/>
      <c r="AN462" s="155"/>
      <c r="AO462" s="155"/>
      <c r="AP462" s="155"/>
      <c r="AQ462" s="155"/>
      <c r="AR462" s="155"/>
      <c r="AS462" s="155"/>
      <c r="AT462" s="155"/>
      <c r="AU462" s="155"/>
      <c r="AV462" s="155"/>
      <c r="AW462" s="155"/>
      <c r="AX462" s="155"/>
      <c r="AY462" s="155"/>
      <c r="AZ462" s="155"/>
      <c r="BA462" s="155"/>
      <c r="BB462" s="155"/>
      <c r="BC462" s="155"/>
      <c r="BD462" s="155"/>
      <c r="BE462" s="155"/>
      <c r="BF462" s="155"/>
      <c r="BG462" s="155"/>
      <c r="BH462" s="155"/>
      <c r="BI462" s="155"/>
      <c r="BJ462" s="155"/>
      <c r="BK462" s="155"/>
      <c r="BL462" s="155"/>
      <c r="BM462" s="155"/>
      <c r="BN462" s="155"/>
      <c r="BO462" s="155"/>
      <c r="BP462" s="155"/>
      <c r="BQ462" s="155"/>
      <c r="BR462" s="155"/>
    </row>
    <row r="463" spans="1:70" s="156" customFormat="1" ht="64.5" x14ac:dyDescent="0.25">
      <c r="A463" s="266">
        <v>76</v>
      </c>
      <c r="B463" s="267" t="s">
        <v>220</v>
      </c>
      <c r="C463" s="267" t="s">
        <v>865</v>
      </c>
      <c r="D463" s="270" t="s">
        <v>131</v>
      </c>
      <c r="E463" s="270" t="s">
        <v>866</v>
      </c>
      <c r="F463" s="270" t="s">
        <v>867</v>
      </c>
      <c r="G463" s="362" t="s">
        <v>868</v>
      </c>
      <c r="H463" s="270" t="s">
        <v>437</v>
      </c>
      <c r="I463" s="281">
        <v>365</v>
      </c>
      <c r="J463" s="275" t="str">
        <f>IF(I463&lt;=0,"",IF(I463&lt;=2,"Muy Baja",IF(I463&lt;=24,"Baja",IF(I463&lt;=500,"Media",IF(I463&lt;=5000,"Alta","Muy Alta")))))</f>
        <v>Media</v>
      </c>
      <c r="K463" s="277">
        <f>IF(J463="","",IF(J463="Muy Baja",0.2,IF(J463="Baja",0.4,IF(J463="Media",0.6,IF(J463="Alta",0.8,IF(J463="Muy Alta",1,))))))</f>
        <v>0.6</v>
      </c>
      <c r="L463" s="273" t="s">
        <v>92</v>
      </c>
      <c r="M463" s="277" t="str">
        <f>IF(NOT(ISERROR(MATCH(L463,'[13]Tabla Impacto'!$B$221:$B$223,0))),'[13]Tabla Impacto'!$F$223&amp;"Por favor no seleccionar los criterios de impacto(Afectación Económica o presupuestal y Pérdida Reputacional)",L463)</f>
        <v xml:space="preserve">Entre 50 y 100 SMLMV </v>
      </c>
      <c r="N463" s="275" t="str">
        <f>+IF(OR(M463='[13]Tabla Impacto'!$C$11,M463='[13]Tabla Impacto'!$D$11),"Leve",IF(OR(M463='[13]Tabla Impacto'!$C$12,M463='[13]Tabla Impacto'!$D$12),"Menor",IF(OR(M463='[13]Tabla Impacto'!$C$13,M463='[13]Tabla Impacto'!$D$13),"Moderado",IF(OR(M463='[13]Tabla Impacto'!$C$14,M463='[13]Tabla Impacto'!$D$14),"Mayor",IF(OR(M463='[13]Tabla Impacto'!$C$15,M463='[13]Tabla Impacto'!$D$15),"Catastrófico","")))))</f>
        <v>Moderado</v>
      </c>
      <c r="O463" s="277">
        <f>IF(N463="","",IF(N463="Leve",0.2,IF(N463="Menor",0.4,IF(N463="Moderado",0.6,IF(N463="Mayor",0.8,IF(N463="Catastrófico",1,))))))</f>
        <v>0.6</v>
      </c>
      <c r="P463" s="279" t="str">
        <f>IF(OR(AND(J463="Muy Baja",N463="Leve"),AND(J463="Muy Baja",N463="Menor"),AND(J463="Baja",N463="Leve")),"Bajo",IF(OR(AND(J463="Muy baja",N463="Moderado"),AND(J463="Baja",N463="Menor"),AND(J463="Baja",N463="Moderado"),AND(J463="Media",N463="Leve"),AND(J463="Media",N463="Menor"),AND(J463="Media",N463="Moderado"),AND(J463="Alta",N463="Leve"),AND(J463="Alta",N463="Menor")),"Moderado",IF(OR(AND(J463="Muy Baja",N463="Mayor"),AND(J463="Baja",N463="Mayor"),AND(J463="Media",N463="Mayor"),AND(J463="Alta",N463="Moderado"),AND(J463="Alta",N463="Mayor"),AND(J463="Muy Alta",N463="Leve"),AND(J463="Muy Alta",N463="Menor"),AND(J463="Muy Alta",N463="Moderado"),AND(J463="Muy Alta",N463="Mayor")),"Alto",IF(OR(AND(J463="Muy Baja",N463="Catastrófico"),AND(J463="Baja",N463="Catastrófico"),AND(J463="Media",N463="Catastrófico"),AND(J463="Alta",N463="Catastrófico"),AND(J463="Muy Alta",N463="Catastrófico")),"Extremo",""))))</f>
        <v>Moderado</v>
      </c>
      <c r="Q463" s="204">
        <v>1</v>
      </c>
      <c r="R463" s="112" t="s">
        <v>896</v>
      </c>
      <c r="S463" s="204" t="str">
        <f t="shared" si="167"/>
        <v>Probabilidad</v>
      </c>
      <c r="T463" s="113" t="s">
        <v>14</v>
      </c>
      <c r="U463" s="113" t="s">
        <v>9</v>
      </c>
      <c r="V463" s="167" t="str">
        <f t="shared" si="166"/>
        <v>40%</v>
      </c>
      <c r="W463" s="113" t="s">
        <v>19</v>
      </c>
      <c r="X463" s="113" t="s">
        <v>22</v>
      </c>
      <c r="Y463" s="113" t="s">
        <v>117</v>
      </c>
      <c r="Z463" s="165">
        <f t="shared" si="173"/>
        <v>0.36</v>
      </c>
      <c r="AA463" s="166" t="str">
        <f t="shared" si="168"/>
        <v>Baja</v>
      </c>
      <c r="AB463" s="167">
        <f t="shared" si="169"/>
        <v>0.36</v>
      </c>
      <c r="AC463" s="166" t="str">
        <f t="shared" si="170"/>
        <v>Moderado</v>
      </c>
      <c r="AD463" s="167">
        <f t="shared" si="172"/>
        <v>0.6</v>
      </c>
      <c r="AE463" s="168" t="str">
        <f t="shared" si="171"/>
        <v>Moderado</v>
      </c>
      <c r="AF463" s="113" t="s">
        <v>31</v>
      </c>
      <c r="AG463" s="203"/>
      <c r="AH463" s="202"/>
      <c r="AI463" s="114"/>
      <c r="AJ463" s="114"/>
      <c r="AK463" s="203"/>
      <c r="AL463" s="202"/>
      <c r="AM463" s="155"/>
      <c r="AN463" s="155"/>
      <c r="AO463" s="155"/>
      <c r="AP463" s="155"/>
      <c r="AQ463" s="155"/>
      <c r="AR463" s="155"/>
      <c r="AS463" s="155"/>
      <c r="AT463" s="155"/>
      <c r="AU463" s="155"/>
      <c r="AV463" s="155"/>
      <c r="AW463" s="155"/>
      <c r="AX463" s="155"/>
      <c r="AY463" s="155"/>
      <c r="AZ463" s="155"/>
      <c r="BA463" s="155"/>
      <c r="BB463" s="155"/>
      <c r="BC463" s="155"/>
      <c r="BD463" s="155"/>
      <c r="BE463" s="155"/>
      <c r="BF463" s="155"/>
      <c r="BG463" s="155"/>
      <c r="BH463" s="155"/>
      <c r="BI463" s="155"/>
      <c r="BJ463" s="155"/>
      <c r="BK463" s="155"/>
      <c r="BL463" s="155"/>
      <c r="BM463" s="155"/>
      <c r="BN463" s="155"/>
      <c r="BO463" s="155"/>
      <c r="BP463" s="155"/>
      <c r="BQ463" s="155"/>
      <c r="BR463" s="155"/>
    </row>
    <row r="464" spans="1:70" s="156" customFormat="1" ht="72.75" x14ac:dyDescent="0.25">
      <c r="A464" s="266"/>
      <c r="B464" s="294"/>
      <c r="C464" s="294"/>
      <c r="D464" s="270"/>
      <c r="E464" s="270"/>
      <c r="F464" s="270"/>
      <c r="G464" s="362"/>
      <c r="H464" s="270"/>
      <c r="I464" s="281"/>
      <c r="J464" s="275"/>
      <c r="K464" s="277"/>
      <c r="L464" s="273"/>
      <c r="M464" s="277">
        <f ca="1">IF(NOT(ISERROR(MATCH(L464,_xlfn.ANCHORARRAY(G475),0))),K477&amp;"Por favor no seleccionar los criterios de impacto",L464)</f>
        <v>0</v>
      </c>
      <c r="N464" s="275"/>
      <c r="O464" s="277"/>
      <c r="P464" s="279"/>
      <c r="Q464" s="204">
        <v>2</v>
      </c>
      <c r="R464" s="112" t="s">
        <v>897</v>
      </c>
      <c r="S464" s="204" t="str">
        <f t="shared" si="167"/>
        <v>Probabilidad</v>
      </c>
      <c r="T464" s="113" t="s">
        <v>15</v>
      </c>
      <c r="U464" s="113" t="s">
        <v>9</v>
      </c>
      <c r="V464" s="167" t="str">
        <f t="shared" si="166"/>
        <v>30%</v>
      </c>
      <c r="W464" s="113" t="s">
        <v>20</v>
      </c>
      <c r="X464" s="113" t="s">
        <v>22</v>
      </c>
      <c r="Y464" s="113" t="s">
        <v>117</v>
      </c>
      <c r="Z464" s="165">
        <f>IFERROR(IF(S464="Probabilidad",(K463-(+K463*V464)),IF(S464="Impacto",K463,"")),"")</f>
        <v>0.42</v>
      </c>
      <c r="AA464" s="166" t="str">
        <f t="shared" si="168"/>
        <v>Media</v>
      </c>
      <c r="AB464" s="167">
        <f t="shared" si="169"/>
        <v>0.42</v>
      </c>
      <c r="AC464" s="166" t="str">
        <f t="shared" si="170"/>
        <v>Moderado</v>
      </c>
      <c r="AD464" s="167">
        <f>IFERROR(IF(S464="Impacto",(O463-(+O463*V464)),IF(S464="Probabilidad",O463,"")),"")</f>
        <v>0.6</v>
      </c>
      <c r="AE464" s="168" t="str">
        <f t="shared" si="171"/>
        <v>Moderado</v>
      </c>
      <c r="AF464" s="113" t="s">
        <v>31</v>
      </c>
      <c r="AG464" s="203"/>
      <c r="AH464" s="202"/>
      <c r="AI464" s="114"/>
      <c r="AJ464" s="114"/>
      <c r="AK464" s="203"/>
      <c r="AL464" s="202"/>
      <c r="AM464" s="155"/>
      <c r="AN464" s="155"/>
      <c r="AO464" s="155"/>
      <c r="AP464" s="155"/>
      <c r="AQ464" s="155"/>
      <c r="AR464" s="155"/>
      <c r="AS464" s="155"/>
      <c r="AT464" s="155"/>
      <c r="AU464" s="155"/>
      <c r="AV464" s="155"/>
      <c r="AW464" s="155"/>
      <c r="AX464" s="155"/>
      <c r="AY464" s="155"/>
      <c r="AZ464" s="155"/>
      <c r="BA464" s="155"/>
      <c r="BB464" s="155"/>
      <c r="BC464" s="155"/>
      <c r="BD464" s="155"/>
      <c r="BE464" s="155"/>
      <c r="BF464" s="155"/>
      <c r="BG464" s="155"/>
      <c r="BH464" s="155"/>
      <c r="BI464" s="155"/>
      <c r="BJ464" s="155"/>
      <c r="BK464" s="155"/>
      <c r="BL464" s="155"/>
      <c r="BM464" s="155"/>
      <c r="BN464" s="155"/>
      <c r="BO464" s="155"/>
      <c r="BP464" s="155"/>
      <c r="BQ464" s="155"/>
      <c r="BR464" s="155"/>
    </row>
    <row r="465" spans="1:70" s="156" customFormat="1" ht="64.5" x14ac:dyDescent="0.25">
      <c r="A465" s="266"/>
      <c r="B465" s="294"/>
      <c r="C465" s="294"/>
      <c r="D465" s="270"/>
      <c r="E465" s="270"/>
      <c r="F465" s="270"/>
      <c r="G465" s="362"/>
      <c r="H465" s="270"/>
      <c r="I465" s="281"/>
      <c r="J465" s="275"/>
      <c r="K465" s="277"/>
      <c r="L465" s="273"/>
      <c r="M465" s="277">
        <f ca="1">IF(NOT(ISERROR(MATCH(L465,_xlfn.ANCHORARRAY(G476),0))),K478&amp;"Por favor no seleccionar los criterios de impacto",L465)</f>
        <v>0</v>
      </c>
      <c r="N465" s="275"/>
      <c r="O465" s="277"/>
      <c r="P465" s="279"/>
      <c r="Q465" s="204">
        <v>3</v>
      </c>
      <c r="R465" s="112" t="s">
        <v>898</v>
      </c>
      <c r="S465" s="204" t="str">
        <f t="shared" si="167"/>
        <v>Probabilidad</v>
      </c>
      <c r="T465" s="113" t="s">
        <v>14</v>
      </c>
      <c r="U465" s="113" t="s">
        <v>9</v>
      </c>
      <c r="V465" s="167" t="str">
        <f t="shared" si="166"/>
        <v>40%</v>
      </c>
      <c r="W465" s="113" t="s">
        <v>19</v>
      </c>
      <c r="X465" s="113" t="s">
        <v>22</v>
      </c>
      <c r="Y465" s="113" t="s">
        <v>117</v>
      </c>
      <c r="Z465" s="165">
        <f>IFERROR(IF(S465="Probabilidad",(K463-(+K463*V465)),IF(S465="Impacto",K463,"")),"")</f>
        <v>0.36</v>
      </c>
      <c r="AA465" s="166" t="str">
        <f t="shared" si="168"/>
        <v>Baja</v>
      </c>
      <c r="AB465" s="167">
        <f t="shared" si="169"/>
        <v>0.36</v>
      </c>
      <c r="AC465" s="166" t="str">
        <f t="shared" si="170"/>
        <v>Moderado</v>
      </c>
      <c r="AD465" s="167">
        <f>IFERROR(IF(S465="Impacto",(O463-(+O463*V465)),IF(S465="Probabilidad",O463,"")),"")</f>
        <v>0.6</v>
      </c>
      <c r="AE465" s="168" t="str">
        <f t="shared" si="171"/>
        <v>Moderado</v>
      </c>
      <c r="AF465" s="113" t="s">
        <v>31</v>
      </c>
      <c r="AG465" s="203"/>
      <c r="AH465" s="202"/>
      <c r="AI465" s="114"/>
      <c r="AJ465" s="114"/>
      <c r="AK465" s="203"/>
      <c r="AL465" s="202"/>
      <c r="AM465" s="155"/>
      <c r="AN465" s="155"/>
      <c r="AO465" s="155"/>
      <c r="AP465" s="155"/>
      <c r="AQ465" s="155"/>
      <c r="AR465" s="155"/>
      <c r="AS465" s="155"/>
      <c r="AT465" s="155"/>
      <c r="AU465" s="155"/>
      <c r="AV465" s="155"/>
      <c r="AW465" s="155"/>
      <c r="AX465" s="155"/>
      <c r="AY465" s="155"/>
      <c r="AZ465" s="155"/>
      <c r="BA465" s="155"/>
      <c r="BB465" s="155"/>
      <c r="BC465" s="155"/>
      <c r="BD465" s="155"/>
      <c r="BE465" s="155"/>
      <c r="BF465" s="155"/>
      <c r="BG465" s="155"/>
      <c r="BH465" s="155"/>
      <c r="BI465" s="155"/>
      <c r="BJ465" s="155"/>
      <c r="BK465" s="155"/>
      <c r="BL465" s="155"/>
      <c r="BM465" s="155"/>
      <c r="BN465" s="155"/>
      <c r="BO465" s="155"/>
      <c r="BP465" s="155"/>
      <c r="BQ465" s="155"/>
      <c r="BR465" s="155"/>
    </row>
    <row r="466" spans="1:70" s="156" customFormat="1" ht="36.75" hidden="1" customHeight="1" x14ac:dyDescent="0.25">
      <c r="A466" s="266"/>
      <c r="B466" s="268"/>
      <c r="C466" s="268"/>
      <c r="D466" s="271"/>
      <c r="E466" s="271"/>
      <c r="F466" s="271"/>
      <c r="G466" s="363"/>
      <c r="H466" s="271"/>
      <c r="I466" s="266"/>
      <c r="J466" s="276"/>
      <c r="K466" s="278"/>
      <c r="L466" s="274"/>
      <c r="M466" s="278">
        <f ca="1">IF(NOT(ISERROR(MATCH(L466,_xlfn.ANCHORARRAY(G477),0))),K479&amp;"Por favor no seleccionar los criterios de impacto",L466)</f>
        <v>0</v>
      </c>
      <c r="N466" s="276"/>
      <c r="O466" s="278"/>
      <c r="P466" s="280"/>
      <c r="Q466" s="204">
        <v>4</v>
      </c>
      <c r="R466" s="112"/>
      <c r="S466" s="204" t="str">
        <f t="shared" si="167"/>
        <v/>
      </c>
      <c r="T466" s="113"/>
      <c r="U466" s="113"/>
      <c r="V466" s="167" t="str">
        <f t="shared" si="166"/>
        <v/>
      </c>
      <c r="W466" s="113"/>
      <c r="X466" s="113"/>
      <c r="Y466" s="113"/>
      <c r="Z466" s="165" t="str">
        <f>IFERROR(IF(S466="Probabilidad",(K463-(+K463*V466)),IF(S466="Impacto",K463,"")),"")</f>
        <v/>
      </c>
      <c r="AA466" s="166" t="str">
        <f t="shared" si="168"/>
        <v/>
      </c>
      <c r="AB466" s="167" t="str">
        <f t="shared" si="169"/>
        <v/>
      </c>
      <c r="AC466" s="166" t="str">
        <f t="shared" si="170"/>
        <v/>
      </c>
      <c r="AD466" s="167" t="str">
        <f t="shared" si="172"/>
        <v/>
      </c>
      <c r="AE466" s="168" t="str">
        <f t="shared" si="171"/>
        <v/>
      </c>
      <c r="AF466" s="113" t="s">
        <v>31</v>
      </c>
      <c r="AG466" s="203"/>
      <c r="AH466" s="202"/>
      <c r="AI466" s="114"/>
      <c r="AJ466" s="114"/>
      <c r="AK466" s="203"/>
      <c r="AL466" s="202"/>
      <c r="AM466" s="155"/>
      <c r="AN466" s="155"/>
      <c r="AO466" s="155"/>
      <c r="AP466" s="155"/>
      <c r="AQ466" s="155"/>
      <c r="AR466" s="155"/>
      <c r="AS466" s="155"/>
      <c r="AT466" s="155"/>
      <c r="AU466" s="155"/>
      <c r="AV466" s="155"/>
      <c r="AW466" s="155"/>
      <c r="AX466" s="155"/>
      <c r="AY466" s="155"/>
      <c r="AZ466" s="155"/>
      <c r="BA466" s="155"/>
      <c r="BB466" s="155"/>
      <c r="BC466" s="155"/>
      <c r="BD466" s="155"/>
      <c r="BE466" s="155"/>
      <c r="BF466" s="155"/>
      <c r="BG466" s="155"/>
      <c r="BH466" s="155"/>
      <c r="BI466" s="155"/>
      <c r="BJ466" s="155"/>
      <c r="BK466" s="155"/>
      <c r="BL466" s="155"/>
      <c r="BM466" s="155"/>
      <c r="BN466" s="155"/>
      <c r="BO466" s="155"/>
      <c r="BP466" s="155"/>
      <c r="BQ466" s="155"/>
      <c r="BR466" s="155"/>
    </row>
    <row r="467" spans="1:70" s="156" customFormat="1" ht="36.75" hidden="1" customHeight="1" x14ac:dyDescent="0.25">
      <c r="A467" s="266"/>
      <c r="B467" s="268"/>
      <c r="C467" s="268"/>
      <c r="D467" s="271"/>
      <c r="E467" s="271"/>
      <c r="F467" s="271"/>
      <c r="G467" s="363"/>
      <c r="H467" s="271"/>
      <c r="I467" s="266"/>
      <c r="J467" s="276"/>
      <c r="K467" s="278"/>
      <c r="L467" s="274"/>
      <c r="M467" s="278">
        <f ca="1">IF(NOT(ISERROR(MATCH(L467,_xlfn.ANCHORARRAY(G478),0))),K480&amp;"Por favor no seleccionar los criterios de impacto",L467)</f>
        <v>0</v>
      </c>
      <c r="N467" s="276"/>
      <c r="O467" s="278"/>
      <c r="P467" s="280"/>
      <c r="Q467" s="204">
        <v>5</v>
      </c>
      <c r="R467" s="112"/>
      <c r="S467" s="204" t="str">
        <f t="shared" si="167"/>
        <v/>
      </c>
      <c r="T467" s="113"/>
      <c r="U467" s="113"/>
      <c r="V467" s="167" t="str">
        <f t="shared" si="166"/>
        <v/>
      </c>
      <c r="W467" s="113"/>
      <c r="X467" s="113"/>
      <c r="Y467" s="113"/>
      <c r="Z467" s="165" t="str">
        <f>IFERROR(IF(S467="Probabilidad",(K463-(+K463*V467)),IF(S467="Impacto",K463,"")),"")</f>
        <v/>
      </c>
      <c r="AA467" s="166" t="str">
        <f t="shared" si="168"/>
        <v/>
      </c>
      <c r="AB467" s="167" t="str">
        <f t="shared" si="169"/>
        <v/>
      </c>
      <c r="AC467" s="166" t="str">
        <f t="shared" si="170"/>
        <v/>
      </c>
      <c r="AD467" s="167" t="str">
        <f t="shared" si="172"/>
        <v/>
      </c>
      <c r="AE467" s="168" t="str">
        <f t="shared" si="171"/>
        <v/>
      </c>
      <c r="AF467" s="113" t="s">
        <v>31</v>
      </c>
      <c r="AG467" s="203"/>
      <c r="AH467" s="202"/>
      <c r="AI467" s="114"/>
      <c r="AJ467" s="114"/>
      <c r="AK467" s="203"/>
      <c r="AL467" s="202"/>
      <c r="AM467" s="155"/>
      <c r="AN467" s="155"/>
      <c r="AO467" s="155"/>
      <c r="AP467" s="155"/>
      <c r="AQ467" s="155"/>
      <c r="AR467" s="155"/>
      <c r="AS467" s="155"/>
      <c r="AT467" s="155"/>
      <c r="AU467" s="155"/>
      <c r="AV467" s="155"/>
      <c r="AW467" s="155"/>
      <c r="AX467" s="155"/>
      <c r="AY467" s="155"/>
      <c r="AZ467" s="155"/>
      <c r="BA467" s="155"/>
      <c r="BB467" s="155"/>
      <c r="BC467" s="155"/>
      <c r="BD467" s="155"/>
      <c r="BE467" s="155"/>
      <c r="BF467" s="155"/>
      <c r="BG467" s="155"/>
      <c r="BH467" s="155"/>
      <c r="BI467" s="155"/>
      <c r="BJ467" s="155"/>
      <c r="BK467" s="155"/>
      <c r="BL467" s="155"/>
      <c r="BM467" s="155"/>
      <c r="BN467" s="155"/>
      <c r="BO467" s="155"/>
      <c r="BP467" s="155"/>
      <c r="BQ467" s="155"/>
      <c r="BR467" s="155"/>
    </row>
    <row r="468" spans="1:70" s="156" customFormat="1" ht="36.75" hidden="1" customHeight="1" x14ac:dyDescent="0.25">
      <c r="A468" s="266"/>
      <c r="B468" s="269"/>
      <c r="C468" s="269"/>
      <c r="D468" s="271"/>
      <c r="E468" s="271"/>
      <c r="F468" s="271"/>
      <c r="G468" s="363"/>
      <c r="H468" s="271"/>
      <c r="I468" s="266"/>
      <c r="J468" s="276"/>
      <c r="K468" s="278"/>
      <c r="L468" s="274"/>
      <c r="M468" s="278">
        <f ca="1">IF(NOT(ISERROR(MATCH(L468,_xlfn.ANCHORARRAY(G479),0))),#REF!&amp;"Por favor no seleccionar los criterios de impacto",L468)</f>
        <v>0</v>
      </c>
      <c r="N468" s="276"/>
      <c r="O468" s="278"/>
      <c r="P468" s="280"/>
      <c r="Q468" s="204">
        <v>6</v>
      </c>
      <c r="R468" s="112"/>
      <c r="S468" s="204" t="str">
        <f t="shared" si="167"/>
        <v/>
      </c>
      <c r="T468" s="113"/>
      <c r="U468" s="113"/>
      <c r="V468" s="167" t="str">
        <f t="shared" si="166"/>
        <v/>
      </c>
      <c r="W468" s="113"/>
      <c r="X468" s="113"/>
      <c r="Y468" s="113"/>
      <c r="Z468" s="165" t="str">
        <f>IFERROR(IF(S468="Probabilidad",(K463-(+K463*V468)),IF(S468="Impacto",K463,"")),"")</f>
        <v/>
      </c>
      <c r="AA468" s="166" t="str">
        <f t="shared" si="168"/>
        <v/>
      </c>
      <c r="AB468" s="167" t="str">
        <f t="shared" si="169"/>
        <v/>
      </c>
      <c r="AC468" s="166" t="str">
        <f t="shared" si="170"/>
        <v/>
      </c>
      <c r="AD468" s="167" t="str">
        <f t="shared" si="172"/>
        <v/>
      </c>
      <c r="AE468" s="168" t="str">
        <f t="shared" si="171"/>
        <v/>
      </c>
      <c r="AF468" s="113" t="s">
        <v>31</v>
      </c>
      <c r="AG468" s="203"/>
      <c r="AH468" s="202"/>
      <c r="AI468" s="114"/>
      <c r="AJ468" s="114"/>
      <c r="AK468" s="203"/>
      <c r="AL468" s="202"/>
      <c r="AM468" s="155"/>
      <c r="AN468" s="155"/>
      <c r="AO468" s="155"/>
      <c r="AP468" s="155"/>
      <c r="AQ468" s="155"/>
      <c r="AR468" s="155"/>
      <c r="AS468" s="155"/>
      <c r="AT468" s="155"/>
      <c r="AU468" s="155"/>
      <c r="AV468" s="155"/>
      <c r="AW468" s="155"/>
      <c r="AX468" s="155"/>
      <c r="AY468" s="155"/>
      <c r="AZ468" s="155"/>
      <c r="BA468" s="155"/>
      <c r="BB468" s="155"/>
      <c r="BC468" s="155"/>
      <c r="BD468" s="155"/>
      <c r="BE468" s="155"/>
      <c r="BF468" s="155"/>
      <c r="BG468" s="155"/>
      <c r="BH468" s="155"/>
      <c r="BI468" s="155"/>
      <c r="BJ468" s="155"/>
      <c r="BK468" s="155"/>
      <c r="BL468" s="155"/>
      <c r="BM468" s="155"/>
      <c r="BN468" s="155"/>
      <c r="BO468" s="155"/>
      <c r="BP468" s="155"/>
      <c r="BQ468" s="155"/>
      <c r="BR468" s="155"/>
    </row>
    <row r="469" spans="1:70" s="156" customFormat="1" ht="64.5" x14ac:dyDescent="0.25">
      <c r="A469" s="266">
        <v>77</v>
      </c>
      <c r="B469" s="267" t="s">
        <v>220</v>
      </c>
      <c r="C469" s="267" t="s">
        <v>869</v>
      </c>
      <c r="D469" s="270" t="s">
        <v>131</v>
      </c>
      <c r="E469" s="270" t="s">
        <v>870</v>
      </c>
      <c r="F469" s="270" t="s">
        <v>863</v>
      </c>
      <c r="G469" s="362" t="s">
        <v>871</v>
      </c>
      <c r="H469" s="270" t="s">
        <v>437</v>
      </c>
      <c r="I469" s="281">
        <v>365</v>
      </c>
      <c r="J469" s="275" t="str">
        <f>IF(I469&lt;=0,"",IF(I469&lt;=2,"Muy Baja",IF(I469&lt;=24,"Baja",IF(I469&lt;=500,"Media",IF(I469&lt;=5000,"Alta","Muy Alta")))))</f>
        <v>Media</v>
      </c>
      <c r="K469" s="277">
        <f>IF(J469="","",IF(J469="Muy Baja",0.2,IF(J469="Baja",0.4,IF(J469="Media",0.6,IF(J469="Alta",0.8,IF(J469="Muy Alta",1,))))))</f>
        <v>0.6</v>
      </c>
      <c r="L469" s="273" t="s">
        <v>92</v>
      </c>
      <c r="M469" s="277" t="str">
        <f>IF(NOT(ISERROR(MATCH(L469,'[13]Tabla Impacto'!$B$221:$B$223,0))),'[13]Tabla Impacto'!$F$223&amp;"Por favor no seleccionar los criterios de impacto(Afectación Económica o presupuestal y Pérdida Reputacional)",L469)</f>
        <v xml:space="preserve">Entre 50 y 100 SMLMV </v>
      </c>
      <c r="N469" s="275" t="str">
        <f>+IF(OR(M469='[13]Tabla Impacto'!$C$11,M469='[13]Tabla Impacto'!$D$11),"Leve",IF(OR(M469='[13]Tabla Impacto'!$C$12,M469='[13]Tabla Impacto'!$D$12),"Menor",IF(OR(M469='[13]Tabla Impacto'!$C$13,M469='[13]Tabla Impacto'!$D$13),"Moderado",IF(OR(M469='[13]Tabla Impacto'!$C$14,M469='[13]Tabla Impacto'!$D$14),"Mayor",IF(OR(M469='[13]Tabla Impacto'!$C$15,M469='[13]Tabla Impacto'!$D$15),"Catastrófico","")))))</f>
        <v>Moderado</v>
      </c>
      <c r="O469" s="277">
        <f>IF(N469="","",IF(N469="Leve",0.2,IF(N469="Menor",0.4,IF(N469="Moderado",0.6,IF(N469="Mayor",0.8,IF(N469="Catastrófico",1,))))))</f>
        <v>0.6</v>
      </c>
      <c r="P469" s="279" t="str">
        <f>IF(OR(AND(J469="Muy Baja",N469="Leve"),AND(J469="Muy Baja",N469="Menor"),AND(J469="Baja",N469="Leve")),"Bajo",IF(OR(AND(J469="Muy baja",N469="Moderado"),AND(J469="Baja",N469="Menor"),AND(J469="Baja",N469="Moderado"),AND(J469="Media",N469="Leve"),AND(J469="Media",N469="Menor"),AND(J469="Media",N469="Moderado"),AND(J469="Alta",N469="Leve"),AND(J469="Alta",N469="Menor")),"Moderado",IF(OR(AND(J469="Muy Baja",N469="Mayor"),AND(J469="Baja",N469="Mayor"),AND(J469="Media",N469="Mayor"),AND(J469="Alta",N469="Moderado"),AND(J469="Alta",N469="Mayor"),AND(J469="Muy Alta",N469="Leve"),AND(J469="Muy Alta",N469="Menor"),AND(J469="Muy Alta",N469="Moderado"),AND(J469="Muy Alta",N469="Mayor")),"Alto",IF(OR(AND(J469="Muy Baja",N469="Catastrófico"),AND(J469="Baja",N469="Catastrófico"),AND(J469="Media",N469="Catastrófico"),AND(J469="Alta",N469="Catastrófico"),AND(J469="Muy Alta",N469="Catastrófico")),"Extremo",""))))</f>
        <v>Moderado</v>
      </c>
      <c r="Q469" s="204">
        <v>1</v>
      </c>
      <c r="R469" s="112" t="s">
        <v>899</v>
      </c>
      <c r="S469" s="204" t="str">
        <f t="shared" si="167"/>
        <v>Probabilidad</v>
      </c>
      <c r="T469" s="113" t="s">
        <v>14</v>
      </c>
      <c r="U469" s="113" t="s">
        <v>9</v>
      </c>
      <c r="V469" s="167" t="str">
        <f t="shared" si="166"/>
        <v>40%</v>
      </c>
      <c r="W469" s="113" t="s">
        <v>19</v>
      </c>
      <c r="X469" s="113" t="s">
        <v>22</v>
      </c>
      <c r="Y469" s="113" t="s">
        <v>117</v>
      </c>
      <c r="Z469" s="165">
        <f t="shared" si="173"/>
        <v>0.36</v>
      </c>
      <c r="AA469" s="166" t="str">
        <f t="shared" si="168"/>
        <v>Baja</v>
      </c>
      <c r="AB469" s="167">
        <f t="shared" si="169"/>
        <v>0.36</v>
      </c>
      <c r="AC469" s="166" t="str">
        <f t="shared" si="170"/>
        <v>Moderado</v>
      </c>
      <c r="AD469" s="167">
        <f t="shared" si="172"/>
        <v>0.6</v>
      </c>
      <c r="AE469" s="168" t="str">
        <f t="shared" si="171"/>
        <v>Moderado</v>
      </c>
      <c r="AF469" s="113" t="s">
        <v>31</v>
      </c>
      <c r="AG469" s="203"/>
      <c r="AH469" s="202"/>
      <c r="AI469" s="114"/>
      <c r="AJ469" s="114"/>
      <c r="AK469" s="203"/>
      <c r="AL469" s="202"/>
      <c r="AM469" s="155"/>
      <c r="AN469" s="155"/>
      <c r="AO469" s="155"/>
      <c r="AP469" s="155"/>
      <c r="AQ469" s="155"/>
      <c r="AR469" s="155"/>
      <c r="AS469" s="155"/>
      <c r="AT469" s="155"/>
      <c r="AU469" s="155"/>
      <c r="AV469" s="155"/>
      <c r="AW469" s="155"/>
      <c r="AX469" s="155"/>
      <c r="AY469" s="155"/>
      <c r="AZ469" s="155"/>
      <c r="BA469" s="155"/>
      <c r="BB469" s="155"/>
      <c r="BC469" s="155"/>
      <c r="BD469" s="155"/>
      <c r="BE469" s="155"/>
      <c r="BF469" s="155"/>
      <c r="BG469" s="155"/>
      <c r="BH469" s="155"/>
      <c r="BI469" s="155"/>
      <c r="BJ469" s="155"/>
      <c r="BK469" s="155"/>
      <c r="BL469" s="155"/>
      <c r="BM469" s="155"/>
      <c r="BN469" s="155"/>
      <c r="BO469" s="155"/>
      <c r="BP469" s="155"/>
      <c r="BQ469" s="155"/>
      <c r="BR469" s="155"/>
    </row>
    <row r="470" spans="1:70" s="156" customFormat="1" ht="64.5" x14ac:dyDescent="0.25">
      <c r="A470" s="266"/>
      <c r="B470" s="294"/>
      <c r="C470" s="294"/>
      <c r="D470" s="270"/>
      <c r="E470" s="270"/>
      <c r="F470" s="270"/>
      <c r="G470" s="362"/>
      <c r="H470" s="270"/>
      <c r="I470" s="281"/>
      <c r="J470" s="275"/>
      <c r="K470" s="277"/>
      <c r="L470" s="273"/>
      <c r="M470" s="277">
        <f ca="1">IF(NOT(ISERROR(MATCH(L470,_xlfn.ANCHORARRAY(#REF!),0))),#REF!&amp;"Por favor no seleccionar los criterios de impacto",L470)</f>
        <v>0</v>
      </c>
      <c r="N470" s="275"/>
      <c r="O470" s="277"/>
      <c r="P470" s="279"/>
      <c r="Q470" s="204">
        <v>2</v>
      </c>
      <c r="R470" s="112" t="s">
        <v>900</v>
      </c>
      <c r="S470" s="204" t="str">
        <f t="shared" si="167"/>
        <v>Probabilidad</v>
      </c>
      <c r="T470" s="113" t="s">
        <v>14</v>
      </c>
      <c r="U470" s="113" t="s">
        <v>9</v>
      </c>
      <c r="V470" s="167" t="str">
        <f t="shared" si="166"/>
        <v>40%</v>
      </c>
      <c r="W470" s="113" t="s">
        <v>19</v>
      </c>
      <c r="X470" s="113" t="s">
        <v>22</v>
      </c>
      <c r="Y470" s="113" t="s">
        <v>117</v>
      </c>
      <c r="Z470" s="165">
        <f>IFERROR(IF(S470="Probabilidad",(K469-(+K469*V470)),IF(S470="Impacto",K469,"")),"")</f>
        <v>0.36</v>
      </c>
      <c r="AA470" s="166" t="str">
        <f t="shared" si="168"/>
        <v>Baja</v>
      </c>
      <c r="AB470" s="167">
        <f t="shared" si="169"/>
        <v>0.36</v>
      </c>
      <c r="AC470" s="166" t="str">
        <f t="shared" si="170"/>
        <v>Moderado</v>
      </c>
      <c r="AD470" s="167">
        <f>IFERROR(IF(S469="Impacto",(O469-(+O469*V470)),IF(S470="Probabilidad",O469,"")),"")</f>
        <v>0.6</v>
      </c>
      <c r="AE470" s="168" t="str">
        <f t="shared" si="171"/>
        <v>Moderado</v>
      </c>
      <c r="AF470" s="113" t="s">
        <v>31</v>
      </c>
      <c r="AG470" s="203"/>
      <c r="AH470" s="202"/>
      <c r="AI470" s="114"/>
      <c r="AJ470" s="114"/>
      <c r="AK470" s="203"/>
      <c r="AL470" s="202"/>
      <c r="AM470" s="155"/>
      <c r="AN470" s="155"/>
      <c r="AO470" s="155"/>
      <c r="AP470" s="155"/>
      <c r="AQ470" s="155"/>
      <c r="AR470" s="155"/>
      <c r="AS470" s="155"/>
      <c r="AT470" s="155"/>
      <c r="AU470" s="155"/>
      <c r="AV470" s="155"/>
      <c r="AW470" s="155"/>
      <c r="AX470" s="155"/>
      <c r="AY470" s="155"/>
      <c r="AZ470" s="155"/>
      <c r="BA470" s="155"/>
      <c r="BB470" s="155"/>
      <c r="BC470" s="155"/>
      <c r="BD470" s="155"/>
      <c r="BE470" s="155"/>
      <c r="BF470" s="155"/>
      <c r="BG470" s="155"/>
      <c r="BH470" s="155"/>
      <c r="BI470" s="155"/>
      <c r="BJ470" s="155"/>
      <c r="BK470" s="155"/>
      <c r="BL470" s="155"/>
      <c r="BM470" s="155"/>
      <c r="BN470" s="155"/>
      <c r="BO470" s="155"/>
      <c r="BP470" s="155"/>
      <c r="BQ470" s="155"/>
      <c r="BR470" s="155"/>
    </row>
    <row r="471" spans="1:70" s="156" customFormat="1" ht="36.75" hidden="1" customHeight="1" x14ac:dyDescent="0.25">
      <c r="A471" s="266"/>
      <c r="B471" s="268"/>
      <c r="C471" s="268"/>
      <c r="D471" s="271"/>
      <c r="E471" s="271"/>
      <c r="F471" s="271"/>
      <c r="G471" s="363"/>
      <c r="H471" s="271"/>
      <c r="I471" s="266"/>
      <c r="J471" s="276"/>
      <c r="K471" s="278"/>
      <c r="L471" s="274"/>
      <c r="M471" s="278">
        <f ca="1">IF(NOT(ISERROR(MATCH(L471,_xlfn.ANCHORARRAY(#REF!),0))),#REF!&amp;"Por favor no seleccionar los criterios de impacto",L471)</f>
        <v>0</v>
      </c>
      <c r="N471" s="276"/>
      <c r="O471" s="278"/>
      <c r="P471" s="280"/>
      <c r="Q471" s="204">
        <v>3</v>
      </c>
      <c r="R471" s="112"/>
      <c r="S471" s="204" t="str">
        <f t="shared" si="167"/>
        <v/>
      </c>
      <c r="T471" s="113"/>
      <c r="U471" s="113"/>
      <c r="V471" s="167" t="str">
        <f t="shared" si="166"/>
        <v/>
      </c>
      <c r="W471" s="113"/>
      <c r="X471" s="113"/>
      <c r="Y471" s="113"/>
      <c r="Z471" s="165" t="str">
        <f>IFERROR(IF(S471="Probabilidad",(K469-(+K469*V471)),IF(S471="Impacto",K469,"")),"")</f>
        <v/>
      </c>
      <c r="AA471" s="166" t="str">
        <f t="shared" si="168"/>
        <v/>
      </c>
      <c r="AB471" s="167" t="str">
        <f t="shared" si="169"/>
        <v/>
      </c>
      <c r="AC471" s="166" t="str">
        <f t="shared" si="170"/>
        <v/>
      </c>
      <c r="AD471" s="167" t="str">
        <f t="shared" si="172"/>
        <v/>
      </c>
      <c r="AE471" s="168" t="str">
        <f t="shared" si="171"/>
        <v/>
      </c>
      <c r="AF471" s="113" t="s">
        <v>31</v>
      </c>
      <c r="AG471" s="203"/>
      <c r="AH471" s="202"/>
      <c r="AI471" s="114"/>
      <c r="AJ471" s="114"/>
      <c r="AK471" s="203"/>
      <c r="AL471" s="202"/>
      <c r="AM471" s="155"/>
      <c r="AN471" s="155"/>
      <c r="AO471" s="155"/>
      <c r="AP471" s="155"/>
      <c r="AQ471" s="155"/>
      <c r="AR471" s="155"/>
      <c r="AS471" s="155"/>
      <c r="AT471" s="155"/>
      <c r="AU471" s="155"/>
      <c r="AV471" s="155"/>
      <c r="AW471" s="155"/>
      <c r="AX471" s="155"/>
      <c r="AY471" s="155"/>
      <c r="AZ471" s="155"/>
      <c r="BA471" s="155"/>
      <c r="BB471" s="155"/>
      <c r="BC471" s="155"/>
      <c r="BD471" s="155"/>
      <c r="BE471" s="155"/>
      <c r="BF471" s="155"/>
      <c r="BG471" s="155"/>
      <c r="BH471" s="155"/>
      <c r="BI471" s="155"/>
      <c r="BJ471" s="155"/>
      <c r="BK471" s="155"/>
      <c r="BL471" s="155"/>
      <c r="BM471" s="155"/>
      <c r="BN471" s="155"/>
      <c r="BO471" s="155"/>
      <c r="BP471" s="155"/>
      <c r="BQ471" s="155"/>
      <c r="BR471" s="155"/>
    </row>
    <row r="472" spans="1:70" s="156" customFormat="1" ht="36.75" hidden="1" customHeight="1" x14ac:dyDescent="0.25">
      <c r="A472" s="266"/>
      <c r="B472" s="268"/>
      <c r="C472" s="268"/>
      <c r="D472" s="271"/>
      <c r="E472" s="271"/>
      <c r="F472" s="271"/>
      <c r="G472" s="363"/>
      <c r="H472" s="271"/>
      <c r="I472" s="266"/>
      <c r="J472" s="276"/>
      <c r="K472" s="278"/>
      <c r="L472" s="274"/>
      <c r="M472" s="278">
        <f ca="1">IF(NOT(ISERROR(MATCH(L472,_xlfn.ANCHORARRAY(#REF!),0))),#REF!&amp;"Por favor no seleccionar los criterios de impacto",L472)</f>
        <v>0</v>
      </c>
      <c r="N472" s="276"/>
      <c r="O472" s="278"/>
      <c r="P472" s="280"/>
      <c r="Q472" s="204">
        <v>4</v>
      </c>
      <c r="R472" s="112"/>
      <c r="S472" s="204" t="str">
        <f t="shared" si="167"/>
        <v/>
      </c>
      <c r="T472" s="113"/>
      <c r="U472" s="113"/>
      <c r="V472" s="167" t="str">
        <f t="shared" si="166"/>
        <v/>
      </c>
      <c r="W472" s="113"/>
      <c r="X472" s="113"/>
      <c r="Y472" s="113"/>
      <c r="Z472" s="165" t="str">
        <f>IFERROR(IF(S472="Probabilidad",(K469-(+K469*V472)),IF(S472="Impacto",K469,"")),"")</f>
        <v/>
      </c>
      <c r="AA472" s="166" t="str">
        <f t="shared" si="168"/>
        <v/>
      </c>
      <c r="AB472" s="167" t="str">
        <f t="shared" si="169"/>
        <v/>
      </c>
      <c r="AC472" s="166" t="str">
        <f t="shared" si="170"/>
        <v/>
      </c>
      <c r="AD472" s="167" t="str">
        <f t="shared" si="172"/>
        <v/>
      </c>
      <c r="AE472" s="168" t="str">
        <f t="shared" si="171"/>
        <v/>
      </c>
      <c r="AF472" s="113" t="s">
        <v>31</v>
      </c>
      <c r="AG472" s="203"/>
      <c r="AH472" s="202"/>
      <c r="AI472" s="114"/>
      <c r="AJ472" s="114"/>
      <c r="AK472" s="203"/>
      <c r="AL472" s="202"/>
      <c r="AM472" s="155"/>
      <c r="AN472" s="155"/>
      <c r="AO472" s="155"/>
      <c r="AP472" s="155"/>
      <c r="AQ472" s="155"/>
      <c r="AR472" s="155"/>
      <c r="AS472" s="155"/>
      <c r="AT472" s="155"/>
      <c r="AU472" s="155"/>
      <c r="AV472" s="155"/>
      <c r="AW472" s="155"/>
      <c r="AX472" s="155"/>
      <c r="AY472" s="155"/>
      <c r="AZ472" s="155"/>
      <c r="BA472" s="155"/>
      <c r="BB472" s="155"/>
      <c r="BC472" s="155"/>
      <c r="BD472" s="155"/>
      <c r="BE472" s="155"/>
      <c r="BF472" s="155"/>
      <c r="BG472" s="155"/>
      <c r="BH472" s="155"/>
      <c r="BI472" s="155"/>
      <c r="BJ472" s="155"/>
      <c r="BK472" s="155"/>
      <c r="BL472" s="155"/>
      <c r="BM472" s="155"/>
      <c r="BN472" s="155"/>
      <c r="BO472" s="155"/>
      <c r="BP472" s="155"/>
      <c r="BQ472" s="155"/>
      <c r="BR472" s="155"/>
    </row>
    <row r="473" spans="1:70" s="156" customFormat="1" ht="36.75" hidden="1" customHeight="1" x14ac:dyDescent="0.25">
      <c r="A473" s="266"/>
      <c r="B473" s="268"/>
      <c r="C473" s="268"/>
      <c r="D473" s="271"/>
      <c r="E473" s="271"/>
      <c r="F473" s="271"/>
      <c r="G473" s="363"/>
      <c r="H473" s="271"/>
      <c r="I473" s="266"/>
      <c r="J473" s="276"/>
      <c r="K473" s="278"/>
      <c r="L473" s="274"/>
      <c r="M473" s="278">
        <f ca="1">IF(NOT(ISERROR(MATCH(L473,_xlfn.ANCHORARRAY(#REF!),0))),#REF!&amp;"Por favor no seleccionar los criterios de impacto",L473)</f>
        <v>0</v>
      </c>
      <c r="N473" s="276"/>
      <c r="O473" s="278"/>
      <c r="P473" s="280"/>
      <c r="Q473" s="204">
        <v>5</v>
      </c>
      <c r="R473" s="112"/>
      <c r="S473" s="204" t="str">
        <f t="shared" si="167"/>
        <v/>
      </c>
      <c r="T473" s="113"/>
      <c r="U473" s="113"/>
      <c r="V473" s="167" t="str">
        <f t="shared" si="166"/>
        <v/>
      </c>
      <c r="W473" s="113"/>
      <c r="X473" s="113"/>
      <c r="Y473" s="113"/>
      <c r="Z473" s="165" t="str">
        <f>IFERROR(IF(S473="Probabilidad",(K469-(+K469*V473)),IF(S473="Impacto",K469,"")),"")</f>
        <v/>
      </c>
      <c r="AA473" s="166" t="str">
        <f t="shared" si="168"/>
        <v/>
      </c>
      <c r="AB473" s="167" t="str">
        <f t="shared" si="169"/>
        <v/>
      </c>
      <c r="AC473" s="166" t="str">
        <f t="shared" si="170"/>
        <v/>
      </c>
      <c r="AD473" s="167" t="str">
        <f t="shared" si="172"/>
        <v/>
      </c>
      <c r="AE473" s="168" t="str">
        <f t="shared" si="171"/>
        <v/>
      </c>
      <c r="AF473" s="113" t="s">
        <v>31</v>
      </c>
      <c r="AG473" s="203"/>
      <c r="AH473" s="202"/>
      <c r="AI473" s="114"/>
      <c r="AJ473" s="114"/>
      <c r="AK473" s="203"/>
      <c r="AL473" s="202"/>
      <c r="AM473" s="155"/>
      <c r="AN473" s="155"/>
      <c r="AO473" s="155"/>
      <c r="AP473" s="155"/>
      <c r="AQ473" s="155"/>
      <c r="AR473" s="155"/>
      <c r="AS473" s="155"/>
      <c r="AT473" s="155"/>
      <c r="AU473" s="155"/>
      <c r="AV473" s="155"/>
      <c r="AW473" s="155"/>
      <c r="AX473" s="155"/>
      <c r="AY473" s="155"/>
      <c r="AZ473" s="155"/>
      <c r="BA473" s="155"/>
      <c r="BB473" s="155"/>
      <c r="BC473" s="155"/>
      <c r="BD473" s="155"/>
      <c r="BE473" s="155"/>
      <c r="BF473" s="155"/>
      <c r="BG473" s="155"/>
      <c r="BH473" s="155"/>
      <c r="BI473" s="155"/>
      <c r="BJ473" s="155"/>
      <c r="BK473" s="155"/>
      <c r="BL473" s="155"/>
      <c r="BM473" s="155"/>
      <c r="BN473" s="155"/>
      <c r="BO473" s="155"/>
      <c r="BP473" s="155"/>
      <c r="BQ473" s="155"/>
      <c r="BR473" s="155"/>
    </row>
    <row r="474" spans="1:70" s="156" customFormat="1" ht="36.75" hidden="1" customHeight="1" x14ac:dyDescent="0.25">
      <c r="A474" s="266"/>
      <c r="B474" s="269"/>
      <c r="C474" s="269"/>
      <c r="D474" s="271"/>
      <c r="E474" s="271"/>
      <c r="F474" s="271"/>
      <c r="G474" s="363"/>
      <c r="H474" s="271"/>
      <c r="I474" s="266"/>
      <c r="J474" s="276"/>
      <c r="K474" s="278"/>
      <c r="L474" s="274"/>
      <c r="M474" s="278">
        <f ca="1">IF(NOT(ISERROR(MATCH(L474,_xlfn.ANCHORARRAY(#REF!),0))),K481&amp;"Por favor no seleccionar los criterios de impacto",L474)</f>
        <v>0</v>
      </c>
      <c r="N474" s="276"/>
      <c r="O474" s="278"/>
      <c r="P474" s="280"/>
      <c r="Q474" s="204">
        <v>6</v>
      </c>
      <c r="R474" s="112"/>
      <c r="S474" s="204" t="str">
        <f t="shared" si="167"/>
        <v/>
      </c>
      <c r="T474" s="113"/>
      <c r="U474" s="113"/>
      <c r="V474" s="167" t="str">
        <f t="shared" si="166"/>
        <v/>
      </c>
      <c r="W474" s="113"/>
      <c r="X474" s="113"/>
      <c r="Y474" s="113"/>
      <c r="Z474" s="165" t="str">
        <f>IFERROR(IF(S474="Probabilidad",(K469-(+K469*V474)),IF(S474="Impacto",K469,"")),"")</f>
        <v/>
      </c>
      <c r="AA474" s="166" t="str">
        <f t="shared" si="168"/>
        <v/>
      </c>
      <c r="AB474" s="167" t="str">
        <f t="shared" si="169"/>
        <v/>
      </c>
      <c r="AC474" s="166" t="str">
        <f t="shared" si="170"/>
        <v/>
      </c>
      <c r="AD474" s="167" t="str">
        <f t="shared" si="172"/>
        <v/>
      </c>
      <c r="AE474" s="168" t="str">
        <f t="shared" si="171"/>
        <v/>
      </c>
      <c r="AF474" s="113" t="s">
        <v>31</v>
      </c>
      <c r="AG474" s="203"/>
      <c r="AH474" s="202"/>
      <c r="AI474" s="114"/>
      <c r="AJ474" s="114"/>
      <c r="AK474" s="203"/>
      <c r="AL474" s="202"/>
      <c r="AM474" s="155"/>
      <c r="AN474" s="155"/>
      <c r="AO474" s="155"/>
      <c r="AP474" s="155"/>
      <c r="AQ474" s="155"/>
      <c r="AR474" s="155"/>
      <c r="AS474" s="155"/>
      <c r="AT474" s="155"/>
      <c r="AU474" s="155"/>
      <c r="AV474" s="155"/>
      <c r="AW474" s="155"/>
      <c r="AX474" s="155"/>
      <c r="AY474" s="155"/>
      <c r="AZ474" s="155"/>
      <c r="BA474" s="155"/>
      <c r="BB474" s="155"/>
      <c r="BC474" s="155"/>
      <c r="BD474" s="155"/>
      <c r="BE474" s="155"/>
      <c r="BF474" s="155"/>
      <c r="BG474" s="155"/>
      <c r="BH474" s="155"/>
      <c r="BI474" s="155"/>
      <c r="BJ474" s="155"/>
      <c r="BK474" s="155"/>
      <c r="BL474" s="155"/>
      <c r="BM474" s="155"/>
      <c r="BN474" s="155"/>
      <c r="BO474" s="155"/>
      <c r="BP474" s="155"/>
      <c r="BQ474" s="155"/>
      <c r="BR474" s="155"/>
    </row>
    <row r="475" spans="1:70" s="156" customFormat="1" ht="64.5" x14ac:dyDescent="0.25">
      <c r="A475" s="266">
        <v>78</v>
      </c>
      <c r="B475" s="267" t="s">
        <v>220</v>
      </c>
      <c r="C475" s="267" t="s">
        <v>872</v>
      </c>
      <c r="D475" s="270" t="s">
        <v>131</v>
      </c>
      <c r="E475" s="270" t="s">
        <v>873</v>
      </c>
      <c r="F475" s="270" t="s">
        <v>874</v>
      </c>
      <c r="G475" s="362" t="s">
        <v>875</v>
      </c>
      <c r="H475" s="270" t="s">
        <v>437</v>
      </c>
      <c r="I475" s="281">
        <v>500</v>
      </c>
      <c r="J475" s="275" t="str">
        <f>IF(I475&lt;=0,"",IF(I475&lt;=2,"Muy Baja",IF(I475&lt;=24,"Baja",IF(I475&lt;=500,"Media",IF(I475&lt;=5000,"Alta","Muy Alta")))))</f>
        <v>Media</v>
      </c>
      <c r="K475" s="277">
        <f>IF(J475="","",IF(J475="Muy Baja",0.2,IF(J475="Baja",0.4,IF(J475="Media",0.6,IF(J475="Alta",0.8,IF(J475="Muy Alta",1,))))))</f>
        <v>0.6</v>
      </c>
      <c r="L475" s="273" t="s">
        <v>92</v>
      </c>
      <c r="M475" s="277" t="str">
        <f>IF(NOT(ISERROR(MATCH(L475,'[13]Tabla Impacto'!$B$221:$B$223,0))),'[13]Tabla Impacto'!$F$223&amp;"Por favor no seleccionar los criterios de impacto(Afectación Económica o presupuestal y Pérdida Reputacional)",L475)</f>
        <v xml:space="preserve">Entre 50 y 100 SMLMV </v>
      </c>
      <c r="N475" s="275" t="str">
        <f>+IF(OR(M475='[13]Tabla Impacto'!$C$11,M475='[13]Tabla Impacto'!$D$11),"Leve",IF(OR(M475='[13]Tabla Impacto'!$C$12,M475='[13]Tabla Impacto'!$D$12),"Menor",IF(OR(M475='[13]Tabla Impacto'!$C$13,M475='[13]Tabla Impacto'!$D$13),"Moderado",IF(OR(M475='[13]Tabla Impacto'!$C$14,M475='[13]Tabla Impacto'!$D$14),"Mayor",IF(OR(M475='[13]Tabla Impacto'!$C$15,M475='[13]Tabla Impacto'!$D$15),"Catastrófico","")))))</f>
        <v>Moderado</v>
      </c>
      <c r="O475" s="277">
        <f>IF(N475="","",IF(N475="Leve",0.2,IF(N475="Menor",0.4,IF(N475="Moderado",0.6,IF(N475="Mayor",0.8,IF(N475="Catastrófico",1,))))))</f>
        <v>0.6</v>
      </c>
      <c r="P475" s="279" t="str">
        <f>IF(OR(AND(J475="Muy Baja",N475="Leve"),AND(J475="Muy Baja",N475="Menor"),AND(J475="Baja",N475="Leve")),"Bajo",IF(OR(AND(J475="Muy baja",N475="Moderado"),AND(J475="Baja",N475="Menor"),AND(J475="Baja",N475="Moderado"),AND(J475="Media",N475="Leve"),AND(J475="Media",N475="Menor"),AND(J475="Media",N475="Moderado"),AND(J475="Alta",N475="Leve"),AND(J475="Alta",N475="Menor")),"Moderado",IF(OR(AND(J475="Muy Baja",N475="Mayor"),AND(J475="Baja",N475="Mayor"),AND(J475="Media",N475="Mayor"),AND(J475="Alta",N475="Moderado"),AND(J475="Alta",N475="Mayor"),AND(J475="Muy Alta",N475="Leve"),AND(J475="Muy Alta",N475="Menor"),AND(J475="Muy Alta",N475="Moderado"),AND(J475="Muy Alta",N475="Mayor")),"Alto",IF(OR(AND(J475="Muy Baja",N475="Catastrófico"),AND(J475="Baja",N475="Catastrófico"),AND(J475="Media",N475="Catastrófico"),AND(J475="Alta",N475="Catastrófico"),AND(J475="Muy Alta",N475="Catastrófico")),"Extremo",""))))</f>
        <v>Moderado</v>
      </c>
      <c r="Q475" s="204">
        <v>1</v>
      </c>
      <c r="R475" s="112" t="s">
        <v>901</v>
      </c>
      <c r="S475" s="204" t="str">
        <f t="shared" si="167"/>
        <v>Probabilidad</v>
      </c>
      <c r="T475" s="113" t="s">
        <v>14</v>
      </c>
      <c r="U475" s="113" t="s">
        <v>9</v>
      </c>
      <c r="V475" s="167" t="str">
        <f t="shared" si="166"/>
        <v>40%</v>
      </c>
      <c r="W475" s="113" t="s">
        <v>19</v>
      </c>
      <c r="X475" s="113" t="s">
        <v>22</v>
      </c>
      <c r="Y475" s="113" t="s">
        <v>117</v>
      </c>
      <c r="Z475" s="165">
        <f t="shared" si="173"/>
        <v>0.36</v>
      </c>
      <c r="AA475" s="166" t="str">
        <f t="shared" si="168"/>
        <v>Baja</v>
      </c>
      <c r="AB475" s="167">
        <f t="shared" si="169"/>
        <v>0.36</v>
      </c>
      <c r="AC475" s="166" t="str">
        <f t="shared" si="170"/>
        <v>Moderado</v>
      </c>
      <c r="AD475" s="167">
        <f t="shared" si="172"/>
        <v>0.6</v>
      </c>
      <c r="AE475" s="168" t="str">
        <f t="shared" si="171"/>
        <v>Moderado</v>
      </c>
      <c r="AF475" s="113" t="s">
        <v>31</v>
      </c>
      <c r="AG475" s="203"/>
      <c r="AH475" s="202"/>
      <c r="AI475" s="114"/>
      <c r="AJ475" s="114"/>
      <c r="AK475" s="203"/>
      <c r="AL475" s="202"/>
      <c r="AM475" s="155"/>
      <c r="AN475" s="155"/>
      <c r="AO475" s="155"/>
      <c r="AP475" s="155"/>
      <c r="AQ475" s="155"/>
      <c r="AR475" s="155"/>
      <c r="AS475" s="155"/>
      <c r="AT475" s="155"/>
      <c r="AU475" s="155"/>
      <c r="AV475" s="155"/>
      <c r="AW475" s="155"/>
      <c r="AX475" s="155"/>
      <c r="AY475" s="155"/>
      <c r="AZ475" s="155"/>
      <c r="BA475" s="155"/>
      <c r="BB475" s="155"/>
      <c r="BC475" s="155"/>
      <c r="BD475" s="155"/>
      <c r="BE475" s="155"/>
      <c r="BF475" s="155"/>
      <c r="BG475" s="155"/>
      <c r="BH475" s="155"/>
      <c r="BI475" s="155"/>
      <c r="BJ475" s="155"/>
      <c r="BK475" s="155"/>
      <c r="BL475" s="155"/>
      <c r="BM475" s="155"/>
      <c r="BN475" s="155"/>
      <c r="BO475" s="155"/>
      <c r="BP475" s="155"/>
      <c r="BQ475" s="155"/>
      <c r="BR475" s="155"/>
    </row>
    <row r="476" spans="1:70" s="156" customFormat="1" ht="64.5" x14ac:dyDescent="0.25">
      <c r="A476" s="266"/>
      <c r="B476" s="294"/>
      <c r="C476" s="294"/>
      <c r="D476" s="270"/>
      <c r="E476" s="270"/>
      <c r="F476" s="270"/>
      <c r="G476" s="362"/>
      <c r="H476" s="270"/>
      <c r="I476" s="281"/>
      <c r="J476" s="275"/>
      <c r="K476" s="277"/>
      <c r="L476" s="273"/>
      <c r="M476" s="277">
        <f ca="1">IF(NOT(ISERROR(MATCH(L476,_xlfn.ANCHORARRAY(G481),0))),K483&amp;"Por favor no seleccionar los criterios de impacto",L476)</f>
        <v>0</v>
      </c>
      <c r="N476" s="275"/>
      <c r="O476" s="277"/>
      <c r="P476" s="279"/>
      <c r="Q476" s="204">
        <v>2</v>
      </c>
      <c r="R476" s="112" t="s">
        <v>902</v>
      </c>
      <c r="S476" s="204" t="str">
        <f t="shared" si="167"/>
        <v>Probabilidad</v>
      </c>
      <c r="T476" s="113" t="s">
        <v>14</v>
      </c>
      <c r="U476" s="113" t="s">
        <v>9</v>
      </c>
      <c r="V476" s="167" t="str">
        <f t="shared" si="166"/>
        <v>40%</v>
      </c>
      <c r="W476" s="113" t="s">
        <v>19</v>
      </c>
      <c r="X476" s="113" t="s">
        <v>22</v>
      </c>
      <c r="Y476" s="113" t="s">
        <v>117</v>
      </c>
      <c r="Z476" s="165">
        <f>IFERROR(IF(S476="Probabilidad",(K475-(+K475*V476)),IF(S476="Impacto",K475,"")),"")</f>
        <v>0.36</v>
      </c>
      <c r="AA476" s="166" t="str">
        <f t="shared" si="168"/>
        <v>Baja</v>
      </c>
      <c r="AB476" s="167">
        <f t="shared" si="169"/>
        <v>0.36</v>
      </c>
      <c r="AC476" s="166" t="str">
        <f t="shared" si="170"/>
        <v>Moderado</v>
      </c>
      <c r="AD476" s="167">
        <f>IFERROR(IF(S476="Impacto",(O475-(+O475*V476)),IF(S476="Probabilidad",O475,"")),"")</f>
        <v>0.6</v>
      </c>
      <c r="AE476" s="168" t="str">
        <f t="shared" si="171"/>
        <v>Moderado</v>
      </c>
      <c r="AF476" s="113" t="s">
        <v>31</v>
      </c>
      <c r="AG476" s="203"/>
      <c r="AH476" s="202"/>
      <c r="AI476" s="114"/>
      <c r="AJ476" s="114"/>
      <c r="AK476" s="203"/>
      <c r="AL476" s="202"/>
      <c r="AM476" s="155"/>
      <c r="AN476" s="155"/>
      <c r="AO476" s="155"/>
      <c r="AP476" s="155"/>
      <c r="AQ476" s="155"/>
      <c r="AR476" s="155"/>
      <c r="AS476" s="155"/>
      <c r="AT476" s="155"/>
      <c r="AU476" s="155"/>
      <c r="AV476" s="155"/>
      <c r="AW476" s="155"/>
      <c r="AX476" s="155"/>
      <c r="AY476" s="155"/>
      <c r="AZ476" s="155"/>
      <c r="BA476" s="155"/>
      <c r="BB476" s="155"/>
      <c r="BC476" s="155"/>
      <c r="BD476" s="155"/>
      <c r="BE476" s="155"/>
      <c r="BF476" s="155"/>
      <c r="BG476" s="155"/>
      <c r="BH476" s="155"/>
      <c r="BI476" s="155"/>
      <c r="BJ476" s="155"/>
      <c r="BK476" s="155"/>
      <c r="BL476" s="155"/>
      <c r="BM476" s="155"/>
      <c r="BN476" s="155"/>
      <c r="BO476" s="155"/>
      <c r="BP476" s="155"/>
      <c r="BQ476" s="155"/>
      <c r="BR476" s="155"/>
    </row>
    <row r="477" spans="1:70" s="156" customFormat="1" ht="64.5" x14ac:dyDescent="0.25">
      <c r="A477" s="266"/>
      <c r="B477" s="294"/>
      <c r="C477" s="294"/>
      <c r="D477" s="270"/>
      <c r="E477" s="270"/>
      <c r="F477" s="270"/>
      <c r="G477" s="362"/>
      <c r="H477" s="270"/>
      <c r="I477" s="281"/>
      <c r="J477" s="275"/>
      <c r="K477" s="277"/>
      <c r="L477" s="273"/>
      <c r="M477" s="277">
        <f ca="1">IF(NOT(ISERROR(MATCH(L477,_xlfn.ANCHORARRAY(G482),0))),K484&amp;"Por favor no seleccionar los criterios de impacto",L477)</f>
        <v>0</v>
      </c>
      <c r="N477" s="275"/>
      <c r="O477" s="277"/>
      <c r="P477" s="279"/>
      <c r="Q477" s="204">
        <v>3</v>
      </c>
      <c r="R477" s="112" t="s">
        <v>903</v>
      </c>
      <c r="S477" s="204" t="str">
        <f t="shared" si="167"/>
        <v>Probabilidad</v>
      </c>
      <c r="T477" s="113" t="s">
        <v>14</v>
      </c>
      <c r="U477" s="113" t="s">
        <v>9</v>
      </c>
      <c r="V477" s="167" t="str">
        <f t="shared" si="166"/>
        <v>40%</v>
      </c>
      <c r="W477" s="113" t="s">
        <v>19</v>
      </c>
      <c r="X477" s="113" t="s">
        <v>22</v>
      </c>
      <c r="Y477" s="113" t="s">
        <v>117</v>
      </c>
      <c r="Z477" s="165">
        <f>IFERROR(IF(S477="Probabilidad",(K475-(+K475*V477)),IF(S477="Impacto",K475,"")),"")</f>
        <v>0.36</v>
      </c>
      <c r="AA477" s="166" t="str">
        <f t="shared" si="168"/>
        <v>Baja</v>
      </c>
      <c r="AB477" s="167">
        <f t="shared" si="169"/>
        <v>0.36</v>
      </c>
      <c r="AC477" s="166" t="str">
        <f t="shared" si="170"/>
        <v>Moderado</v>
      </c>
      <c r="AD477" s="167">
        <f>IFERROR(IF(S477="Impacto",(O475-(+O475*V477)),IF(S477="Probabilidad",O475,"")),"")</f>
        <v>0.6</v>
      </c>
      <c r="AE477" s="168" t="str">
        <f t="shared" si="171"/>
        <v>Moderado</v>
      </c>
      <c r="AF477" s="113" t="s">
        <v>31</v>
      </c>
      <c r="AG477" s="203"/>
      <c r="AH477" s="202"/>
      <c r="AI477" s="114"/>
      <c r="AJ477" s="114"/>
      <c r="AK477" s="203"/>
      <c r="AL477" s="202"/>
      <c r="AM477" s="155"/>
      <c r="AN477" s="155"/>
      <c r="AO477" s="155"/>
      <c r="AP477" s="155"/>
      <c r="AQ477" s="155"/>
      <c r="AR477" s="155"/>
      <c r="AS477" s="155"/>
      <c r="AT477" s="155"/>
      <c r="AU477" s="155"/>
      <c r="AV477" s="155"/>
      <c r="AW477" s="155"/>
      <c r="AX477" s="155"/>
      <c r="AY477" s="155"/>
      <c r="AZ477" s="155"/>
      <c r="BA477" s="155"/>
      <c r="BB477" s="155"/>
      <c r="BC477" s="155"/>
      <c r="BD477" s="155"/>
      <c r="BE477" s="155"/>
      <c r="BF477" s="155"/>
      <c r="BG477" s="155"/>
      <c r="BH477" s="155"/>
      <c r="BI477" s="155"/>
      <c r="BJ477" s="155"/>
      <c r="BK477" s="155"/>
      <c r="BL477" s="155"/>
      <c r="BM477" s="155"/>
      <c r="BN477" s="155"/>
      <c r="BO477" s="155"/>
      <c r="BP477" s="155"/>
      <c r="BQ477" s="155"/>
      <c r="BR477" s="155"/>
    </row>
    <row r="478" spans="1:70" s="156" customFormat="1" ht="16.5" hidden="1" customHeight="1" x14ac:dyDescent="0.25">
      <c r="A478" s="266"/>
      <c r="B478" s="268"/>
      <c r="C478" s="268"/>
      <c r="D478" s="271"/>
      <c r="E478" s="271"/>
      <c r="F478" s="271"/>
      <c r="G478" s="363"/>
      <c r="H478" s="271"/>
      <c r="I478" s="266"/>
      <c r="J478" s="276"/>
      <c r="K478" s="278"/>
      <c r="L478" s="274"/>
      <c r="M478" s="278">
        <f ca="1">IF(NOT(ISERROR(MATCH(L478,_xlfn.ANCHORARRAY(G483),0))),K485&amp;"Por favor no seleccionar los criterios de impacto",L478)</f>
        <v>0</v>
      </c>
      <c r="N478" s="276"/>
      <c r="O478" s="278"/>
      <c r="P478" s="280"/>
      <c r="Q478" s="204">
        <v>4</v>
      </c>
      <c r="R478" s="112"/>
      <c r="S478" s="204" t="str">
        <f t="shared" si="167"/>
        <v/>
      </c>
      <c r="T478" s="113"/>
      <c r="U478" s="113"/>
      <c r="V478" s="167" t="str">
        <f t="shared" si="166"/>
        <v/>
      </c>
      <c r="W478" s="113"/>
      <c r="X478" s="113"/>
      <c r="Y478" s="113"/>
      <c r="Z478" s="165" t="str">
        <f>IFERROR(IF(S478="Probabilidad",(K475-(+K475*V478)),IF(S478="Impacto",K475,"")),"")</f>
        <v/>
      </c>
      <c r="AA478" s="166" t="str">
        <f t="shared" si="168"/>
        <v/>
      </c>
      <c r="AB478" s="167" t="str">
        <f t="shared" si="169"/>
        <v/>
      </c>
      <c r="AC478" s="166" t="str">
        <f t="shared" si="170"/>
        <v/>
      </c>
      <c r="AD478" s="167" t="str">
        <f t="shared" si="172"/>
        <v/>
      </c>
      <c r="AE478" s="168" t="str">
        <f t="shared" si="171"/>
        <v/>
      </c>
      <c r="AF478" s="113"/>
      <c r="AG478" s="203"/>
      <c r="AH478" s="202"/>
      <c r="AI478" s="114"/>
      <c r="AJ478" s="114"/>
      <c r="AK478" s="203"/>
      <c r="AL478" s="202"/>
      <c r="AM478" s="155"/>
      <c r="AN478" s="155"/>
      <c r="AO478" s="155"/>
      <c r="AP478" s="155"/>
      <c r="AQ478" s="155"/>
      <c r="AR478" s="155"/>
      <c r="AS478" s="155"/>
      <c r="AT478" s="155"/>
      <c r="AU478" s="155"/>
      <c r="AV478" s="155"/>
      <c r="AW478" s="155"/>
      <c r="AX478" s="155"/>
      <c r="AY478" s="155"/>
      <c r="AZ478" s="155"/>
      <c r="BA478" s="155"/>
      <c r="BB478" s="155"/>
      <c r="BC478" s="155"/>
      <c r="BD478" s="155"/>
      <c r="BE478" s="155"/>
      <c r="BF478" s="155"/>
      <c r="BG478" s="155"/>
      <c r="BH478" s="155"/>
      <c r="BI478" s="155"/>
      <c r="BJ478" s="155"/>
      <c r="BK478" s="155"/>
      <c r="BL478" s="155"/>
      <c r="BM478" s="155"/>
      <c r="BN478" s="155"/>
      <c r="BO478" s="155"/>
      <c r="BP478" s="155"/>
      <c r="BQ478" s="155"/>
      <c r="BR478" s="155"/>
    </row>
    <row r="479" spans="1:70" s="156" customFormat="1" ht="16.5" hidden="1" customHeight="1" x14ac:dyDescent="0.25">
      <c r="A479" s="266"/>
      <c r="B479" s="268"/>
      <c r="C479" s="268"/>
      <c r="D479" s="271"/>
      <c r="E479" s="271"/>
      <c r="F479" s="271"/>
      <c r="G479" s="363"/>
      <c r="H479" s="271"/>
      <c r="I479" s="266"/>
      <c r="J479" s="276"/>
      <c r="K479" s="278"/>
      <c r="L479" s="274"/>
      <c r="M479" s="278">
        <f ca="1">IF(NOT(ISERROR(MATCH(L479,_xlfn.ANCHORARRAY(G484),0))),K486&amp;"Por favor no seleccionar los criterios de impacto",L479)</f>
        <v>0</v>
      </c>
      <c r="N479" s="276"/>
      <c r="O479" s="278"/>
      <c r="P479" s="280"/>
      <c r="Q479" s="204">
        <v>5</v>
      </c>
      <c r="R479" s="112"/>
      <c r="S479" s="204" t="str">
        <f t="shared" si="167"/>
        <v/>
      </c>
      <c r="T479" s="113"/>
      <c r="U479" s="113"/>
      <c r="V479" s="167" t="str">
        <f t="shared" si="166"/>
        <v/>
      </c>
      <c r="W479" s="113"/>
      <c r="X479" s="113"/>
      <c r="Y479" s="113"/>
      <c r="Z479" s="165" t="str">
        <f>IFERROR(IF(S479="Probabilidad",(K475-(+K475*V479)),IF(S479="Impacto",K475,"")),"")</f>
        <v/>
      </c>
      <c r="AA479" s="166" t="str">
        <f t="shared" si="168"/>
        <v/>
      </c>
      <c r="AB479" s="167" t="str">
        <f t="shared" si="169"/>
        <v/>
      </c>
      <c r="AC479" s="166" t="str">
        <f t="shared" si="170"/>
        <v/>
      </c>
      <c r="AD479" s="167" t="str">
        <f t="shared" si="172"/>
        <v/>
      </c>
      <c r="AE479" s="168" t="str">
        <f t="shared" si="171"/>
        <v/>
      </c>
      <c r="AF479" s="113"/>
      <c r="AG479" s="203"/>
      <c r="AH479" s="202"/>
      <c r="AI479" s="114"/>
      <c r="AJ479" s="114"/>
      <c r="AK479" s="203"/>
      <c r="AL479" s="202"/>
      <c r="AM479" s="155"/>
      <c r="AN479" s="155"/>
      <c r="AO479" s="155"/>
      <c r="AP479" s="155"/>
      <c r="AQ479" s="155"/>
      <c r="AR479" s="155"/>
      <c r="AS479" s="155"/>
      <c r="AT479" s="155"/>
      <c r="AU479" s="155"/>
      <c r="AV479" s="155"/>
      <c r="AW479" s="155"/>
      <c r="AX479" s="155"/>
      <c r="AY479" s="155"/>
      <c r="AZ479" s="155"/>
      <c r="BA479" s="155"/>
      <c r="BB479" s="155"/>
      <c r="BC479" s="155"/>
      <c r="BD479" s="155"/>
      <c r="BE479" s="155"/>
      <c r="BF479" s="155"/>
      <c r="BG479" s="155"/>
      <c r="BH479" s="155"/>
      <c r="BI479" s="155"/>
      <c r="BJ479" s="155"/>
      <c r="BK479" s="155"/>
      <c r="BL479" s="155"/>
      <c r="BM479" s="155"/>
      <c r="BN479" s="155"/>
      <c r="BO479" s="155"/>
      <c r="BP479" s="155"/>
      <c r="BQ479" s="155"/>
      <c r="BR479" s="155"/>
    </row>
    <row r="480" spans="1:70" s="156" customFormat="1" ht="16.5" hidden="1" customHeight="1" x14ac:dyDescent="0.25">
      <c r="A480" s="266"/>
      <c r="B480" s="269"/>
      <c r="C480" s="269"/>
      <c r="D480" s="271"/>
      <c r="E480" s="271"/>
      <c r="F480" s="271"/>
      <c r="G480" s="363"/>
      <c r="H480" s="271"/>
      <c r="I480" s="266"/>
      <c r="J480" s="276"/>
      <c r="K480" s="278"/>
      <c r="L480" s="274"/>
      <c r="M480" s="278">
        <f ca="1">IF(NOT(ISERROR(MATCH(L480,_xlfn.ANCHORARRAY(G485),0))),K487&amp;"Por favor no seleccionar los criterios de impacto",L480)</f>
        <v>0</v>
      </c>
      <c r="N480" s="276"/>
      <c r="O480" s="278"/>
      <c r="P480" s="280"/>
      <c r="Q480" s="204">
        <v>6</v>
      </c>
      <c r="R480" s="112"/>
      <c r="S480" s="204" t="str">
        <f t="shared" si="167"/>
        <v/>
      </c>
      <c r="T480" s="113"/>
      <c r="U480" s="113"/>
      <c r="V480" s="167" t="str">
        <f t="shared" si="166"/>
        <v/>
      </c>
      <c r="W480" s="113"/>
      <c r="X480" s="113"/>
      <c r="Y480" s="113"/>
      <c r="Z480" s="165" t="str">
        <f>IFERROR(IF(S480="Probabilidad",(K475-(+K475*V480)),IF(S480="Impacto",K475,"")),"")</f>
        <v/>
      </c>
      <c r="AA480" s="166" t="str">
        <f t="shared" si="168"/>
        <v/>
      </c>
      <c r="AB480" s="167" t="str">
        <f t="shared" si="169"/>
        <v/>
      </c>
      <c r="AC480" s="166" t="str">
        <f t="shared" si="170"/>
        <v/>
      </c>
      <c r="AD480" s="167" t="str">
        <f t="shared" si="172"/>
        <v/>
      </c>
      <c r="AE480" s="168" t="str">
        <f t="shared" si="171"/>
        <v/>
      </c>
      <c r="AF480" s="113"/>
      <c r="AG480" s="203"/>
      <c r="AH480" s="202"/>
      <c r="AI480" s="114"/>
      <c r="AJ480" s="114"/>
      <c r="AK480" s="203"/>
      <c r="AL480" s="202"/>
      <c r="AM480" s="155"/>
      <c r="AN480" s="155"/>
      <c r="AO480" s="155"/>
      <c r="AP480" s="155"/>
      <c r="AQ480" s="155"/>
      <c r="AR480" s="155"/>
      <c r="AS480" s="155"/>
      <c r="AT480" s="155"/>
      <c r="AU480" s="155"/>
      <c r="AV480" s="155"/>
      <c r="AW480" s="155"/>
      <c r="AX480" s="155"/>
      <c r="AY480" s="155"/>
      <c r="AZ480" s="155"/>
      <c r="BA480" s="155"/>
      <c r="BB480" s="155"/>
      <c r="BC480" s="155"/>
      <c r="BD480" s="155"/>
      <c r="BE480" s="155"/>
      <c r="BF480" s="155"/>
      <c r="BG480" s="155"/>
      <c r="BH480" s="155"/>
      <c r="BI480" s="155"/>
      <c r="BJ480" s="155"/>
      <c r="BK480" s="155"/>
      <c r="BL480" s="155"/>
      <c r="BM480" s="155"/>
      <c r="BN480" s="155"/>
      <c r="BO480" s="155"/>
      <c r="BP480" s="155"/>
      <c r="BQ480" s="155"/>
      <c r="BR480" s="155"/>
    </row>
    <row r="481" spans="1:70" s="156" customFormat="1" ht="81.75" customHeight="1" x14ac:dyDescent="0.25">
      <c r="A481" s="266">
        <v>79</v>
      </c>
      <c r="B481" s="267" t="s">
        <v>220</v>
      </c>
      <c r="C481" s="267" t="s">
        <v>876</v>
      </c>
      <c r="D481" s="270" t="s">
        <v>131</v>
      </c>
      <c r="E481" s="270" t="s">
        <v>877</v>
      </c>
      <c r="F481" s="270" t="s">
        <v>878</v>
      </c>
      <c r="G481" s="362" t="s">
        <v>879</v>
      </c>
      <c r="H481" s="270" t="s">
        <v>437</v>
      </c>
      <c r="I481" s="281">
        <v>12</v>
      </c>
      <c r="J481" s="275" t="str">
        <f>IF(I481&lt;=0,"",IF(I481&lt;=2,"Muy Baja",IF(I481&lt;=24,"Baja",IF(I481&lt;=500,"Media",IF(I481&lt;=5000,"Alta","Muy Alta")))))</f>
        <v>Baja</v>
      </c>
      <c r="K481" s="277">
        <f>IF(J481="","",IF(J481="Muy Baja",0.2,IF(J481="Baja",0.4,IF(J481="Media",0.6,IF(J481="Alta",0.8,IF(J481="Muy Alta",1,))))))</f>
        <v>0.4</v>
      </c>
      <c r="L481" s="273" t="s">
        <v>92</v>
      </c>
      <c r="M481" s="277" t="str">
        <f>IF(NOT(ISERROR(MATCH(L481,'[13]Tabla Impacto'!$B$221:$B$223,0))),'[13]Tabla Impacto'!$F$223&amp;"Por favor no seleccionar los criterios de impacto(Afectación Económica o presupuestal y Pérdida Reputacional)",L481)</f>
        <v xml:space="preserve">Entre 50 y 100 SMLMV </v>
      </c>
      <c r="N481" s="275" t="str">
        <f>+IF(OR(M481='[13]Tabla Impacto'!$C$11,M481='[13]Tabla Impacto'!$D$11),"Leve",IF(OR(M481='[13]Tabla Impacto'!$C$12,M481='[13]Tabla Impacto'!$D$12),"Menor",IF(OR(M481='[13]Tabla Impacto'!$C$13,M481='[13]Tabla Impacto'!$D$13),"Moderado",IF(OR(M481='[13]Tabla Impacto'!$C$14,M481='[13]Tabla Impacto'!$D$14),"Mayor",IF(OR(M481='[13]Tabla Impacto'!$C$15,M481='[13]Tabla Impacto'!$D$15),"Catastrófico","")))))</f>
        <v>Moderado</v>
      </c>
      <c r="O481" s="277">
        <f>IF(N481="","",IF(N481="Leve",0.2,IF(N481="Menor",0.4,IF(N481="Moderado",0.6,IF(N481="Mayor",0.8,IF(N481="Catastrófico",1,))))))</f>
        <v>0.6</v>
      </c>
      <c r="P481" s="279" t="str">
        <f>IF(OR(AND(J481="Muy Baja",N481="Leve"),AND(J481="Muy Baja",N481="Menor"),AND(J481="Baja",N481="Leve")),"Bajo",IF(OR(AND(J481="Muy baja",N481="Moderado"),AND(J481="Baja",N481="Menor"),AND(J481="Baja",N481="Moderado"),AND(J481="Media",N481="Leve"),AND(J481="Media",N481="Menor"),AND(J481="Media",N481="Moderado"),AND(J481="Alta",N481="Leve"),AND(J481="Alta",N481="Menor")),"Moderado",IF(OR(AND(J481="Muy Baja",N481="Mayor"),AND(J481="Baja",N481="Mayor"),AND(J481="Media",N481="Mayor"),AND(J481="Alta",N481="Moderado"),AND(J481="Alta",N481="Mayor"),AND(J481="Muy Alta",N481="Leve"),AND(J481="Muy Alta",N481="Menor"),AND(J481="Muy Alta",N481="Moderado"),AND(J481="Muy Alta",N481="Mayor")),"Alto",IF(OR(AND(J481="Muy Baja",N481="Catastrófico"),AND(J481="Baja",N481="Catastrófico"),AND(J481="Media",N481="Catastrófico"),AND(J481="Alta",N481="Catastrófico"),AND(J481="Muy Alta",N481="Catastrófico")),"Extremo",""))))</f>
        <v>Moderado</v>
      </c>
      <c r="Q481" s="204">
        <v>1</v>
      </c>
      <c r="R481" s="112" t="s">
        <v>904</v>
      </c>
      <c r="S481" s="204" t="str">
        <f t="shared" si="167"/>
        <v>Probabilidad</v>
      </c>
      <c r="T481" s="113" t="s">
        <v>14</v>
      </c>
      <c r="U481" s="113" t="s">
        <v>9</v>
      </c>
      <c r="V481" s="167" t="str">
        <f t="shared" si="166"/>
        <v>40%</v>
      </c>
      <c r="W481" s="113" t="s">
        <v>19</v>
      </c>
      <c r="X481" s="113" t="s">
        <v>22</v>
      </c>
      <c r="Y481" s="113" t="s">
        <v>117</v>
      </c>
      <c r="Z481" s="165">
        <f t="shared" si="173"/>
        <v>0.24</v>
      </c>
      <c r="AA481" s="166" t="str">
        <f t="shared" si="168"/>
        <v>Baja</v>
      </c>
      <c r="AB481" s="167">
        <f t="shared" si="169"/>
        <v>0.24</v>
      </c>
      <c r="AC481" s="166" t="str">
        <f t="shared" si="170"/>
        <v>Moderado</v>
      </c>
      <c r="AD481" s="167">
        <f t="shared" si="172"/>
        <v>0.6</v>
      </c>
      <c r="AE481" s="168" t="str">
        <f t="shared" si="171"/>
        <v>Moderado</v>
      </c>
      <c r="AF481" s="113" t="s">
        <v>31</v>
      </c>
      <c r="AG481" s="203"/>
      <c r="AH481" s="202"/>
      <c r="AI481" s="114"/>
      <c r="AJ481" s="114"/>
      <c r="AK481" s="203"/>
      <c r="AL481" s="202"/>
      <c r="AM481" s="155"/>
      <c r="AN481" s="155"/>
      <c r="AO481" s="155"/>
      <c r="AP481" s="155"/>
      <c r="AQ481" s="155"/>
      <c r="AR481" s="155"/>
      <c r="AS481" s="155"/>
      <c r="AT481" s="155"/>
      <c r="AU481" s="155"/>
      <c r="AV481" s="155"/>
      <c r="AW481" s="155"/>
      <c r="AX481" s="155"/>
      <c r="AY481" s="155"/>
      <c r="AZ481" s="155"/>
      <c r="BA481" s="155"/>
      <c r="BB481" s="155"/>
      <c r="BC481" s="155"/>
      <c r="BD481" s="155"/>
      <c r="BE481" s="155"/>
      <c r="BF481" s="155"/>
      <c r="BG481" s="155"/>
      <c r="BH481" s="155"/>
      <c r="BI481" s="155"/>
      <c r="BJ481" s="155"/>
      <c r="BK481" s="155"/>
      <c r="BL481" s="155"/>
      <c r="BM481" s="155"/>
      <c r="BN481" s="155"/>
      <c r="BO481" s="155"/>
      <c r="BP481" s="155"/>
      <c r="BQ481" s="155"/>
      <c r="BR481" s="155"/>
    </row>
    <row r="482" spans="1:70" s="156" customFormat="1" ht="81.75" customHeight="1" x14ac:dyDescent="0.25">
      <c r="A482" s="266"/>
      <c r="B482" s="294"/>
      <c r="C482" s="294"/>
      <c r="D482" s="270"/>
      <c r="E482" s="270"/>
      <c r="F482" s="270"/>
      <c r="G482" s="362"/>
      <c r="H482" s="270"/>
      <c r="I482" s="281"/>
      <c r="J482" s="275"/>
      <c r="K482" s="277"/>
      <c r="L482" s="273"/>
      <c r="M482" s="277">
        <f ca="1">IF(NOT(ISERROR(MATCH(L482,_xlfn.ANCHORARRAY(G493),0))),K495&amp;"Por favor no seleccionar los criterios de impacto",L482)</f>
        <v>0</v>
      </c>
      <c r="N482" s="275"/>
      <c r="O482" s="277"/>
      <c r="P482" s="279"/>
      <c r="Q482" s="204">
        <v>2</v>
      </c>
      <c r="R482" s="112" t="s">
        <v>905</v>
      </c>
      <c r="S482" s="204" t="str">
        <f t="shared" si="167"/>
        <v>Probabilidad</v>
      </c>
      <c r="T482" s="113" t="s">
        <v>14</v>
      </c>
      <c r="U482" s="113" t="s">
        <v>9</v>
      </c>
      <c r="V482" s="167" t="str">
        <f t="shared" si="166"/>
        <v>40%</v>
      </c>
      <c r="W482" s="113" t="s">
        <v>19</v>
      </c>
      <c r="X482" s="113" t="s">
        <v>22</v>
      </c>
      <c r="Y482" s="113" t="s">
        <v>117</v>
      </c>
      <c r="Z482" s="165">
        <f>IFERROR(IF(S482="Probabilidad",(K481-(+K481*V482)),IF(S482="Impacto",K481,"")),"")</f>
        <v>0.24</v>
      </c>
      <c r="AA482" s="166" t="str">
        <f t="shared" si="168"/>
        <v>Baja</v>
      </c>
      <c r="AB482" s="167">
        <f t="shared" si="169"/>
        <v>0.24</v>
      </c>
      <c r="AC482" s="166" t="str">
        <f t="shared" si="170"/>
        <v>Moderado</v>
      </c>
      <c r="AD482" s="167">
        <f>IFERROR(IF(S482="Impacto",(O481-(+O481*V482)),IF(S482="Probabilidad",O481,"")),"")</f>
        <v>0.6</v>
      </c>
      <c r="AE482" s="168" t="str">
        <f t="shared" si="171"/>
        <v>Moderado</v>
      </c>
      <c r="AF482" s="113" t="s">
        <v>31</v>
      </c>
      <c r="AG482" s="203"/>
      <c r="AH482" s="202"/>
      <c r="AI482" s="114"/>
      <c r="AJ482" s="114"/>
      <c r="AK482" s="203"/>
      <c r="AL482" s="202"/>
      <c r="AM482" s="155"/>
      <c r="AN482" s="155"/>
      <c r="AO482" s="155"/>
      <c r="AP482" s="155"/>
      <c r="AQ482" s="155"/>
      <c r="AR482" s="155"/>
      <c r="AS482" s="155"/>
      <c r="AT482" s="155"/>
      <c r="AU482" s="155"/>
      <c r="AV482" s="155"/>
      <c r="AW482" s="155"/>
      <c r="AX482" s="155"/>
      <c r="AY482" s="155"/>
      <c r="AZ482" s="155"/>
      <c r="BA482" s="155"/>
      <c r="BB482" s="155"/>
      <c r="BC482" s="155"/>
      <c r="BD482" s="155"/>
      <c r="BE482" s="155"/>
      <c r="BF482" s="155"/>
      <c r="BG482" s="155"/>
      <c r="BH482" s="155"/>
      <c r="BI482" s="155"/>
      <c r="BJ482" s="155"/>
      <c r="BK482" s="155"/>
      <c r="BL482" s="155"/>
      <c r="BM482" s="155"/>
      <c r="BN482" s="155"/>
      <c r="BO482" s="155"/>
      <c r="BP482" s="155"/>
      <c r="BQ482" s="155"/>
      <c r="BR482" s="155"/>
    </row>
    <row r="483" spans="1:70" s="156" customFormat="1" ht="64.5" x14ac:dyDescent="0.25">
      <c r="A483" s="266"/>
      <c r="B483" s="294"/>
      <c r="C483" s="294"/>
      <c r="D483" s="270"/>
      <c r="E483" s="270"/>
      <c r="F483" s="270"/>
      <c r="G483" s="362"/>
      <c r="H483" s="270"/>
      <c r="I483" s="281"/>
      <c r="J483" s="275"/>
      <c r="K483" s="277"/>
      <c r="L483" s="273"/>
      <c r="M483" s="277">
        <f ca="1">IF(NOT(ISERROR(MATCH(L483,_xlfn.ANCHORARRAY(G494),0))),K496&amp;"Por favor no seleccionar los criterios de impacto",L483)</f>
        <v>0</v>
      </c>
      <c r="N483" s="275"/>
      <c r="O483" s="277"/>
      <c r="P483" s="279"/>
      <c r="Q483" s="204">
        <v>3</v>
      </c>
      <c r="R483" s="112" t="s">
        <v>906</v>
      </c>
      <c r="S483" s="204" t="str">
        <f t="shared" si="167"/>
        <v>Probabilidad</v>
      </c>
      <c r="T483" s="113" t="s">
        <v>14</v>
      </c>
      <c r="U483" s="113" t="s">
        <v>9</v>
      </c>
      <c r="V483" s="167" t="str">
        <f t="shared" si="166"/>
        <v>40%</v>
      </c>
      <c r="W483" s="113" t="s">
        <v>19</v>
      </c>
      <c r="X483" s="113" t="s">
        <v>22</v>
      </c>
      <c r="Y483" s="113" t="s">
        <v>117</v>
      </c>
      <c r="Z483" s="165">
        <f>IFERROR(IF(S483="Probabilidad",(K481-(+K481*V483)),IF(S483="Impacto",K481,"")),"")</f>
        <v>0.24</v>
      </c>
      <c r="AA483" s="166" t="str">
        <f t="shared" si="168"/>
        <v>Baja</v>
      </c>
      <c r="AB483" s="167">
        <f t="shared" si="169"/>
        <v>0.24</v>
      </c>
      <c r="AC483" s="166" t="str">
        <f t="shared" si="170"/>
        <v>Moderado</v>
      </c>
      <c r="AD483" s="167">
        <f>IFERROR(IF(S483="Impacto",(O481-(+O481*V483)),IF(S483="Probabilidad",O481,"")),"")</f>
        <v>0.6</v>
      </c>
      <c r="AE483" s="168" t="str">
        <f t="shared" si="171"/>
        <v>Moderado</v>
      </c>
      <c r="AF483" s="113" t="s">
        <v>31</v>
      </c>
      <c r="AG483" s="203"/>
      <c r="AH483" s="202"/>
      <c r="AI483" s="114"/>
      <c r="AJ483" s="114"/>
      <c r="AK483" s="203"/>
      <c r="AL483" s="202"/>
      <c r="AM483" s="155"/>
      <c r="AN483" s="155"/>
      <c r="AO483" s="155"/>
      <c r="AP483" s="155"/>
      <c r="AQ483" s="155"/>
      <c r="AR483" s="155"/>
      <c r="AS483" s="155"/>
      <c r="AT483" s="155"/>
      <c r="AU483" s="155"/>
      <c r="AV483" s="155"/>
      <c r="AW483" s="155"/>
      <c r="AX483" s="155"/>
      <c r="AY483" s="155"/>
      <c r="AZ483" s="155"/>
      <c r="BA483" s="155"/>
      <c r="BB483" s="155"/>
      <c r="BC483" s="155"/>
      <c r="BD483" s="155"/>
      <c r="BE483" s="155"/>
      <c r="BF483" s="155"/>
      <c r="BG483" s="155"/>
      <c r="BH483" s="155"/>
      <c r="BI483" s="155"/>
      <c r="BJ483" s="155"/>
      <c r="BK483" s="155"/>
      <c r="BL483" s="155"/>
      <c r="BM483" s="155"/>
      <c r="BN483" s="155"/>
      <c r="BO483" s="155"/>
      <c r="BP483" s="155"/>
      <c r="BQ483" s="155"/>
      <c r="BR483" s="155"/>
    </row>
    <row r="484" spans="1:70" s="156" customFormat="1" ht="64.5" x14ac:dyDescent="0.25">
      <c r="A484" s="266"/>
      <c r="B484" s="294"/>
      <c r="C484" s="294"/>
      <c r="D484" s="270"/>
      <c r="E484" s="270"/>
      <c r="F484" s="270"/>
      <c r="G484" s="362"/>
      <c r="H484" s="270"/>
      <c r="I484" s="281"/>
      <c r="J484" s="275"/>
      <c r="K484" s="277"/>
      <c r="L484" s="273"/>
      <c r="M484" s="277">
        <f ca="1">IF(NOT(ISERROR(MATCH(L484,_xlfn.ANCHORARRAY(G495),0))),K497&amp;"Por favor no seleccionar los criterios de impacto",L484)</f>
        <v>0</v>
      </c>
      <c r="N484" s="275"/>
      <c r="O484" s="277"/>
      <c r="P484" s="279"/>
      <c r="Q484" s="204">
        <v>4</v>
      </c>
      <c r="R484" s="112" t="s">
        <v>907</v>
      </c>
      <c r="S484" s="204" t="str">
        <f t="shared" si="167"/>
        <v>Probabilidad</v>
      </c>
      <c r="T484" s="113" t="s">
        <v>14</v>
      </c>
      <c r="U484" s="113" t="s">
        <v>9</v>
      </c>
      <c r="V484" s="167" t="str">
        <f t="shared" si="166"/>
        <v>40%</v>
      </c>
      <c r="W484" s="113" t="s">
        <v>19</v>
      </c>
      <c r="X484" s="113" t="s">
        <v>22</v>
      </c>
      <c r="Y484" s="113" t="s">
        <v>117</v>
      </c>
      <c r="Z484" s="165">
        <f>IFERROR(IF(S484="Probabilidad",(K481-(+K481*V484)),IF(S484="Impacto",K481,"")),"")</f>
        <v>0.24</v>
      </c>
      <c r="AA484" s="166" t="str">
        <f t="shared" si="168"/>
        <v>Baja</v>
      </c>
      <c r="AB484" s="167">
        <f t="shared" si="169"/>
        <v>0.24</v>
      </c>
      <c r="AC484" s="166" t="str">
        <f t="shared" si="170"/>
        <v>Moderado</v>
      </c>
      <c r="AD484" s="167">
        <f>IFERROR(IF(S484="Impacto",(O481-(+O481*V484)),IF(S484="Probabilidad",O481,"")),"")</f>
        <v>0.6</v>
      </c>
      <c r="AE484" s="168" t="str">
        <f t="shared" si="171"/>
        <v>Moderado</v>
      </c>
      <c r="AF484" s="113" t="s">
        <v>31</v>
      </c>
      <c r="AG484" s="203"/>
      <c r="AH484" s="202"/>
      <c r="AI484" s="114"/>
      <c r="AJ484" s="114"/>
      <c r="AK484" s="203"/>
      <c r="AL484" s="202"/>
      <c r="AM484" s="155"/>
      <c r="AN484" s="155"/>
      <c r="AO484" s="155"/>
      <c r="AP484" s="155"/>
      <c r="AQ484" s="155"/>
      <c r="AR484" s="155"/>
      <c r="AS484" s="155"/>
      <c r="AT484" s="155"/>
      <c r="AU484" s="155"/>
      <c r="AV484" s="155"/>
      <c r="AW484" s="155"/>
      <c r="AX484" s="155"/>
      <c r="AY484" s="155"/>
      <c r="AZ484" s="155"/>
      <c r="BA484" s="155"/>
      <c r="BB484" s="155"/>
      <c r="BC484" s="155"/>
      <c r="BD484" s="155"/>
      <c r="BE484" s="155"/>
      <c r="BF484" s="155"/>
      <c r="BG484" s="155"/>
      <c r="BH484" s="155"/>
      <c r="BI484" s="155"/>
      <c r="BJ484" s="155"/>
      <c r="BK484" s="155"/>
      <c r="BL484" s="155"/>
      <c r="BM484" s="155"/>
      <c r="BN484" s="155"/>
      <c r="BO484" s="155"/>
      <c r="BP484" s="155"/>
      <c r="BQ484" s="155"/>
      <c r="BR484" s="155"/>
    </row>
    <row r="485" spans="1:70" s="156" customFormat="1" ht="64.5" x14ac:dyDescent="0.25">
      <c r="A485" s="266"/>
      <c r="B485" s="294"/>
      <c r="C485" s="294"/>
      <c r="D485" s="270"/>
      <c r="E485" s="270"/>
      <c r="F485" s="270"/>
      <c r="G485" s="362"/>
      <c r="H485" s="270"/>
      <c r="I485" s="281"/>
      <c r="J485" s="275"/>
      <c r="K485" s="277"/>
      <c r="L485" s="273"/>
      <c r="M485" s="277">
        <f ca="1">IF(NOT(ISERROR(MATCH(L485,_xlfn.ANCHORARRAY(G496),0))),K498&amp;"Por favor no seleccionar los criterios de impacto",L485)</f>
        <v>0</v>
      </c>
      <c r="N485" s="275"/>
      <c r="O485" s="277"/>
      <c r="P485" s="279"/>
      <c r="Q485" s="204">
        <v>5</v>
      </c>
      <c r="R485" s="112" t="s">
        <v>908</v>
      </c>
      <c r="S485" s="204" t="str">
        <f t="shared" si="167"/>
        <v>Impacto</v>
      </c>
      <c r="T485" s="113" t="s">
        <v>16</v>
      </c>
      <c r="U485" s="113" t="s">
        <v>9</v>
      </c>
      <c r="V485" s="167" t="str">
        <f t="shared" si="166"/>
        <v>25%</v>
      </c>
      <c r="W485" s="113" t="s">
        <v>19</v>
      </c>
      <c r="X485" s="113" t="s">
        <v>22</v>
      </c>
      <c r="Y485" s="113" t="s">
        <v>117</v>
      </c>
      <c r="Z485" s="165">
        <f>IFERROR(IF(S485="Probabilidad",(K481-(+K481*V485)),IF(S485="Impacto",K481,"")),"")</f>
        <v>0.4</v>
      </c>
      <c r="AA485" s="166" t="str">
        <f t="shared" si="168"/>
        <v>Baja</v>
      </c>
      <c r="AB485" s="167">
        <f t="shared" si="169"/>
        <v>0.4</v>
      </c>
      <c r="AC485" s="166" t="str">
        <f t="shared" si="170"/>
        <v>Moderado</v>
      </c>
      <c r="AD485" s="167">
        <f>IFERROR(IF(S485="Impacto",(O481-(+O481*V485)),IF(S485="Probabilidad",O481,"")),"")</f>
        <v>0.44999999999999996</v>
      </c>
      <c r="AE485" s="168" t="str">
        <f t="shared" si="171"/>
        <v>Moderado</v>
      </c>
      <c r="AF485" s="113" t="s">
        <v>31</v>
      </c>
      <c r="AG485" s="203"/>
      <c r="AH485" s="202"/>
      <c r="AI485" s="114"/>
      <c r="AJ485" s="114"/>
      <c r="AK485" s="203"/>
      <c r="AL485" s="202"/>
      <c r="AM485" s="155"/>
      <c r="AN485" s="155"/>
      <c r="AO485" s="155"/>
      <c r="AP485" s="155"/>
      <c r="AQ485" s="155"/>
      <c r="AR485" s="155"/>
      <c r="AS485" s="155"/>
      <c r="AT485" s="155"/>
      <c r="AU485" s="155"/>
      <c r="AV485" s="155"/>
      <c r="AW485" s="155"/>
      <c r="AX485" s="155"/>
      <c r="AY485" s="155"/>
      <c r="AZ485" s="155"/>
      <c r="BA485" s="155"/>
      <c r="BB485" s="155"/>
      <c r="BC485" s="155"/>
      <c r="BD485" s="155"/>
      <c r="BE485" s="155"/>
      <c r="BF485" s="155"/>
      <c r="BG485" s="155"/>
      <c r="BH485" s="155"/>
      <c r="BI485" s="155"/>
      <c r="BJ485" s="155"/>
      <c r="BK485" s="155"/>
      <c r="BL485" s="155"/>
      <c r="BM485" s="155"/>
      <c r="BN485" s="155"/>
      <c r="BO485" s="155"/>
      <c r="BP485" s="155"/>
      <c r="BQ485" s="155"/>
      <c r="BR485" s="155"/>
    </row>
    <row r="486" spans="1:70" s="156" customFormat="1" ht="16.5" hidden="1" customHeight="1" x14ac:dyDescent="0.25">
      <c r="A486" s="266"/>
      <c r="B486" s="269"/>
      <c r="C486" s="269"/>
      <c r="D486" s="271"/>
      <c r="E486" s="271"/>
      <c r="F486" s="271"/>
      <c r="G486" s="363"/>
      <c r="H486" s="271"/>
      <c r="I486" s="266"/>
      <c r="J486" s="276"/>
      <c r="K486" s="278"/>
      <c r="L486" s="274"/>
      <c r="M486" s="278">
        <f ca="1">IF(NOT(ISERROR(MATCH(L486,_xlfn.ANCHORARRAY(G497),0))),K499&amp;"Por favor no seleccionar los criterios de impacto",L486)</f>
        <v>0</v>
      </c>
      <c r="N486" s="276"/>
      <c r="O486" s="278"/>
      <c r="P486" s="280"/>
      <c r="Q486" s="204">
        <v>6</v>
      </c>
      <c r="R486" s="112"/>
      <c r="S486" s="204" t="str">
        <f t="shared" si="167"/>
        <v/>
      </c>
      <c r="T486" s="113"/>
      <c r="U486" s="113"/>
      <c r="V486" s="167" t="str">
        <f t="shared" si="166"/>
        <v/>
      </c>
      <c r="W486" s="113"/>
      <c r="X486" s="113"/>
      <c r="Y486" s="113"/>
      <c r="Z486" s="165" t="str">
        <f>IFERROR(IF(S486="Probabilidad",(K481-(+K481*V486)),IF(S486="Impacto",K481,"")),"")</f>
        <v/>
      </c>
      <c r="AA486" s="166" t="str">
        <f t="shared" si="168"/>
        <v/>
      </c>
      <c r="AB486" s="167" t="str">
        <f t="shared" si="169"/>
        <v/>
      </c>
      <c r="AC486" s="166" t="str">
        <f t="shared" si="170"/>
        <v/>
      </c>
      <c r="AD486" s="167" t="str">
        <f t="shared" si="172"/>
        <v/>
      </c>
      <c r="AE486" s="168" t="str">
        <f t="shared" si="171"/>
        <v/>
      </c>
      <c r="AF486" s="113"/>
      <c r="AG486" s="203"/>
      <c r="AH486" s="202"/>
      <c r="AI486" s="114"/>
      <c r="AJ486" s="114"/>
      <c r="AK486" s="203"/>
      <c r="AL486" s="202"/>
      <c r="AM486" s="155"/>
      <c r="AN486" s="155"/>
      <c r="AO486" s="155"/>
      <c r="AP486" s="155"/>
      <c r="AQ486" s="155"/>
      <c r="AR486" s="155"/>
      <c r="AS486" s="155"/>
      <c r="AT486" s="155"/>
      <c r="AU486" s="155"/>
      <c r="AV486" s="155"/>
      <c r="AW486" s="155"/>
      <c r="AX486" s="155"/>
      <c r="AY486" s="155"/>
      <c r="AZ486" s="155"/>
      <c r="BA486" s="155"/>
      <c r="BB486" s="155"/>
      <c r="BC486" s="155"/>
      <c r="BD486" s="155"/>
      <c r="BE486" s="155"/>
      <c r="BF486" s="155"/>
      <c r="BG486" s="155"/>
      <c r="BH486" s="155"/>
      <c r="BI486" s="155"/>
      <c r="BJ486" s="155"/>
      <c r="BK486" s="155"/>
      <c r="BL486" s="155"/>
      <c r="BM486" s="155"/>
      <c r="BN486" s="155"/>
      <c r="BO486" s="155"/>
      <c r="BP486" s="155"/>
      <c r="BQ486" s="155"/>
      <c r="BR486" s="155"/>
    </row>
    <row r="487" spans="1:70" s="156" customFormat="1" ht="93.75" customHeight="1" x14ac:dyDescent="0.25">
      <c r="A487" s="266">
        <v>80</v>
      </c>
      <c r="B487" s="267" t="s">
        <v>221</v>
      </c>
      <c r="C487" s="267" t="s">
        <v>909</v>
      </c>
      <c r="D487" s="270" t="s">
        <v>130</v>
      </c>
      <c r="E487" s="270" t="s">
        <v>910</v>
      </c>
      <c r="F487" s="270" t="s">
        <v>911</v>
      </c>
      <c r="G487" s="362" t="s">
        <v>912</v>
      </c>
      <c r="H487" s="270" t="s">
        <v>437</v>
      </c>
      <c r="I487" s="281">
        <v>365</v>
      </c>
      <c r="J487" s="275" t="str">
        <f>IF(I487&lt;=0,"",IF(I487&lt;=2,"Muy Baja",IF(I487&lt;=24,"Baja",IF(I487&lt;=500,"Media",IF(I487&lt;=5000,"Alta","Muy Alta")))))</f>
        <v>Media</v>
      </c>
      <c r="K487" s="277">
        <f>IF(J487="","",IF(J487="Muy Baja",0.2,IF(J487="Baja",0.4,IF(J487="Media",0.6,IF(J487="Alta",0.8,IF(J487="Muy Alta",1,))))))</f>
        <v>0.6</v>
      </c>
      <c r="L487" s="273" t="s">
        <v>98</v>
      </c>
      <c r="M487" s="277" t="str">
        <f>IF(NOT(ISERROR(MATCH(L487,'[14]Tabla Impacto'!$B$221:$B$223,0))),'[14]Tabla Impacto'!$F$223&amp;"Por favor no seleccionar los criterios de impacto(Afectación Económica o presupuestal y Pérdida Reputacional)",L487)</f>
        <v>El riesgo afecta la imagen de la entidad con algunos usuarios de relevancia frente al logro de los objetivos</v>
      </c>
      <c r="N487" s="275" t="str">
        <f>+IF(OR(M487='[14]Tabla Impacto'!$C$11,M487='[14]Tabla Impacto'!$D$11),"Leve",IF(OR(M487='[14]Tabla Impacto'!$C$12,M487='[14]Tabla Impacto'!$D$12),"Menor",IF(OR(M487='[14]Tabla Impacto'!$C$13,M487='[14]Tabla Impacto'!$D$13),"Moderado",IF(OR(M487='[14]Tabla Impacto'!$C$14,M487='[14]Tabla Impacto'!$D$14),"Mayor",IF(OR(M487='[14]Tabla Impacto'!$C$15,M487='[14]Tabla Impacto'!$D$15),"Catastrófico","")))))</f>
        <v>Moderado</v>
      </c>
      <c r="O487" s="277">
        <f>IF(N487="","",IF(N487="Leve",0.2,IF(N487="Menor",0.4,IF(N487="Moderado",0.6,IF(N487="Mayor",0.8,IF(N487="Catastrófico",1,))))))</f>
        <v>0.6</v>
      </c>
      <c r="P487" s="279" t="str">
        <f>IF(OR(AND(J487="Muy Baja",N487="Leve"),AND(J487="Muy Baja",N487="Menor"),AND(J487="Baja",N487="Leve")),"Bajo",IF(OR(AND(J487="Muy baja",N487="Moderado"),AND(J487="Baja",N487="Menor"),AND(J487="Baja",N487="Moderado"),AND(J487="Media",N487="Leve"),AND(J487="Media",N487="Menor"),AND(J487="Media",N487="Moderado"),AND(J487="Alta",N487="Leve"),AND(J487="Alta",N487="Menor")),"Moderado",IF(OR(AND(J487="Muy Baja",N487="Mayor"),AND(J487="Baja",N487="Mayor"),AND(J487="Media",N487="Mayor"),AND(J487="Alta",N487="Moderado"),AND(J487="Alta",N487="Mayor"),AND(J487="Muy Alta",N487="Leve"),AND(J487="Muy Alta",N487="Menor"),AND(J487="Muy Alta",N487="Moderado"),AND(J487="Muy Alta",N487="Mayor")),"Alto",IF(OR(AND(J487="Muy Baja",N487="Catastrófico"),AND(J487="Baja",N487="Catastrófico"),AND(J487="Media",N487="Catastrófico"),AND(J487="Alta",N487="Catastrófico"),AND(J487="Muy Alta",N487="Catastrófico")),"Extremo",""))))</f>
        <v>Moderado</v>
      </c>
      <c r="Q487" s="204">
        <v>1</v>
      </c>
      <c r="R487" s="112" t="s">
        <v>922</v>
      </c>
      <c r="S487" s="204" t="str">
        <f>IF(OR(T487="Preventivo",T487="Detectivo"),"Probabilidad",IF(T487="Correctivo","Impacto",""))</f>
        <v>Probabilidad</v>
      </c>
      <c r="T487" s="113" t="s">
        <v>14</v>
      </c>
      <c r="U487" s="113" t="s">
        <v>9</v>
      </c>
      <c r="V487" s="167" t="str">
        <f t="shared" si="166"/>
        <v>40%</v>
      </c>
      <c r="W487" s="113" t="s">
        <v>19</v>
      </c>
      <c r="X487" s="113" t="s">
        <v>22</v>
      </c>
      <c r="Y487" s="113" t="s">
        <v>117</v>
      </c>
      <c r="Z487" s="165">
        <f>IFERROR(IF(S487="Probabilidad",(K487-(+K487*V487)),IF(S487="Impacto",K487,"")),"")</f>
        <v>0.36</v>
      </c>
      <c r="AA487" s="166" t="str">
        <f>IFERROR(IF(Z487="","",IF(Z487&lt;=0.2,"Muy Baja",IF(Z487&lt;=0.4,"Baja",IF(Z487&lt;=0.6,"Media",IF(Z487&lt;=0.8,"Alta","Muy Alta"))))),"")</f>
        <v>Baja</v>
      </c>
      <c r="AB487" s="167">
        <f>+Z487</f>
        <v>0.36</v>
      </c>
      <c r="AC487" s="166" t="str">
        <f>IFERROR(IF(AD487="","",IF(AD487&lt;=0.2,"Leve",IF(AD487&lt;=0.4,"Menor",IF(AD487&lt;=0.6,"Moderado",IF(AD487&lt;=0.8,"Mayor","Catastrófico"))))),"")</f>
        <v>Moderado</v>
      </c>
      <c r="AD487" s="167">
        <f>IFERROR(IF(S487="Impacto",(O487-(+O487*V487)),IF(S487="Probabilidad",O487,"")),"")</f>
        <v>0.6</v>
      </c>
      <c r="AE487" s="168" t="str">
        <f>IFERROR(IF(OR(AND(AA487="Muy Baja",AC487="Leve"),AND(AA487="Muy Baja",AC487="Menor"),AND(AA487="Baja",AC487="Leve")),"Bajo",IF(OR(AND(AA487="Muy baja",AC487="Moderado"),AND(AA487="Baja",AC487="Menor"),AND(AA487="Baja",AC487="Moderado"),AND(AA487="Media",AC487="Leve"),AND(AA487="Media",AC487="Menor"),AND(AA487="Media",AC487="Moderado"),AND(AA487="Alta",AC487="Leve"),AND(AA487="Alta",AC487="Menor")),"Moderado",IF(OR(AND(AA487="Muy Baja",AC487="Mayor"),AND(AA487="Baja",AC487="Mayor"),AND(AA487="Media",AC487="Mayor"),AND(AA487="Alta",AC487="Moderado"),AND(AA487="Alta",AC487="Mayor"),AND(AA487="Muy Alta",AC487="Leve"),AND(AA487="Muy Alta",AC487="Menor"),AND(AA487="Muy Alta",AC487="Moderado"),AND(AA487="Muy Alta",AC487="Mayor")),"Alto",IF(OR(AND(AA487="Muy Baja",AC487="Catastrófico"),AND(AA487="Baja",AC487="Catastrófico"),AND(AA487="Media",AC487="Catastrófico"),AND(AA487="Alta",AC487="Catastrófico"),AND(AA487="Muy Alta",AC487="Catastrófico")),"Extremo","")))),"")</f>
        <v>Moderado</v>
      </c>
      <c r="AF487" s="113" t="s">
        <v>31</v>
      </c>
      <c r="AG487" s="191"/>
      <c r="AH487" s="192"/>
      <c r="AI487" s="114"/>
      <c r="AJ487" s="114"/>
      <c r="AK487" s="191"/>
      <c r="AL487" s="192"/>
      <c r="AM487" s="155"/>
      <c r="AN487" s="155"/>
      <c r="AO487" s="155"/>
      <c r="AP487" s="155"/>
      <c r="AQ487" s="155"/>
      <c r="AR487" s="155"/>
      <c r="AS487" s="155"/>
      <c r="AT487" s="155"/>
      <c r="AU487" s="155"/>
      <c r="AV487" s="155"/>
      <c r="AW487" s="155"/>
      <c r="AX487" s="155"/>
      <c r="AY487" s="155"/>
      <c r="AZ487" s="155"/>
      <c r="BA487" s="155"/>
      <c r="BB487" s="155"/>
      <c r="BC487" s="155"/>
      <c r="BD487" s="155"/>
      <c r="BE487" s="155"/>
      <c r="BF487" s="155"/>
      <c r="BG487" s="155"/>
      <c r="BH487" s="155"/>
      <c r="BI487" s="155"/>
      <c r="BJ487" s="155"/>
      <c r="BK487" s="155"/>
      <c r="BL487" s="155"/>
      <c r="BM487" s="155"/>
      <c r="BN487" s="155"/>
      <c r="BO487" s="155"/>
      <c r="BP487" s="155"/>
      <c r="BQ487" s="155"/>
      <c r="BR487" s="155"/>
    </row>
    <row r="488" spans="1:70" s="156" customFormat="1" ht="93.75" customHeight="1" x14ac:dyDescent="0.25">
      <c r="A488" s="266"/>
      <c r="B488" s="294"/>
      <c r="C488" s="294"/>
      <c r="D488" s="270"/>
      <c r="E488" s="270"/>
      <c r="F488" s="270"/>
      <c r="G488" s="362"/>
      <c r="H488" s="270"/>
      <c r="I488" s="281"/>
      <c r="J488" s="275"/>
      <c r="K488" s="277"/>
      <c r="L488" s="273"/>
      <c r="M488" s="277">
        <f ca="1">IF(NOT(ISERROR(MATCH(L488,_xlfn.ANCHORARRAY(G499),0))),K501&amp;"Por favor no seleccionar los criterios de impacto",L488)</f>
        <v>0</v>
      </c>
      <c r="N488" s="275"/>
      <c r="O488" s="277"/>
      <c r="P488" s="279"/>
      <c r="Q488" s="204">
        <v>2</v>
      </c>
      <c r="R488" s="112" t="s">
        <v>923</v>
      </c>
      <c r="S488" s="204" t="str">
        <f t="shared" ref="S488:S510" si="174">IF(OR(T488="Preventivo",T488="Detectivo"),"Probabilidad",IF(T488="Correctivo","Impacto",""))</f>
        <v>Probabilidad</v>
      </c>
      <c r="T488" s="113" t="s">
        <v>14</v>
      </c>
      <c r="U488" s="113" t="s">
        <v>9</v>
      </c>
      <c r="V488" s="167" t="str">
        <f t="shared" si="166"/>
        <v>40%</v>
      </c>
      <c r="W488" s="113" t="s">
        <v>19</v>
      </c>
      <c r="X488" s="113" t="s">
        <v>22</v>
      </c>
      <c r="Y488" s="113" t="s">
        <v>117</v>
      </c>
      <c r="Z488" s="165">
        <f>IFERROR(IF(S488="Probabilidad",(K487-(+K487*V488)),IF(S488="Impacto",K487,"")),"")</f>
        <v>0.36</v>
      </c>
      <c r="AA488" s="166" t="str">
        <f t="shared" ref="AA488:AA510" si="175">IFERROR(IF(Z488="","",IF(Z488&lt;=0.2,"Muy Baja",IF(Z488&lt;=0.4,"Baja",IF(Z488&lt;=0.6,"Media",IF(Z488&lt;=0.8,"Alta","Muy Alta"))))),"")</f>
        <v>Baja</v>
      </c>
      <c r="AB488" s="167">
        <f t="shared" ref="AB488:AB510" si="176">+Z488</f>
        <v>0.36</v>
      </c>
      <c r="AC488" s="166" t="str">
        <f t="shared" ref="AC488:AC510" si="177">IFERROR(IF(AD488="","",IF(AD488&lt;=0.2,"Leve",IF(AD488&lt;=0.4,"Menor",IF(AD488&lt;=0.6,"Moderado",IF(AD488&lt;=0.8,"Mayor","Catastrófico"))))),"")</f>
        <v>Moderado</v>
      </c>
      <c r="AD488" s="167">
        <f>IFERROR(IF(S488="Impacto",(O487-(+O487*V488)),IF(S488="Probabilidad",O487,"")),"")</f>
        <v>0.6</v>
      </c>
      <c r="AE488" s="168" t="str">
        <f t="shared" ref="AE488:AE510" si="178">IFERROR(IF(OR(AND(AA488="Muy Baja",AC488="Leve"),AND(AA488="Muy Baja",AC488="Menor"),AND(AA488="Baja",AC488="Leve")),"Bajo",IF(OR(AND(AA488="Muy baja",AC488="Moderado"),AND(AA488="Baja",AC488="Menor"),AND(AA488="Baja",AC488="Moderado"),AND(AA488="Media",AC488="Leve"),AND(AA488="Media",AC488="Menor"),AND(AA488="Media",AC488="Moderado"),AND(AA488="Alta",AC488="Leve"),AND(AA488="Alta",AC488="Menor")),"Moderado",IF(OR(AND(AA488="Muy Baja",AC488="Mayor"),AND(AA488="Baja",AC488="Mayor"),AND(AA488="Media",AC488="Mayor"),AND(AA488="Alta",AC488="Moderado"),AND(AA488="Alta",AC488="Mayor"),AND(AA488="Muy Alta",AC488="Leve"),AND(AA488="Muy Alta",AC488="Menor"),AND(AA488="Muy Alta",AC488="Moderado"),AND(AA488="Muy Alta",AC488="Mayor")),"Alto",IF(OR(AND(AA488="Muy Baja",AC488="Catastrófico"),AND(AA488="Baja",AC488="Catastrófico"),AND(AA488="Media",AC488="Catastrófico"),AND(AA488="Alta",AC488="Catastrófico"),AND(AA488="Muy Alta",AC488="Catastrófico")),"Extremo","")))),"")</f>
        <v>Moderado</v>
      </c>
      <c r="AF488" s="113" t="s">
        <v>31</v>
      </c>
      <c r="AG488" s="191"/>
      <c r="AH488" s="192"/>
      <c r="AI488" s="114"/>
      <c r="AJ488" s="114"/>
      <c r="AK488" s="191"/>
      <c r="AL488" s="192"/>
      <c r="AM488" s="155"/>
      <c r="AN488" s="155"/>
      <c r="AO488" s="155"/>
      <c r="AP488" s="155"/>
      <c r="AQ488" s="155"/>
      <c r="AR488" s="155"/>
      <c r="AS488" s="155"/>
      <c r="AT488" s="155"/>
      <c r="AU488" s="155"/>
      <c r="AV488" s="155"/>
      <c r="AW488" s="155"/>
      <c r="AX488" s="155"/>
      <c r="AY488" s="155"/>
      <c r="AZ488" s="155"/>
      <c r="BA488" s="155"/>
      <c r="BB488" s="155"/>
      <c r="BC488" s="155"/>
      <c r="BD488" s="155"/>
      <c r="BE488" s="155"/>
      <c r="BF488" s="155"/>
      <c r="BG488" s="155"/>
      <c r="BH488" s="155"/>
      <c r="BI488" s="155"/>
      <c r="BJ488" s="155"/>
      <c r="BK488" s="155"/>
      <c r="BL488" s="155"/>
      <c r="BM488" s="155"/>
      <c r="BN488" s="155"/>
      <c r="BO488" s="155"/>
      <c r="BP488" s="155"/>
      <c r="BQ488" s="155"/>
      <c r="BR488" s="155"/>
    </row>
    <row r="489" spans="1:70" s="156" customFormat="1" ht="16.5" hidden="1" customHeight="1" x14ac:dyDescent="0.25">
      <c r="A489" s="266"/>
      <c r="B489" s="268"/>
      <c r="C489" s="268"/>
      <c r="D489" s="271"/>
      <c r="E489" s="271"/>
      <c r="F489" s="271"/>
      <c r="G489" s="363"/>
      <c r="H489" s="271"/>
      <c r="I489" s="266"/>
      <c r="J489" s="276"/>
      <c r="K489" s="278"/>
      <c r="L489" s="274"/>
      <c r="M489" s="278">
        <f ca="1">IF(NOT(ISERROR(MATCH(L489,_xlfn.ANCHORARRAY(G500),0))),K502&amp;"Por favor no seleccionar los criterios de impacto",L489)</f>
        <v>0</v>
      </c>
      <c r="N489" s="276"/>
      <c r="O489" s="278"/>
      <c r="P489" s="280"/>
      <c r="Q489" s="204">
        <v>3</v>
      </c>
      <c r="R489" s="112"/>
      <c r="S489" s="204" t="str">
        <f t="shared" si="174"/>
        <v/>
      </c>
      <c r="T489" s="113"/>
      <c r="U489" s="113"/>
      <c r="V489" s="167" t="str">
        <f t="shared" si="166"/>
        <v/>
      </c>
      <c r="W489" s="113"/>
      <c r="X489" s="113"/>
      <c r="Y489" s="113"/>
      <c r="Z489" s="165" t="str">
        <f>IFERROR(IF(S489="Probabilidad",(K487-(+K487*V489)),IF(S489="Impacto",K487,"")),"")</f>
        <v/>
      </c>
      <c r="AA489" s="166" t="str">
        <f t="shared" si="175"/>
        <v/>
      </c>
      <c r="AB489" s="167" t="str">
        <f t="shared" si="176"/>
        <v/>
      </c>
      <c r="AC489" s="166" t="str">
        <f t="shared" si="177"/>
        <v/>
      </c>
      <c r="AD489" s="167" t="str">
        <f t="shared" ref="AD489:AD510" si="179">IFERROR(IF(S489="Impacto",(O489-(+O489*V489)),IF(S489="Probabilidad",O489,"")),"")</f>
        <v/>
      </c>
      <c r="AE489" s="168" t="str">
        <f t="shared" si="178"/>
        <v/>
      </c>
      <c r="AF489" s="113"/>
      <c r="AG489" s="191"/>
      <c r="AH489" s="192"/>
      <c r="AI489" s="114"/>
      <c r="AJ489" s="114"/>
      <c r="AK489" s="191"/>
      <c r="AL489" s="192"/>
      <c r="AM489" s="155"/>
      <c r="AN489" s="155"/>
      <c r="AO489" s="155"/>
      <c r="AP489" s="155"/>
      <c r="AQ489" s="155"/>
      <c r="AR489" s="155"/>
      <c r="AS489" s="155"/>
      <c r="AT489" s="155"/>
      <c r="AU489" s="155"/>
      <c r="AV489" s="155"/>
      <c r="AW489" s="155"/>
      <c r="AX489" s="155"/>
      <c r="AY489" s="155"/>
      <c r="AZ489" s="155"/>
      <c r="BA489" s="155"/>
      <c r="BB489" s="155"/>
      <c r="BC489" s="155"/>
      <c r="BD489" s="155"/>
      <c r="BE489" s="155"/>
      <c r="BF489" s="155"/>
      <c r="BG489" s="155"/>
      <c r="BH489" s="155"/>
      <c r="BI489" s="155"/>
      <c r="BJ489" s="155"/>
      <c r="BK489" s="155"/>
      <c r="BL489" s="155"/>
      <c r="BM489" s="155"/>
      <c r="BN489" s="155"/>
      <c r="BO489" s="155"/>
      <c r="BP489" s="155"/>
      <c r="BQ489" s="155"/>
      <c r="BR489" s="155"/>
    </row>
    <row r="490" spans="1:70" s="156" customFormat="1" ht="16.5" hidden="1" customHeight="1" x14ac:dyDescent="0.25">
      <c r="A490" s="266"/>
      <c r="B490" s="268"/>
      <c r="C490" s="268"/>
      <c r="D490" s="271"/>
      <c r="E490" s="271"/>
      <c r="F490" s="271"/>
      <c r="G490" s="363"/>
      <c r="H490" s="271"/>
      <c r="I490" s="266"/>
      <c r="J490" s="276"/>
      <c r="K490" s="278"/>
      <c r="L490" s="274"/>
      <c r="M490" s="278">
        <f ca="1">IF(NOT(ISERROR(MATCH(L490,_xlfn.ANCHORARRAY(G501),0))),K503&amp;"Por favor no seleccionar los criterios de impacto",L490)</f>
        <v>0</v>
      </c>
      <c r="N490" s="276"/>
      <c r="O490" s="278"/>
      <c r="P490" s="280"/>
      <c r="Q490" s="204">
        <v>4</v>
      </c>
      <c r="R490" s="112"/>
      <c r="S490" s="204" t="str">
        <f t="shared" si="174"/>
        <v/>
      </c>
      <c r="T490" s="113"/>
      <c r="U490" s="113"/>
      <c r="V490" s="167" t="str">
        <f t="shared" si="166"/>
        <v/>
      </c>
      <c r="W490" s="113"/>
      <c r="X490" s="113"/>
      <c r="Y490" s="113"/>
      <c r="Z490" s="165" t="str">
        <f>IFERROR(IF(S490="Probabilidad",(K487-(+K487*V490)),IF(S490="Impacto",K487,"")),"")</f>
        <v/>
      </c>
      <c r="AA490" s="166" t="str">
        <f t="shared" si="175"/>
        <v/>
      </c>
      <c r="AB490" s="167" t="str">
        <f t="shared" si="176"/>
        <v/>
      </c>
      <c r="AC490" s="166" t="str">
        <f t="shared" si="177"/>
        <v/>
      </c>
      <c r="AD490" s="167" t="str">
        <f t="shared" si="179"/>
        <v/>
      </c>
      <c r="AE490" s="168" t="str">
        <f t="shared" si="178"/>
        <v/>
      </c>
      <c r="AF490" s="113"/>
      <c r="AG490" s="191"/>
      <c r="AH490" s="192"/>
      <c r="AI490" s="114"/>
      <c r="AJ490" s="114"/>
      <c r="AK490" s="191"/>
      <c r="AL490" s="192"/>
      <c r="AM490" s="155"/>
      <c r="AN490" s="155"/>
      <c r="AO490" s="155"/>
      <c r="AP490" s="155"/>
      <c r="AQ490" s="155"/>
      <c r="AR490" s="155"/>
      <c r="AS490" s="155"/>
      <c r="AT490" s="155"/>
      <c r="AU490" s="155"/>
      <c r="AV490" s="155"/>
      <c r="AW490" s="155"/>
      <c r="AX490" s="155"/>
      <c r="AY490" s="155"/>
      <c r="AZ490" s="155"/>
      <c r="BA490" s="155"/>
      <c r="BB490" s="155"/>
      <c r="BC490" s="155"/>
      <c r="BD490" s="155"/>
      <c r="BE490" s="155"/>
      <c r="BF490" s="155"/>
      <c r="BG490" s="155"/>
      <c r="BH490" s="155"/>
      <c r="BI490" s="155"/>
      <c r="BJ490" s="155"/>
      <c r="BK490" s="155"/>
      <c r="BL490" s="155"/>
      <c r="BM490" s="155"/>
      <c r="BN490" s="155"/>
      <c r="BO490" s="155"/>
      <c r="BP490" s="155"/>
      <c r="BQ490" s="155"/>
      <c r="BR490" s="155"/>
    </row>
    <row r="491" spans="1:70" s="156" customFormat="1" ht="16.5" hidden="1" customHeight="1" x14ac:dyDescent="0.25">
      <c r="A491" s="266"/>
      <c r="B491" s="268"/>
      <c r="C491" s="268"/>
      <c r="D491" s="271"/>
      <c r="E491" s="271"/>
      <c r="F491" s="271"/>
      <c r="G491" s="363"/>
      <c r="H491" s="271"/>
      <c r="I491" s="266"/>
      <c r="J491" s="276"/>
      <c r="K491" s="278"/>
      <c r="L491" s="274"/>
      <c r="M491" s="278">
        <f ca="1">IF(NOT(ISERROR(MATCH(L491,_xlfn.ANCHORARRAY(G502),0))),K504&amp;"Por favor no seleccionar los criterios de impacto",L491)</f>
        <v>0</v>
      </c>
      <c r="N491" s="276"/>
      <c r="O491" s="278"/>
      <c r="P491" s="280"/>
      <c r="Q491" s="204">
        <v>5</v>
      </c>
      <c r="R491" s="112"/>
      <c r="S491" s="204" t="str">
        <f t="shared" si="174"/>
        <v/>
      </c>
      <c r="T491" s="113"/>
      <c r="U491" s="113"/>
      <c r="V491" s="167" t="str">
        <f t="shared" si="166"/>
        <v/>
      </c>
      <c r="W491" s="113"/>
      <c r="X491" s="113"/>
      <c r="Y491" s="113"/>
      <c r="Z491" s="165" t="str">
        <f>IFERROR(IF(S491="Probabilidad",(K487-(+K487*V491)),IF(S491="Impacto",K487,"")),"")</f>
        <v/>
      </c>
      <c r="AA491" s="166" t="str">
        <f t="shared" si="175"/>
        <v/>
      </c>
      <c r="AB491" s="167" t="str">
        <f t="shared" si="176"/>
        <v/>
      </c>
      <c r="AC491" s="166" t="str">
        <f t="shared" si="177"/>
        <v/>
      </c>
      <c r="AD491" s="167" t="str">
        <f t="shared" si="179"/>
        <v/>
      </c>
      <c r="AE491" s="168" t="str">
        <f t="shared" si="178"/>
        <v/>
      </c>
      <c r="AF491" s="113"/>
      <c r="AG491" s="191"/>
      <c r="AH491" s="192"/>
      <c r="AI491" s="114"/>
      <c r="AJ491" s="114"/>
      <c r="AK491" s="191"/>
      <c r="AL491" s="192"/>
      <c r="AM491" s="155"/>
      <c r="AN491" s="155"/>
      <c r="AO491" s="155"/>
      <c r="AP491" s="155"/>
      <c r="AQ491" s="155"/>
      <c r="AR491" s="155"/>
      <c r="AS491" s="155"/>
      <c r="AT491" s="155"/>
      <c r="AU491" s="155"/>
      <c r="AV491" s="155"/>
      <c r="AW491" s="155"/>
      <c r="AX491" s="155"/>
      <c r="AY491" s="155"/>
      <c r="AZ491" s="155"/>
      <c r="BA491" s="155"/>
      <c r="BB491" s="155"/>
      <c r="BC491" s="155"/>
      <c r="BD491" s="155"/>
      <c r="BE491" s="155"/>
      <c r="BF491" s="155"/>
      <c r="BG491" s="155"/>
      <c r="BH491" s="155"/>
      <c r="BI491" s="155"/>
      <c r="BJ491" s="155"/>
      <c r="BK491" s="155"/>
      <c r="BL491" s="155"/>
      <c r="BM491" s="155"/>
      <c r="BN491" s="155"/>
      <c r="BO491" s="155"/>
      <c r="BP491" s="155"/>
      <c r="BQ491" s="155"/>
      <c r="BR491" s="155"/>
    </row>
    <row r="492" spans="1:70" s="156" customFormat="1" ht="16.5" hidden="1" customHeight="1" x14ac:dyDescent="0.25">
      <c r="A492" s="266"/>
      <c r="B492" s="269"/>
      <c r="C492" s="269"/>
      <c r="D492" s="271"/>
      <c r="E492" s="271"/>
      <c r="F492" s="271"/>
      <c r="G492" s="363"/>
      <c r="H492" s="271"/>
      <c r="I492" s="266"/>
      <c r="J492" s="276"/>
      <c r="K492" s="278"/>
      <c r="L492" s="274"/>
      <c r="M492" s="278">
        <f ca="1">IF(NOT(ISERROR(MATCH(L492,_xlfn.ANCHORARRAY(G503),0))),K505&amp;"Por favor no seleccionar los criterios de impacto",L492)</f>
        <v>0</v>
      </c>
      <c r="N492" s="276"/>
      <c r="O492" s="278"/>
      <c r="P492" s="280"/>
      <c r="Q492" s="204">
        <v>6</v>
      </c>
      <c r="R492" s="112"/>
      <c r="S492" s="204" t="str">
        <f t="shared" si="174"/>
        <v/>
      </c>
      <c r="T492" s="113"/>
      <c r="U492" s="113"/>
      <c r="V492" s="167" t="str">
        <f t="shared" si="166"/>
        <v/>
      </c>
      <c r="W492" s="113"/>
      <c r="X492" s="113"/>
      <c r="Y492" s="113"/>
      <c r="Z492" s="165" t="str">
        <f>IFERROR(IF(S491="Probabilidad",(K487-(+K487*V492)),IF(S492="Impacto",K487,"")),"")</f>
        <v/>
      </c>
      <c r="AA492" s="166" t="str">
        <f t="shared" si="175"/>
        <v/>
      </c>
      <c r="AB492" s="167" t="str">
        <f t="shared" si="176"/>
        <v/>
      </c>
      <c r="AC492" s="166" t="str">
        <f t="shared" si="177"/>
        <v/>
      </c>
      <c r="AD492" s="167" t="str">
        <f t="shared" si="179"/>
        <v/>
      </c>
      <c r="AE492" s="168" t="str">
        <f t="shared" si="178"/>
        <v/>
      </c>
      <c r="AF492" s="113"/>
      <c r="AG492" s="191"/>
      <c r="AH492" s="192"/>
      <c r="AI492" s="114"/>
      <c r="AJ492" s="114"/>
      <c r="AK492" s="191"/>
      <c r="AL492" s="192"/>
      <c r="AM492" s="155"/>
      <c r="AN492" s="155"/>
      <c r="AO492" s="155"/>
      <c r="AP492" s="155"/>
      <c r="AQ492" s="155"/>
      <c r="AR492" s="155"/>
      <c r="AS492" s="155"/>
      <c r="AT492" s="155"/>
      <c r="AU492" s="155"/>
      <c r="AV492" s="155"/>
      <c r="AW492" s="155"/>
      <c r="AX492" s="155"/>
      <c r="AY492" s="155"/>
      <c r="AZ492" s="155"/>
      <c r="BA492" s="155"/>
      <c r="BB492" s="155"/>
      <c r="BC492" s="155"/>
      <c r="BD492" s="155"/>
      <c r="BE492" s="155"/>
      <c r="BF492" s="155"/>
      <c r="BG492" s="155"/>
      <c r="BH492" s="155"/>
      <c r="BI492" s="155"/>
      <c r="BJ492" s="155"/>
      <c r="BK492" s="155"/>
      <c r="BL492" s="155"/>
      <c r="BM492" s="155"/>
      <c r="BN492" s="155"/>
      <c r="BO492" s="155"/>
      <c r="BP492" s="155"/>
      <c r="BQ492" s="155"/>
      <c r="BR492" s="155"/>
    </row>
    <row r="493" spans="1:70" s="156" customFormat="1" ht="146.25" customHeight="1" x14ac:dyDescent="0.25">
      <c r="A493" s="266">
        <v>71</v>
      </c>
      <c r="B493" s="267" t="s">
        <v>221</v>
      </c>
      <c r="C493" s="267" t="s">
        <v>909</v>
      </c>
      <c r="D493" s="270" t="s">
        <v>130</v>
      </c>
      <c r="E493" s="270" t="s">
        <v>913</v>
      </c>
      <c r="F493" s="270" t="s">
        <v>914</v>
      </c>
      <c r="G493" s="362" t="s">
        <v>915</v>
      </c>
      <c r="H493" s="270" t="s">
        <v>437</v>
      </c>
      <c r="I493" s="281">
        <v>3</v>
      </c>
      <c r="J493" s="275" t="str">
        <f>IF(I493&lt;=0,"",IF(I493&lt;=2,"Muy Baja",IF(I493&lt;=24,"Baja",IF(I493&lt;=500,"Media",IF(I493&lt;=5000,"Alta","Muy Alta")))))</f>
        <v>Baja</v>
      </c>
      <c r="K493" s="277">
        <f>IF(J493="","",IF(J493="Muy Baja",0.2,IF(J493="Baja",0.4,IF(J493="Media",0.6,IF(J493="Alta",0.8,IF(J493="Muy Alta",1,))))))</f>
        <v>0.4</v>
      </c>
      <c r="L493" s="273" t="s">
        <v>98</v>
      </c>
      <c r="M493" s="277" t="str">
        <f>IF(NOT(ISERROR(MATCH(L493,'[14]Tabla Impacto'!$B$221:$B$223,0))),'[14]Tabla Impacto'!$F$223&amp;"Por favor no seleccionar los criterios de impacto(Afectación Económica o presupuestal y Pérdida Reputacional)",L493)</f>
        <v>El riesgo afecta la imagen de la entidad con algunos usuarios de relevancia frente al logro de los objetivos</v>
      </c>
      <c r="N493" s="275" t="str">
        <f>+IF(OR(M493='[14]Tabla Impacto'!$C$11,M493='[14]Tabla Impacto'!$D$11),"Leve",IF(OR(M493='[14]Tabla Impacto'!$C$12,M493='[14]Tabla Impacto'!$D$12),"Menor",IF(OR(M493='[14]Tabla Impacto'!$C$13,M493='[14]Tabla Impacto'!$D$13),"Moderado",IF(OR(M493='[14]Tabla Impacto'!$C$14,M493='[14]Tabla Impacto'!$D$14),"Mayor",IF(OR(M493='[14]Tabla Impacto'!$C$15,M493='[14]Tabla Impacto'!$D$15),"Catastrófico","")))))</f>
        <v>Moderado</v>
      </c>
      <c r="O493" s="277">
        <f>IF(N493="","",IF(N493="Leve",0.2,IF(N493="Menor",0.4,IF(N493="Moderado",0.6,IF(N493="Mayor",0.8,IF(N493="Catastrófico",1,))))))</f>
        <v>0.6</v>
      </c>
      <c r="P493" s="279" t="str">
        <f>IF(OR(AND(J493="Muy Baja",N493="Leve"),AND(J493="Muy Baja",N493="Menor"),AND(J493="Baja",N493="Leve")),"Bajo",IF(OR(AND(J493="Muy baja",N493="Moderado"),AND(J493="Baja",N493="Menor"),AND(J493="Baja",N493="Moderado"),AND(J493="Media",N493="Leve"),AND(J493="Media",N493="Menor"),AND(J493="Media",N493="Moderado"),AND(J493="Alta",N493="Leve"),AND(J493="Alta",N493="Menor")),"Moderado",IF(OR(AND(J493="Muy Baja",N493="Mayor"),AND(J493="Baja",N493="Mayor"),AND(J493="Media",N493="Mayor"),AND(J493="Alta",N493="Moderado"),AND(J493="Alta",N493="Mayor"),AND(J493="Muy Alta",N493="Leve"),AND(J493="Muy Alta",N493="Menor"),AND(J493="Muy Alta",N493="Moderado"),AND(J493="Muy Alta",N493="Mayor")),"Alto",IF(OR(AND(J493="Muy Baja",N493="Catastrófico"),AND(J493="Baja",N493="Catastrófico"),AND(J493="Media",N493="Catastrófico"),AND(J493="Alta",N493="Catastrófico"),AND(J493="Muy Alta",N493="Catastrófico")),"Extremo",""))))</f>
        <v>Moderado</v>
      </c>
      <c r="Q493" s="204">
        <v>1</v>
      </c>
      <c r="R493" s="112" t="s">
        <v>924</v>
      </c>
      <c r="S493" s="204" t="str">
        <f t="shared" si="174"/>
        <v>Probabilidad</v>
      </c>
      <c r="T493" s="113" t="s">
        <v>14</v>
      </c>
      <c r="U493" s="113" t="s">
        <v>9</v>
      </c>
      <c r="V493" s="167" t="str">
        <f t="shared" si="166"/>
        <v>40%</v>
      </c>
      <c r="W493" s="113" t="s">
        <v>19</v>
      </c>
      <c r="X493" s="113" t="s">
        <v>22</v>
      </c>
      <c r="Y493" s="113" t="s">
        <v>117</v>
      </c>
      <c r="Z493" s="165">
        <f t="shared" ref="Z493:Z505" si="180">IFERROR(IF(S493="Probabilidad",(K493-(+K493*V493)),IF(S493="Impacto",K493,"")),"")</f>
        <v>0.24</v>
      </c>
      <c r="AA493" s="166" t="str">
        <f t="shared" si="175"/>
        <v>Baja</v>
      </c>
      <c r="AB493" s="167">
        <f t="shared" si="176"/>
        <v>0.24</v>
      </c>
      <c r="AC493" s="166" t="str">
        <f t="shared" si="177"/>
        <v>Moderado</v>
      </c>
      <c r="AD493" s="167">
        <f t="shared" si="179"/>
        <v>0.6</v>
      </c>
      <c r="AE493" s="168" t="str">
        <f t="shared" si="178"/>
        <v>Moderado</v>
      </c>
      <c r="AF493" s="113" t="s">
        <v>31</v>
      </c>
      <c r="AG493" s="191"/>
      <c r="AH493" s="192"/>
      <c r="AI493" s="114"/>
      <c r="AJ493" s="114"/>
      <c r="AK493" s="191"/>
      <c r="AL493" s="192"/>
      <c r="AM493" s="155"/>
      <c r="AN493" s="155"/>
      <c r="AO493" s="155"/>
      <c r="AP493" s="155"/>
      <c r="AQ493" s="155"/>
      <c r="AR493" s="155"/>
      <c r="AS493" s="155"/>
      <c r="AT493" s="155"/>
      <c r="AU493" s="155"/>
      <c r="AV493" s="155"/>
      <c r="AW493" s="155"/>
      <c r="AX493" s="155"/>
      <c r="AY493" s="155"/>
      <c r="AZ493" s="155"/>
      <c r="BA493" s="155"/>
      <c r="BB493" s="155"/>
      <c r="BC493" s="155"/>
      <c r="BD493" s="155"/>
      <c r="BE493" s="155"/>
      <c r="BF493" s="155"/>
      <c r="BG493" s="155"/>
      <c r="BH493" s="155"/>
      <c r="BI493" s="155"/>
      <c r="BJ493" s="155"/>
      <c r="BK493" s="155"/>
      <c r="BL493" s="155"/>
      <c r="BM493" s="155"/>
      <c r="BN493" s="155"/>
      <c r="BO493" s="155"/>
      <c r="BP493" s="155"/>
      <c r="BQ493" s="155"/>
      <c r="BR493" s="155"/>
    </row>
    <row r="494" spans="1:70" s="156" customFormat="1" ht="16.5" hidden="1" customHeight="1" x14ac:dyDescent="0.25">
      <c r="A494" s="266"/>
      <c r="B494" s="268"/>
      <c r="C494" s="268"/>
      <c r="D494" s="271"/>
      <c r="E494" s="271"/>
      <c r="F494" s="271"/>
      <c r="G494" s="363"/>
      <c r="H494" s="271"/>
      <c r="I494" s="266"/>
      <c r="J494" s="276"/>
      <c r="K494" s="278"/>
      <c r="L494" s="274"/>
      <c r="M494" s="278">
        <f ca="1">IF(NOT(ISERROR(MATCH(L494,_xlfn.ANCHORARRAY(G505),0))),K507&amp;"Por favor no seleccionar los criterios de impacto",L494)</f>
        <v>0</v>
      </c>
      <c r="N494" s="276"/>
      <c r="O494" s="278"/>
      <c r="P494" s="280"/>
      <c r="Q494" s="204">
        <v>2</v>
      </c>
      <c r="R494" s="112"/>
      <c r="S494" s="204" t="str">
        <f t="shared" si="174"/>
        <v/>
      </c>
      <c r="T494" s="113"/>
      <c r="U494" s="113"/>
      <c r="V494" s="167" t="str">
        <f t="shared" si="166"/>
        <v/>
      </c>
      <c r="W494" s="113"/>
      <c r="X494" s="113"/>
      <c r="Y494" s="113"/>
      <c r="Z494" s="165" t="str">
        <f>IFERROR(IF(S494="Probabilidad",(K493-(+K493*V494)),IF(S494="Impacto",K493,"")),"")</f>
        <v/>
      </c>
      <c r="AA494" s="166" t="str">
        <f t="shared" si="175"/>
        <v/>
      </c>
      <c r="AB494" s="167" t="str">
        <f t="shared" si="176"/>
        <v/>
      </c>
      <c r="AC494" s="166" t="str">
        <f t="shared" si="177"/>
        <v/>
      </c>
      <c r="AD494" s="167" t="str">
        <f t="shared" si="179"/>
        <v/>
      </c>
      <c r="AE494" s="168" t="str">
        <f t="shared" si="178"/>
        <v/>
      </c>
      <c r="AF494" s="113"/>
      <c r="AG494" s="191"/>
      <c r="AH494" s="192"/>
      <c r="AI494" s="114"/>
      <c r="AJ494" s="114"/>
      <c r="AK494" s="191"/>
      <c r="AL494" s="192"/>
      <c r="AM494" s="155"/>
      <c r="AN494" s="155"/>
      <c r="AO494" s="155"/>
      <c r="AP494" s="155"/>
      <c r="AQ494" s="155"/>
      <c r="AR494" s="155"/>
      <c r="AS494" s="155"/>
      <c r="AT494" s="155"/>
      <c r="AU494" s="155"/>
      <c r="AV494" s="155"/>
      <c r="AW494" s="155"/>
      <c r="AX494" s="155"/>
      <c r="AY494" s="155"/>
      <c r="AZ494" s="155"/>
      <c r="BA494" s="155"/>
      <c r="BB494" s="155"/>
      <c r="BC494" s="155"/>
      <c r="BD494" s="155"/>
      <c r="BE494" s="155"/>
      <c r="BF494" s="155"/>
      <c r="BG494" s="155"/>
      <c r="BH494" s="155"/>
      <c r="BI494" s="155"/>
      <c r="BJ494" s="155"/>
      <c r="BK494" s="155"/>
      <c r="BL494" s="155"/>
      <c r="BM494" s="155"/>
      <c r="BN494" s="155"/>
      <c r="BO494" s="155"/>
      <c r="BP494" s="155"/>
      <c r="BQ494" s="155"/>
      <c r="BR494" s="155"/>
    </row>
    <row r="495" spans="1:70" s="156" customFormat="1" ht="16.5" hidden="1" customHeight="1" x14ac:dyDescent="0.25">
      <c r="A495" s="266"/>
      <c r="B495" s="268"/>
      <c r="C495" s="268"/>
      <c r="D495" s="271"/>
      <c r="E495" s="271"/>
      <c r="F495" s="271"/>
      <c r="G495" s="363"/>
      <c r="H495" s="271"/>
      <c r="I495" s="266"/>
      <c r="J495" s="276"/>
      <c r="K495" s="278"/>
      <c r="L495" s="274"/>
      <c r="M495" s="278">
        <f ca="1">IF(NOT(ISERROR(MATCH(L495,_xlfn.ANCHORARRAY(G506),0))),K508&amp;"Por favor no seleccionar los criterios de impacto",L495)</f>
        <v>0</v>
      </c>
      <c r="N495" s="276"/>
      <c r="O495" s="278"/>
      <c r="P495" s="280"/>
      <c r="Q495" s="204">
        <v>3</v>
      </c>
      <c r="R495" s="112"/>
      <c r="S495" s="204" t="str">
        <f t="shared" si="174"/>
        <v/>
      </c>
      <c r="T495" s="113"/>
      <c r="U495" s="113"/>
      <c r="V495" s="167" t="str">
        <f t="shared" si="166"/>
        <v/>
      </c>
      <c r="W495" s="113"/>
      <c r="X495" s="113"/>
      <c r="Y495" s="113"/>
      <c r="Z495" s="165" t="str">
        <f>IFERROR(IF(S495="Probabilidad",(K493-(+K493*V495)),IF(S495="Impacto",K493,"")),"")</f>
        <v/>
      </c>
      <c r="AA495" s="166" t="str">
        <f t="shared" si="175"/>
        <v/>
      </c>
      <c r="AB495" s="167" t="str">
        <f t="shared" si="176"/>
        <v/>
      </c>
      <c r="AC495" s="166" t="str">
        <f t="shared" si="177"/>
        <v/>
      </c>
      <c r="AD495" s="167" t="str">
        <f t="shared" si="179"/>
        <v/>
      </c>
      <c r="AE495" s="168" t="str">
        <f t="shared" si="178"/>
        <v/>
      </c>
      <c r="AF495" s="113"/>
      <c r="AG495" s="191"/>
      <c r="AH495" s="192"/>
      <c r="AI495" s="114"/>
      <c r="AJ495" s="114"/>
      <c r="AK495" s="191"/>
      <c r="AL495" s="192"/>
      <c r="AM495" s="155"/>
      <c r="AN495" s="155"/>
      <c r="AO495" s="155"/>
      <c r="AP495" s="155"/>
      <c r="AQ495" s="155"/>
      <c r="AR495" s="155"/>
      <c r="AS495" s="155"/>
      <c r="AT495" s="155"/>
      <c r="AU495" s="155"/>
      <c r="AV495" s="155"/>
      <c r="AW495" s="155"/>
      <c r="AX495" s="155"/>
      <c r="AY495" s="155"/>
      <c r="AZ495" s="155"/>
      <c r="BA495" s="155"/>
      <c r="BB495" s="155"/>
      <c r="BC495" s="155"/>
      <c r="BD495" s="155"/>
      <c r="BE495" s="155"/>
      <c r="BF495" s="155"/>
      <c r="BG495" s="155"/>
      <c r="BH495" s="155"/>
      <c r="BI495" s="155"/>
      <c r="BJ495" s="155"/>
      <c r="BK495" s="155"/>
      <c r="BL495" s="155"/>
      <c r="BM495" s="155"/>
      <c r="BN495" s="155"/>
      <c r="BO495" s="155"/>
      <c r="BP495" s="155"/>
      <c r="BQ495" s="155"/>
      <c r="BR495" s="155"/>
    </row>
    <row r="496" spans="1:70" s="156" customFormat="1" ht="16.5" hidden="1" customHeight="1" x14ac:dyDescent="0.25">
      <c r="A496" s="266"/>
      <c r="B496" s="268"/>
      <c r="C496" s="268"/>
      <c r="D496" s="271"/>
      <c r="E496" s="271"/>
      <c r="F496" s="271"/>
      <c r="G496" s="363"/>
      <c r="H496" s="271"/>
      <c r="I496" s="266"/>
      <c r="J496" s="276"/>
      <c r="K496" s="278"/>
      <c r="L496" s="274"/>
      <c r="M496" s="278">
        <f ca="1">IF(NOT(ISERROR(MATCH(L496,_xlfn.ANCHORARRAY(G507),0))),K509&amp;"Por favor no seleccionar los criterios de impacto",L496)</f>
        <v>0</v>
      </c>
      <c r="N496" s="276"/>
      <c r="O496" s="278"/>
      <c r="P496" s="280"/>
      <c r="Q496" s="204">
        <v>4</v>
      </c>
      <c r="R496" s="112"/>
      <c r="S496" s="204" t="str">
        <f t="shared" si="174"/>
        <v/>
      </c>
      <c r="T496" s="113"/>
      <c r="U496" s="113"/>
      <c r="V496" s="167" t="str">
        <f t="shared" si="166"/>
        <v/>
      </c>
      <c r="W496" s="113"/>
      <c r="X496" s="113"/>
      <c r="Y496" s="113"/>
      <c r="Z496" s="165" t="str">
        <f>IFERROR(IF(S496="Probabilidad",(K493-(+K493*V496)),IF(S496="Impacto",K493,"")),"")</f>
        <v/>
      </c>
      <c r="AA496" s="166" t="str">
        <f t="shared" si="175"/>
        <v/>
      </c>
      <c r="AB496" s="167" t="str">
        <f t="shared" si="176"/>
        <v/>
      </c>
      <c r="AC496" s="166" t="str">
        <f t="shared" si="177"/>
        <v/>
      </c>
      <c r="AD496" s="167" t="str">
        <f t="shared" si="179"/>
        <v/>
      </c>
      <c r="AE496" s="168" t="str">
        <f t="shared" si="178"/>
        <v/>
      </c>
      <c r="AF496" s="113"/>
      <c r="AG496" s="191"/>
      <c r="AH496" s="192"/>
      <c r="AI496" s="114"/>
      <c r="AJ496" s="114"/>
      <c r="AK496" s="191"/>
      <c r="AL496" s="192"/>
      <c r="AM496" s="155"/>
      <c r="AN496" s="155"/>
      <c r="AO496" s="155"/>
      <c r="AP496" s="155"/>
      <c r="AQ496" s="155"/>
      <c r="AR496" s="155"/>
      <c r="AS496" s="155"/>
      <c r="AT496" s="155"/>
      <c r="AU496" s="155"/>
      <c r="AV496" s="155"/>
      <c r="AW496" s="155"/>
      <c r="AX496" s="155"/>
      <c r="AY496" s="155"/>
      <c r="AZ496" s="155"/>
      <c r="BA496" s="155"/>
      <c r="BB496" s="155"/>
      <c r="BC496" s="155"/>
      <c r="BD496" s="155"/>
      <c r="BE496" s="155"/>
      <c r="BF496" s="155"/>
      <c r="BG496" s="155"/>
      <c r="BH496" s="155"/>
      <c r="BI496" s="155"/>
      <c r="BJ496" s="155"/>
      <c r="BK496" s="155"/>
      <c r="BL496" s="155"/>
      <c r="BM496" s="155"/>
      <c r="BN496" s="155"/>
      <c r="BO496" s="155"/>
      <c r="BP496" s="155"/>
      <c r="BQ496" s="155"/>
      <c r="BR496" s="155"/>
    </row>
    <row r="497" spans="1:70" s="156" customFormat="1" ht="16.5" hidden="1" customHeight="1" x14ac:dyDescent="0.25">
      <c r="A497" s="266"/>
      <c r="B497" s="268"/>
      <c r="C497" s="268"/>
      <c r="D497" s="271"/>
      <c r="E497" s="271"/>
      <c r="F497" s="271"/>
      <c r="G497" s="363"/>
      <c r="H497" s="271"/>
      <c r="I497" s="266"/>
      <c r="J497" s="276"/>
      <c r="K497" s="278"/>
      <c r="L497" s="274"/>
      <c r="M497" s="278">
        <f ca="1">IF(NOT(ISERROR(MATCH(L497,_xlfn.ANCHORARRAY(G508),0))),K510&amp;"Por favor no seleccionar los criterios de impacto",L497)</f>
        <v>0</v>
      </c>
      <c r="N497" s="276"/>
      <c r="O497" s="278"/>
      <c r="P497" s="280"/>
      <c r="Q497" s="204">
        <v>5</v>
      </c>
      <c r="R497" s="112"/>
      <c r="S497" s="204" t="str">
        <f t="shared" si="174"/>
        <v/>
      </c>
      <c r="T497" s="113"/>
      <c r="U497" s="113"/>
      <c r="V497" s="167" t="str">
        <f t="shared" si="166"/>
        <v/>
      </c>
      <c r="W497" s="113"/>
      <c r="X497" s="113"/>
      <c r="Y497" s="113"/>
      <c r="Z497" s="165" t="str">
        <f>IFERROR(IF(S497="Probabilidad",(K493-(+K493*V497)),IF(S497="Impacto",K493,"")),"")</f>
        <v/>
      </c>
      <c r="AA497" s="166" t="str">
        <f t="shared" si="175"/>
        <v/>
      </c>
      <c r="AB497" s="167" t="str">
        <f t="shared" si="176"/>
        <v/>
      </c>
      <c r="AC497" s="166" t="str">
        <f t="shared" si="177"/>
        <v/>
      </c>
      <c r="AD497" s="167" t="str">
        <f t="shared" si="179"/>
        <v/>
      </c>
      <c r="AE497" s="168" t="str">
        <f t="shared" si="178"/>
        <v/>
      </c>
      <c r="AF497" s="113"/>
      <c r="AG497" s="191"/>
      <c r="AH497" s="192"/>
      <c r="AI497" s="114"/>
      <c r="AJ497" s="114"/>
      <c r="AK497" s="191"/>
      <c r="AL497" s="192"/>
      <c r="AM497" s="155"/>
      <c r="AN497" s="155"/>
      <c r="AO497" s="155"/>
      <c r="AP497" s="155"/>
      <c r="AQ497" s="155"/>
      <c r="AR497" s="155"/>
      <c r="AS497" s="155"/>
      <c r="AT497" s="155"/>
      <c r="AU497" s="155"/>
      <c r="AV497" s="155"/>
      <c r="AW497" s="155"/>
      <c r="AX497" s="155"/>
      <c r="AY497" s="155"/>
      <c r="AZ497" s="155"/>
      <c r="BA497" s="155"/>
      <c r="BB497" s="155"/>
      <c r="BC497" s="155"/>
      <c r="BD497" s="155"/>
      <c r="BE497" s="155"/>
      <c r="BF497" s="155"/>
      <c r="BG497" s="155"/>
      <c r="BH497" s="155"/>
      <c r="BI497" s="155"/>
      <c r="BJ497" s="155"/>
      <c r="BK497" s="155"/>
      <c r="BL497" s="155"/>
      <c r="BM497" s="155"/>
      <c r="BN497" s="155"/>
      <c r="BO497" s="155"/>
      <c r="BP497" s="155"/>
      <c r="BQ497" s="155"/>
      <c r="BR497" s="155"/>
    </row>
    <row r="498" spans="1:70" s="156" customFormat="1" ht="16.5" hidden="1" customHeight="1" x14ac:dyDescent="0.25">
      <c r="A498" s="266"/>
      <c r="B498" s="269"/>
      <c r="C498" s="269"/>
      <c r="D498" s="271"/>
      <c r="E498" s="271"/>
      <c r="F498" s="271"/>
      <c r="G498" s="363"/>
      <c r="H498" s="271"/>
      <c r="I498" s="266"/>
      <c r="J498" s="276"/>
      <c r="K498" s="278"/>
      <c r="L498" s="274"/>
      <c r="M498" s="278">
        <f ca="1">IF(NOT(ISERROR(MATCH(L498,_xlfn.ANCHORARRAY(G509),0))),K511&amp;"Por favor no seleccionar los criterios de impacto",L498)</f>
        <v>0</v>
      </c>
      <c r="N498" s="276"/>
      <c r="O498" s="278"/>
      <c r="P498" s="280"/>
      <c r="Q498" s="204">
        <v>6</v>
      </c>
      <c r="R498" s="112"/>
      <c r="S498" s="204" t="str">
        <f t="shared" si="174"/>
        <v/>
      </c>
      <c r="T498" s="113"/>
      <c r="U498" s="113"/>
      <c r="V498" s="167" t="str">
        <f t="shared" si="166"/>
        <v/>
      </c>
      <c r="W498" s="113"/>
      <c r="X498" s="113"/>
      <c r="Y498" s="113"/>
      <c r="Z498" s="165" t="str">
        <f>IFERROR(IF(S498="Probabilidad",(K493-(+K493*V498)),IF(S498="Impacto",K493,"")),"")</f>
        <v/>
      </c>
      <c r="AA498" s="166" t="str">
        <f t="shared" si="175"/>
        <v/>
      </c>
      <c r="AB498" s="167" t="str">
        <f t="shared" si="176"/>
        <v/>
      </c>
      <c r="AC498" s="166" t="str">
        <f t="shared" si="177"/>
        <v/>
      </c>
      <c r="AD498" s="167" t="str">
        <f t="shared" si="179"/>
        <v/>
      </c>
      <c r="AE498" s="168" t="str">
        <f t="shared" si="178"/>
        <v/>
      </c>
      <c r="AF498" s="113"/>
      <c r="AG498" s="191"/>
      <c r="AH498" s="192"/>
      <c r="AI498" s="114"/>
      <c r="AJ498" s="114"/>
      <c r="AK498" s="191"/>
      <c r="AL498" s="192"/>
      <c r="AM498" s="155"/>
      <c r="AN498" s="155"/>
      <c r="AO498" s="155"/>
      <c r="AP498" s="155"/>
      <c r="AQ498" s="155"/>
      <c r="AR498" s="155"/>
      <c r="AS498" s="155"/>
      <c r="AT498" s="155"/>
      <c r="AU498" s="155"/>
      <c r="AV498" s="155"/>
      <c r="AW498" s="155"/>
      <c r="AX498" s="155"/>
      <c r="AY498" s="155"/>
      <c r="AZ498" s="155"/>
      <c r="BA498" s="155"/>
      <c r="BB498" s="155"/>
      <c r="BC498" s="155"/>
      <c r="BD498" s="155"/>
      <c r="BE498" s="155"/>
      <c r="BF498" s="155"/>
      <c r="BG498" s="155"/>
      <c r="BH498" s="155"/>
      <c r="BI498" s="155"/>
      <c r="BJ498" s="155"/>
      <c r="BK498" s="155"/>
      <c r="BL498" s="155"/>
      <c r="BM498" s="155"/>
      <c r="BN498" s="155"/>
      <c r="BO498" s="155"/>
      <c r="BP498" s="155"/>
      <c r="BQ498" s="155"/>
      <c r="BR498" s="155"/>
    </row>
    <row r="499" spans="1:70" s="156" customFormat="1" ht="64.5" x14ac:dyDescent="0.25">
      <c r="A499" s="266">
        <v>82</v>
      </c>
      <c r="B499" s="267" t="s">
        <v>221</v>
      </c>
      <c r="C499" s="267" t="s">
        <v>909</v>
      </c>
      <c r="D499" s="270" t="s">
        <v>132</v>
      </c>
      <c r="E499" s="270" t="s">
        <v>916</v>
      </c>
      <c r="F499" s="270" t="s">
        <v>917</v>
      </c>
      <c r="G499" s="362" t="s">
        <v>918</v>
      </c>
      <c r="H499" s="270" t="s">
        <v>790</v>
      </c>
      <c r="I499" s="281">
        <v>1</v>
      </c>
      <c r="J499" s="275" t="str">
        <f>IF(I499&lt;=0,"",IF(I499&lt;=2,"Muy Baja",IF(I499&lt;=24,"Baja",IF(I499&lt;=500,"Media",IF(I499&lt;=5000,"Alta","Muy Alta")))))</f>
        <v>Muy Baja</v>
      </c>
      <c r="K499" s="277">
        <f>IF(J499="","",IF(J499="Muy Baja",0.2,IF(J499="Baja",0.4,IF(J499="Media",0.6,IF(J499="Alta",0.8,IF(J499="Muy Alta",1,))))))</f>
        <v>0.2</v>
      </c>
      <c r="L499" s="273" t="s">
        <v>92</v>
      </c>
      <c r="M499" s="277" t="str">
        <f>IF(NOT(ISERROR(MATCH(L499,'[14]Tabla Impacto'!$B$221:$B$223,0))),'[14]Tabla Impacto'!$F$223&amp;"Por favor no seleccionar los criterios de impacto(Afectación Económica o presupuestal y Pérdida Reputacional)",L499)</f>
        <v xml:space="preserve">Entre 50 y 100 SMLMV </v>
      </c>
      <c r="N499" s="275" t="str">
        <f>+IF(OR(M499='[14]Tabla Impacto'!$C$11,M499='[14]Tabla Impacto'!$D$11),"Leve",IF(OR(M499='[14]Tabla Impacto'!$C$12,M499='[14]Tabla Impacto'!$D$12),"Menor",IF(OR(M499='[14]Tabla Impacto'!$C$13,M499='[14]Tabla Impacto'!$D$13),"Moderado",IF(OR(M499='[14]Tabla Impacto'!$C$14,M499='[14]Tabla Impacto'!$D$14),"Mayor",IF(OR(M499='[14]Tabla Impacto'!$C$15,M499='[14]Tabla Impacto'!$D$15),"Catastrófico","")))))</f>
        <v>Moderado</v>
      </c>
      <c r="O499" s="277">
        <f>IF(N499="","",IF(N499="Leve",0.2,IF(N499="Menor",0.4,IF(N499="Moderado",0.6,IF(N499="Mayor",0.8,IF(N499="Catastrófico",1,))))))</f>
        <v>0.6</v>
      </c>
      <c r="P499" s="279" t="str">
        <f>IF(OR(AND(J499="Muy Baja",N499="Leve"),AND(J499="Muy Baja",N499="Menor"),AND(J499="Baja",N499="Leve")),"Bajo",IF(OR(AND(J499="Muy baja",N499="Moderado"),AND(J499="Baja",N499="Menor"),AND(J499="Baja",N499="Moderado"),AND(J499="Media",N499="Leve"),AND(J499="Media",N499="Menor"),AND(J499="Media",N499="Moderado"),AND(J499="Alta",N499="Leve"),AND(J499="Alta",N499="Menor")),"Moderado",IF(OR(AND(J499="Muy Baja",N499="Mayor"),AND(J499="Baja",N499="Mayor"),AND(J499="Media",N499="Mayor"),AND(J499="Alta",N499="Moderado"),AND(J499="Alta",N499="Mayor"),AND(J499="Muy Alta",N499="Leve"),AND(J499="Muy Alta",N499="Menor"),AND(J499="Muy Alta",N499="Moderado"),AND(J499="Muy Alta",N499="Mayor")),"Alto",IF(OR(AND(J499="Muy Baja",N499="Catastrófico"),AND(J499="Baja",N499="Catastrófico"),AND(J499="Media",N499="Catastrófico"),AND(J499="Alta",N499="Catastrófico"),AND(J499="Muy Alta",N499="Catastrófico")),"Extremo",""))))</f>
        <v>Moderado</v>
      </c>
      <c r="Q499" s="204">
        <v>1</v>
      </c>
      <c r="R499" s="112" t="s">
        <v>925</v>
      </c>
      <c r="S499" s="204" t="str">
        <f t="shared" si="174"/>
        <v>Probabilidad</v>
      </c>
      <c r="T499" s="113" t="s">
        <v>14</v>
      </c>
      <c r="U499" s="113" t="s">
        <v>9</v>
      </c>
      <c r="V499" s="167" t="str">
        <f t="shared" si="166"/>
        <v>40%</v>
      </c>
      <c r="W499" s="113" t="s">
        <v>19</v>
      </c>
      <c r="X499" s="113" t="s">
        <v>22</v>
      </c>
      <c r="Y499" s="113" t="s">
        <v>117</v>
      </c>
      <c r="Z499" s="165">
        <f t="shared" si="180"/>
        <v>0.12</v>
      </c>
      <c r="AA499" s="166" t="str">
        <f t="shared" si="175"/>
        <v>Muy Baja</v>
      </c>
      <c r="AB499" s="167">
        <f t="shared" si="176"/>
        <v>0.12</v>
      </c>
      <c r="AC499" s="166" t="str">
        <f t="shared" si="177"/>
        <v>Moderado</v>
      </c>
      <c r="AD499" s="167">
        <f t="shared" si="179"/>
        <v>0.6</v>
      </c>
      <c r="AE499" s="168" t="str">
        <f t="shared" si="178"/>
        <v>Moderado</v>
      </c>
      <c r="AF499" s="113" t="s">
        <v>31</v>
      </c>
      <c r="AG499" s="191"/>
      <c r="AH499" s="192"/>
      <c r="AI499" s="114"/>
      <c r="AJ499" s="114"/>
      <c r="AK499" s="191"/>
      <c r="AL499" s="192"/>
      <c r="AM499" s="155"/>
      <c r="AN499" s="155"/>
      <c r="AO499" s="155"/>
      <c r="AP499" s="155"/>
      <c r="AQ499" s="155"/>
      <c r="AR499" s="155"/>
      <c r="AS499" s="155"/>
      <c r="AT499" s="155"/>
      <c r="AU499" s="155"/>
      <c r="AV499" s="155"/>
      <c r="AW499" s="155"/>
      <c r="AX499" s="155"/>
      <c r="AY499" s="155"/>
      <c r="AZ499" s="155"/>
      <c r="BA499" s="155"/>
      <c r="BB499" s="155"/>
      <c r="BC499" s="155"/>
      <c r="BD499" s="155"/>
      <c r="BE499" s="155"/>
      <c r="BF499" s="155"/>
      <c r="BG499" s="155"/>
      <c r="BH499" s="155"/>
      <c r="BI499" s="155"/>
      <c r="BJ499" s="155"/>
      <c r="BK499" s="155"/>
      <c r="BL499" s="155"/>
      <c r="BM499" s="155"/>
      <c r="BN499" s="155"/>
      <c r="BO499" s="155"/>
      <c r="BP499" s="155"/>
      <c r="BQ499" s="155"/>
      <c r="BR499" s="155"/>
    </row>
    <row r="500" spans="1:70" s="156" customFormat="1" ht="64.5" x14ac:dyDescent="0.25">
      <c r="A500" s="266"/>
      <c r="B500" s="294"/>
      <c r="C500" s="294"/>
      <c r="D500" s="270"/>
      <c r="E500" s="270"/>
      <c r="F500" s="270"/>
      <c r="G500" s="362"/>
      <c r="H500" s="270"/>
      <c r="I500" s="281"/>
      <c r="J500" s="275"/>
      <c r="K500" s="277"/>
      <c r="L500" s="273"/>
      <c r="M500" s="277">
        <f ca="1">IF(NOT(ISERROR(MATCH(L500,_xlfn.ANCHORARRAY(G511),0))),K513&amp;"Por favor no seleccionar los criterios de impacto",L500)</f>
        <v>0</v>
      </c>
      <c r="N500" s="275"/>
      <c r="O500" s="277"/>
      <c r="P500" s="279"/>
      <c r="Q500" s="204">
        <v>2</v>
      </c>
      <c r="R500" s="112" t="s">
        <v>926</v>
      </c>
      <c r="S500" s="204" t="str">
        <f t="shared" si="174"/>
        <v>Probabilidad</v>
      </c>
      <c r="T500" s="113" t="s">
        <v>14</v>
      </c>
      <c r="U500" s="113" t="s">
        <v>9</v>
      </c>
      <c r="V500" s="167" t="str">
        <f t="shared" si="166"/>
        <v>40%</v>
      </c>
      <c r="W500" s="113" t="s">
        <v>19</v>
      </c>
      <c r="X500" s="113" t="s">
        <v>22</v>
      </c>
      <c r="Y500" s="113" t="s">
        <v>118</v>
      </c>
      <c r="Z500" s="165">
        <f>IFERROR(IF(S500="Probabilidad",(K499-(+K499*V500)),IF(S500="Impacto",K499,"")),"")</f>
        <v>0.12</v>
      </c>
      <c r="AA500" s="166" t="str">
        <f t="shared" si="175"/>
        <v>Muy Baja</v>
      </c>
      <c r="AB500" s="167">
        <f t="shared" si="176"/>
        <v>0.12</v>
      </c>
      <c r="AC500" s="166" t="str">
        <f t="shared" si="177"/>
        <v>Moderado</v>
      </c>
      <c r="AD500" s="167">
        <f>IFERROR(IF(S500="Impacto",(O499-(+O499*V500)),IF(S500="Probabilidad",O499,"")),"")</f>
        <v>0.6</v>
      </c>
      <c r="AE500" s="168" t="str">
        <f t="shared" si="178"/>
        <v>Moderado</v>
      </c>
      <c r="AF500" s="113" t="s">
        <v>31</v>
      </c>
      <c r="AG500" s="191"/>
      <c r="AH500" s="192"/>
      <c r="AI500" s="114"/>
      <c r="AJ500" s="114"/>
      <c r="AK500" s="191"/>
      <c r="AL500" s="192"/>
      <c r="AM500" s="155"/>
      <c r="AN500" s="155"/>
      <c r="AO500" s="155"/>
      <c r="AP500" s="155"/>
      <c r="AQ500" s="155"/>
      <c r="AR500" s="155"/>
      <c r="AS500" s="155"/>
      <c r="AT500" s="155"/>
      <c r="AU500" s="155"/>
      <c r="AV500" s="155"/>
      <c r="AW500" s="155"/>
      <c r="AX500" s="155"/>
      <c r="AY500" s="155"/>
      <c r="AZ500" s="155"/>
      <c r="BA500" s="155"/>
      <c r="BB500" s="155"/>
      <c r="BC500" s="155"/>
      <c r="BD500" s="155"/>
      <c r="BE500" s="155"/>
      <c r="BF500" s="155"/>
      <c r="BG500" s="155"/>
      <c r="BH500" s="155"/>
      <c r="BI500" s="155"/>
      <c r="BJ500" s="155"/>
      <c r="BK500" s="155"/>
      <c r="BL500" s="155"/>
      <c r="BM500" s="155"/>
      <c r="BN500" s="155"/>
      <c r="BO500" s="155"/>
      <c r="BP500" s="155"/>
      <c r="BQ500" s="155"/>
      <c r="BR500" s="155"/>
    </row>
    <row r="501" spans="1:70" s="156" customFormat="1" ht="16.5" hidden="1" customHeight="1" x14ac:dyDescent="0.25">
      <c r="A501" s="266"/>
      <c r="B501" s="268"/>
      <c r="C501" s="268"/>
      <c r="D501" s="271"/>
      <c r="E501" s="271"/>
      <c r="F501" s="271"/>
      <c r="G501" s="363"/>
      <c r="H501" s="271"/>
      <c r="I501" s="266"/>
      <c r="J501" s="276"/>
      <c r="K501" s="278"/>
      <c r="L501" s="274"/>
      <c r="M501" s="278">
        <f ca="1">IF(NOT(ISERROR(MATCH(L501,_xlfn.ANCHORARRAY(G512),0))),K514&amp;"Por favor no seleccionar los criterios de impacto",L501)</f>
        <v>0</v>
      </c>
      <c r="N501" s="276"/>
      <c r="O501" s="278"/>
      <c r="P501" s="280"/>
      <c r="Q501" s="204">
        <v>3</v>
      </c>
      <c r="R501" s="112"/>
      <c r="S501" s="204" t="str">
        <f t="shared" si="174"/>
        <v/>
      </c>
      <c r="T501" s="113"/>
      <c r="U501" s="113"/>
      <c r="V501" s="167" t="str">
        <f t="shared" si="166"/>
        <v/>
      </c>
      <c r="W501" s="113"/>
      <c r="X501" s="113"/>
      <c r="Y501" s="113"/>
      <c r="Z501" s="165" t="str">
        <f>IFERROR(IF(S501="Probabilidad",(K499-(+K499*V501)),IF(S501="Impacto",K499,"")),"")</f>
        <v/>
      </c>
      <c r="AA501" s="166" t="str">
        <f t="shared" si="175"/>
        <v/>
      </c>
      <c r="AB501" s="167" t="str">
        <f t="shared" si="176"/>
        <v/>
      </c>
      <c r="AC501" s="166" t="str">
        <f t="shared" si="177"/>
        <v/>
      </c>
      <c r="AD501" s="167" t="str">
        <f t="shared" si="179"/>
        <v/>
      </c>
      <c r="AE501" s="168" t="str">
        <f t="shared" si="178"/>
        <v/>
      </c>
      <c r="AF501" s="113"/>
      <c r="AG501" s="191"/>
      <c r="AH501" s="192"/>
      <c r="AI501" s="114"/>
      <c r="AJ501" s="114"/>
      <c r="AK501" s="191"/>
      <c r="AL501" s="192"/>
      <c r="AM501" s="155"/>
      <c r="AN501" s="155"/>
      <c r="AO501" s="155"/>
      <c r="AP501" s="155"/>
      <c r="AQ501" s="155"/>
      <c r="AR501" s="155"/>
      <c r="AS501" s="155"/>
      <c r="AT501" s="155"/>
      <c r="AU501" s="155"/>
      <c r="AV501" s="155"/>
      <c r="AW501" s="155"/>
      <c r="AX501" s="155"/>
      <c r="AY501" s="155"/>
      <c r="AZ501" s="155"/>
      <c r="BA501" s="155"/>
      <c r="BB501" s="155"/>
      <c r="BC501" s="155"/>
      <c r="BD501" s="155"/>
      <c r="BE501" s="155"/>
      <c r="BF501" s="155"/>
      <c r="BG501" s="155"/>
      <c r="BH501" s="155"/>
      <c r="BI501" s="155"/>
      <c r="BJ501" s="155"/>
      <c r="BK501" s="155"/>
      <c r="BL501" s="155"/>
      <c r="BM501" s="155"/>
      <c r="BN501" s="155"/>
      <c r="BO501" s="155"/>
      <c r="BP501" s="155"/>
      <c r="BQ501" s="155"/>
      <c r="BR501" s="155"/>
    </row>
    <row r="502" spans="1:70" s="156" customFormat="1" ht="16.5" hidden="1" customHeight="1" x14ac:dyDescent="0.25">
      <c r="A502" s="266"/>
      <c r="B502" s="268"/>
      <c r="C502" s="268"/>
      <c r="D502" s="271"/>
      <c r="E502" s="271"/>
      <c r="F502" s="271"/>
      <c r="G502" s="363"/>
      <c r="H502" s="271"/>
      <c r="I502" s="266"/>
      <c r="J502" s="276"/>
      <c r="K502" s="278"/>
      <c r="L502" s="274"/>
      <c r="M502" s="278">
        <f ca="1">IF(NOT(ISERROR(MATCH(L502,_xlfn.ANCHORARRAY(G513),0))),K515&amp;"Por favor no seleccionar los criterios de impacto",L502)</f>
        <v>0</v>
      </c>
      <c r="N502" s="276"/>
      <c r="O502" s="278"/>
      <c r="P502" s="280"/>
      <c r="Q502" s="204">
        <v>4</v>
      </c>
      <c r="R502" s="112"/>
      <c r="S502" s="204" t="str">
        <f t="shared" si="174"/>
        <v/>
      </c>
      <c r="T502" s="113"/>
      <c r="U502" s="113"/>
      <c r="V502" s="167" t="str">
        <f t="shared" ref="V502:V534" si="181">IF(AND(T502="Preventivo",U502="Automático"),"50%",IF(AND(T502="Preventivo",U502="Manual"),"40%",IF(AND(T502="Detectivo",U502="Automático"),"40%",IF(AND(T502="Detectivo",U502="Manual"),"30%",IF(AND(T502="Correctivo",U502="Automático"),"35%",IF(AND(T502="Correctivo",U502="Manual"),"25%",""))))))</f>
        <v/>
      </c>
      <c r="W502" s="113"/>
      <c r="X502" s="113"/>
      <c r="Y502" s="113"/>
      <c r="Z502" s="165" t="str">
        <f>IFERROR(IF(S502="Probabilidad",(K499-(+K499*V502)),IF(S502="Impacto",K499,"")),"")</f>
        <v/>
      </c>
      <c r="AA502" s="166" t="str">
        <f t="shared" si="175"/>
        <v/>
      </c>
      <c r="AB502" s="167" t="str">
        <f t="shared" si="176"/>
        <v/>
      </c>
      <c r="AC502" s="166" t="str">
        <f t="shared" si="177"/>
        <v/>
      </c>
      <c r="AD502" s="167" t="str">
        <f t="shared" si="179"/>
        <v/>
      </c>
      <c r="AE502" s="168" t="str">
        <f t="shared" si="178"/>
        <v/>
      </c>
      <c r="AF502" s="113"/>
      <c r="AG502" s="191"/>
      <c r="AH502" s="192"/>
      <c r="AI502" s="114"/>
      <c r="AJ502" s="114"/>
      <c r="AK502" s="191"/>
      <c r="AL502" s="192"/>
      <c r="AM502" s="155"/>
      <c r="AN502" s="155"/>
      <c r="AO502" s="155"/>
      <c r="AP502" s="155"/>
      <c r="AQ502" s="155"/>
      <c r="AR502" s="155"/>
      <c r="AS502" s="155"/>
      <c r="AT502" s="155"/>
      <c r="AU502" s="155"/>
      <c r="AV502" s="155"/>
      <c r="AW502" s="155"/>
      <c r="AX502" s="155"/>
      <c r="AY502" s="155"/>
      <c r="AZ502" s="155"/>
      <c r="BA502" s="155"/>
      <c r="BB502" s="155"/>
      <c r="BC502" s="155"/>
      <c r="BD502" s="155"/>
      <c r="BE502" s="155"/>
      <c r="BF502" s="155"/>
      <c r="BG502" s="155"/>
      <c r="BH502" s="155"/>
      <c r="BI502" s="155"/>
      <c r="BJ502" s="155"/>
      <c r="BK502" s="155"/>
      <c r="BL502" s="155"/>
      <c r="BM502" s="155"/>
      <c r="BN502" s="155"/>
      <c r="BO502" s="155"/>
      <c r="BP502" s="155"/>
      <c r="BQ502" s="155"/>
      <c r="BR502" s="155"/>
    </row>
    <row r="503" spans="1:70" s="156" customFormat="1" ht="16.5" hidden="1" customHeight="1" x14ac:dyDescent="0.25">
      <c r="A503" s="266"/>
      <c r="B503" s="268"/>
      <c r="C503" s="268"/>
      <c r="D503" s="271"/>
      <c r="E503" s="271"/>
      <c r="F503" s="271"/>
      <c r="G503" s="363"/>
      <c r="H503" s="271"/>
      <c r="I503" s="266"/>
      <c r="J503" s="276"/>
      <c r="K503" s="278"/>
      <c r="L503" s="274"/>
      <c r="M503" s="278">
        <f ca="1">IF(NOT(ISERROR(MATCH(L503,_xlfn.ANCHORARRAY(G514),0))),K516&amp;"Por favor no seleccionar los criterios de impacto",L503)</f>
        <v>0</v>
      </c>
      <c r="N503" s="276"/>
      <c r="O503" s="278"/>
      <c r="P503" s="280"/>
      <c r="Q503" s="204">
        <v>5</v>
      </c>
      <c r="R503" s="112"/>
      <c r="S503" s="204" t="str">
        <f t="shared" si="174"/>
        <v/>
      </c>
      <c r="T503" s="113"/>
      <c r="U503" s="113"/>
      <c r="V503" s="167" t="str">
        <f t="shared" si="181"/>
        <v/>
      </c>
      <c r="W503" s="113"/>
      <c r="X503" s="113"/>
      <c r="Y503" s="113"/>
      <c r="Z503" s="165" t="str">
        <f>IFERROR(IF(S503="Probabilidad",(K499-(+K499*V503)),IF(S503="Impacto",K499,"")),"")</f>
        <v/>
      </c>
      <c r="AA503" s="166" t="str">
        <f t="shared" si="175"/>
        <v/>
      </c>
      <c r="AB503" s="167" t="str">
        <f t="shared" si="176"/>
        <v/>
      </c>
      <c r="AC503" s="166" t="str">
        <f t="shared" si="177"/>
        <v/>
      </c>
      <c r="AD503" s="167" t="str">
        <f t="shared" si="179"/>
        <v/>
      </c>
      <c r="AE503" s="168" t="str">
        <f t="shared" si="178"/>
        <v/>
      </c>
      <c r="AF503" s="113"/>
      <c r="AG503" s="191"/>
      <c r="AH503" s="192"/>
      <c r="AI503" s="114"/>
      <c r="AJ503" s="114"/>
      <c r="AK503" s="191"/>
      <c r="AL503" s="192"/>
      <c r="AM503" s="155"/>
      <c r="AN503" s="155"/>
      <c r="AO503" s="155"/>
      <c r="AP503" s="155"/>
      <c r="AQ503" s="155"/>
      <c r="AR503" s="155"/>
      <c r="AS503" s="155"/>
      <c r="AT503" s="155"/>
      <c r="AU503" s="155"/>
      <c r="AV503" s="155"/>
      <c r="AW503" s="155"/>
      <c r="AX503" s="155"/>
      <c r="AY503" s="155"/>
      <c r="AZ503" s="155"/>
      <c r="BA503" s="155"/>
      <c r="BB503" s="155"/>
      <c r="BC503" s="155"/>
      <c r="BD503" s="155"/>
      <c r="BE503" s="155"/>
      <c r="BF503" s="155"/>
      <c r="BG503" s="155"/>
      <c r="BH503" s="155"/>
      <c r="BI503" s="155"/>
      <c r="BJ503" s="155"/>
      <c r="BK503" s="155"/>
      <c r="BL503" s="155"/>
      <c r="BM503" s="155"/>
      <c r="BN503" s="155"/>
      <c r="BO503" s="155"/>
      <c r="BP503" s="155"/>
      <c r="BQ503" s="155"/>
      <c r="BR503" s="155"/>
    </row>
    <row r="504" spans="1:70" s="156" customFormat="1" ht="16.5" hidden="1" customHeight="1" x14ac:dyDescent="0.25">
      <c r="A504" s="266"/>
      <c r="B504" s="269"/>
      <c r="C504" s="269"/>
      <c r="D504" s="271"/>
      <c r="E504" s="271"/>
      <c r="F504" s="271"/>
      <c r="G504" s="363"/>
      <c r="H504" s="271"/>
      <c r="I504" s="266"/>
      <c r="J504" s="276"/>
      <c r="K504" s="278"/>
      <c r="L504" s="274"/>
      <c r="M504" s="278">
        <f ca="1">IF(NOT(ISERROR(MATCH(L504,_xlfn.ANCHORARRAY(G515),0))),K517&amp;"Por favor no seleccionar los criterios de impacto",L504)</f>
        <v>0</v>
      </c>
      <c r="N504" s="276"/>
      <c r="O504" s="278"/>
      <c r="P504" s="280"/>
      <c r="Q504" s="204">
        <v>6</v>
      </c>
      <c r="R504" s="112"/>
      <c r="S504" s="204" t="str">
        <f t="shared" si="174"/>
        <v/>
      </c>
      <c r="T504" s="113"/>
      <c r="U504" s="113"/>
      <c r="V504" s="167" t="str">
        <f t="shared" si="181"/>
        <v/>
      </c>
      <c r="W504" s="113"/>
      <c r="X504" s="113"/>
      <c r="Y504" s="113"/>
      <c r="Z504" s="165" t="str">
        <f>IFERROR(IF(S504="Probabilidad",(K499-(+K499*V504)),IF(S504="Impacto",K499,"")),"")</f>
        <v/>
      </c>
      <c r="AA504" s="166" t="str">
        <f t="shared" si="175"/>
        <v/>
      </c>
      <c r="AB504" s="167" t="str">
        <f t="shared" si="176"/>
        <v/>
      </c>
      <c r="AC504" s="166" t="str">
        <f t="shared" si="177"/>
        <v/>
      </c>
      <c r="AD504" s="167" t="str">
        <f t="shared" si="179"/>
        <v/>
      </c>
      <c r="AE504" s="168" t="str">
        <f t="shared" si="178"/>
        <v/>
      </c>
      <c r="AF504" s="113"/>
      <c r="AG504" s="191"/>
      <c r="AH504" s="192"/>
      <c r="AI504" s="114"/>
      <c r="AJ504" s="114"/>
      <c r="AK504" s="191"/>
      <c r="AL504" s="192"/>
      <c r="AM504" s="155"/>
      <c r="AN504" s="155"/>
      <c r="AO504" s="155"/>
      <c r="AP504" s="155"/>
      <c r="AQ504" s="155"/>
      <c r="AR504" s="155"/>
      <c r="AS504" s="155"/>
      <c r="AT504" s="155"/>
      <c r="AU504" s="155"/>
      <c r="AV504" s="155"/>
      <c r="AW504" s="155"/>
      <c r="AX504" s="155"/>
      <c r="AY504" s="155"/>
      <c r="AZ504" s="155"/>
      <c r="BA504" s="155"/>
      <c r="BB504" s="155"/>
      <c r="BC504" s="155"/>
      <c r="BD504" s="155"/>
      <c r="BE504" s="155"/>
      <c r="BF504" s="155"/>
      <c r="BG504" s="155"/>
      <c r="BH504" s="155"/>
      <c r="BI504" s="155"/>
      <c r="BJ504" s="155"/>
      <c r="BK504" s="155"/>
      <c r="BL504" s="155"/>
      <c r="BM504" s="155"/>
      <c r="BN504" s="155"/>
      <c r="BO504" s="155"/>
      <c r="BP504" s="155"/>
      <c r="BQ504" s="155"/>
      <c r="BR504" s="155"/>
    </row>
    <row r="505" spans="1:70" s="156" customFormat="1" ht="64.5" x14ac:dyDescent="0.25">
      <c r="A505" s="266">
        <v>83</v>
      </c>
      <c r="B505" s="267" t="s">
        <v>221</v>
      </c>
      <c r="C505" s="267" t="s">
        <v>909</v>
      </c>
      <c r="D505" s="270" t="s">
        <v>132</v>
      </c>
      <c r="E505" s="270" t="s">
        <v>919</v>
      </c>
      <c r="F505" s="270" t="s">
        <v>920</v>
      </c>
      <c r="G505" s="362" t="s">
        <v>921</v>
      </c>
      <c r="H505" s="270" t="s">
        <v>437</v>
      </c>
      <c r="I505" s="281">
        <v>365</v>
      </c>
      <c r="J505" s="275" t="str">
        <f>IF(I505&lt;=0,"",IF(I505&lt;=2,"Muy Baja",IF(I505&lt;=24,"Baja",IF(I505&lt;=500,"Media",IF(I505&lt;=5000,"Alta","Muy Alta")))))</f>
        <v>Media</v>
      </c>
      <c r="K505" s="277">
        <f>IF(J505="","",IF(J505="Muy Baja",0.2,IF(J505="Baja",0.4,IF(J505="Media",0.6,IF(J505="Alta",0.8,IF(J505="Muy Alta",1,))))))</f>
        <v>0.6</v>
      </c>
      <c r="L505" s="273" t="s">
        <v>92</v>
      </c>
      <c r="M505" s="277" t="str">
        <f>IF(NOT(ISERROR(MATCH(L505,'[14]Tabla Impacto'!$B$221:$B$223,0))),'[14]Tabla Impacto'!$F$223&amp;"Por favor no seleccionar los criterios de impacto(Afectación Económica o presupuestal y Pérdida Reputacional)",L505)</f>
        <v xml:space="preserve">Entre 50 y 100 SMLMV </v>
      </c>
      <c r="N505" s="275" t="str">
        <f>+IF(OR(M505='[14]Tabla Impacto'!$C$11,M505='[14]Tabla Impacto'!$D$11),"Leve",IF(OR(M505='[14]Tabla Impacto'!$C$12,M505='[14]Tabla Impacto'!$D$12),"Menor",IF(OR(M505='[14]Tabla Impacto'!$C$13,M505='[14]Tabla Impacto'!$D$13),"Moderado",IF(OR(M505='[14]Tabla Impacto'!$C$14,M505='[14]Tabla Impacto'!$D$14),"Mayor",IF(OR(M505='[14]Tabla Impacto'!$C$15,M505='[14]Tabla Impacto'!$D$15),"Catastrófico","")))))</f>
        <v>Moderado</v>
      </c>
      <c r="O505" s="277">
        <f>IF(N505="","",IF(N505="Leve",0.2,IF(N505="Menor",0.4,IF(N505="Moderado",0.6,IF(N505="Mayor",0.8,IF(N505="Catastrófico",1,))))))</f>
        <v>0.6</v>
      </c>
      <c r="P505" s="279" t="str">
        <f>IF(OR(AND(J505="Muy Baja",N505="Leve"),AND(J505="Muy Baja",N505="Menor"),AND(J505="Baja",N505="Leve")),"Bajo",IF(OR(AND(J505="Muy baja",N505="Moderado"),AND(J505="Baja",N505="Menor"),AND(J505="Baja",N505="Moderado"),AND(J505="Media",N505="Leve"),AND(J505="Media",N505="Menor"),AND(J505="Media",N505="Moderado"),AND(J505="Alta",N505="Leve"),AND(J505="Alta",N505="Menor")),"Moderado",IF(OR(AND(J505="Muy Baja",N505="Mayor"),AND(J505="Baja",N505="Mayor"),AND(J505="Media",N505="Mayor"),AND(J505="Alta",N505="Moderado"),AND(J505="Alta",N505="Mayor"),AND(J505="Muy Alta",N505="Leve"),AND(J505="Muy Alta",N505="Menor"),AND(J505="Muy Alta",N505="Moderado"),AND(J505="Muy Alta",N505="Mayor")),"Alto",IF(OR(AND(J505="Muy Baja",N505="Catastrófico"),AND(J505="Baja",N505="Catastrófico"),AND(J505="Media",N505="Catastrófico"),AND(J505="Alta",N505="Catastrófico"),AND(J505="Muy Alta",N505="Catastrófico")),"Extremo",""))))</f>
        <v>Moderado</v>
      </c>
      <c r="Q505" s="204">
        <v>1</v>
      </c>
      <c r="R505" s="112" t="s">
        <v>927</v>
      </c>
      <c r="S505" s="204" t="str">
        <f t="shared" si="174"/>
        <v>Probabilidad</v>
      </c>
      <c r="T505" s="113" t="s">
        <v>14</v>
      </c>
      <c r="U505" s="113" t="s">
        <v>9</v>
      </c>
      <c r="V505" s="167" t="str">
        <f t="shared" si="181"/>
        <v>40%</v>
      </c>
      <c r="W505" s="113" t="s">
        <v>19</v>
      </c>
      <c r="X505" s="113" t="s">
        <v>22</v>
      </c>
      <c r="Y505" s="113" t="s">
        <v>117</v>
      </c>
      <c r="Z505" s="165">
        <f t="shared" si="180"/>
        <v>0.36</v>
      </c>
      <c r="AA505" s="166" t="str">
        <f t="shared" si="175"/>
        <v>Baja</v>
      </c>
      <c r="AB505" s="167">
        <f t="shared" si="176"/>
        <v>0.36</v>
      </c>
      <c r="AC505" s="166" t="str">
        <f t="shared" si="177"/>
        <v>Moderado</v>
      </c>
      <c r="AD505" s="167">
        <f t="shared" si="179"/>
        <v>0.6</v>
      </c>
      <c r="AE505" s="168" t="str">
        <f t="shared" si="178"/>
        <v>Moderado</v>
      </c>
      <c r="AF505" s="113" t="s">
        <v>31</v>
      </c>
      <c r="AG505" s="191"/>
      <c r="AH505" s="192"/>
      <c r="AI505" s="114"/>
      <c r="AJ505" s="114"/>
      <c r="AK505" s="191"/>
      <c r="AL505" s="192"/>
      <c r="AM505" s="155"/>
      <c r="AN505" s="155"/>
      <c r="AO505" s="155"/>
      <c r="AP505" s="155"/>
      <c r="AQ505" s="155"/>
      <c r="AR505" s="155"/>
      <c r="AS505" s="155"/>
      <c r="AT505" s="155"/>
      <c r="AU505" s="155"/>
      <c r="AV505" s="155"/>
      <c r="AW505" s="155"/>
      <c r="AX505" s="155"/>
      <c r="AY505" s="155"/>
      <c r="AZ505" s="155"/>
      <c r="BA505" s="155"/>
      <c r="BB505" s="155"/>
      <c r="BC505" s="155"/>
      <c r="BD505" s="155"/>
      <c r="BE505" s="155"/>
      <c r="BF505" s="155"/>
      <c r="BG505" s="155"/>
      <c r="BH505" s="155"/>
      <c r="BI505" s="155"/>
      <c r="BJ505" s="155"/>
      <c r="BK505" s="155"/>
      <c r="BL505" s="155"/>
      <c r="BM505" s="155"/>
      <c r="BN505" s="155"/>
      <c r="BO505" s="155"/>
      <c r="BP505" s="155"/>
      <c r="BQ505" s="155"/>
      <c r="BR505" s="155"/>
    </row>
    <row r="506" spans="1:70" s="156" customFormat="1" ht="64.5" x14ac:dyDescent="0.25">
      <c r="A506" s="266"/>
      <c r="B506" s="294"/>
      <c r="C506" s="294"/>
      <c r="D506" s="270"/>
      <c r="E506" s="270"/>
      <c r="F506" s="270"/>
      <c r="G506" s="362"/>
      <c r="H506" s="270"/>
      <c r="I506" s="281"/>
      <c r="J506" s="275"/>
      <c r="K506" s="277"/>
      <c r="L506" s="273"/>
      <c r="M506" s="277">
        <f ca="1">IF(NOT(ISERROR(MATCH(L506,_xlfn.ANCHORARRAY(G517),0))),K519&amp;"Por favor no seleccionar los criterios de impacto",L506)</f>
        <v>0</v>
      </c>
      <c r="N506" s="275"/>
      <c r="O506" s="277"/>
      <c r="P506" s="279"/>
      <c r="Q506" s="204">
        <v>2</v>
      </c>
      <c r="R506" s="112" t="s">
        <v>928</v>
      </c>
      <c r="S506" s="204" t="str">
        <f t="shared" si="174"/>
        <v>Probabilidad</v>
      </c>
      <c r="T506" s="113" t="s">
        <v>14</v>
      </c>
      <c r="U506" s="113" t="s">
        <v>9</v>
      </c>
      <c r="V506" s="167" t="str">
        <f t="shared" si="181"/>
        <v>40%</v>
      </c>
      <c r="W506" s="113" t="s">
        <v>19</v>
      </c>
      <c r="X506" s="113" t="s">
        <v>22</v>
      </c>
      <c r="Y506" s="113" t="s">
        <v>117</v>
      </c>
      <c r="Z506" s="165">
        <f>IFERROR(IF(S506="Probabilidad",(K505-(+K505*V506)),IF(S506="Impacto",K505,"")),"")</f>
        <v>0.36</v>
      </c>
      <c r="AA506" s="166" t="str">
        <f t="shared" si="175"/>
        <v>Baja</v>
      </c>
      <c r="AB506" s="167">
        <f t="shared" si="176"/>
        <v>0.36</v>
      </c>
      <c r="AC506" s="166" t="str">
        <f t="shared" si="177"/>
        <v>Moderado</v>
      </c>
      <c r="AD506" s="167">
        <f>IFERROR(IF(S506="Impacto",(O505-(+O505*V506)),IF(S506="Probabilidad",O505,"")),"")</f>
        <v>0.6</v>
      </c>
      <c r="AE506" s="168" t="str">
        <f t="shared" si="178"/>
        <v>Moderado</v>
      </c>
      <c r="AF506" s="113" t="s">
        <v>31</v>
      </c>
      <c r="AG506" s="191"/>
      <c r="AH506" s="192"/>
      <c r="AI506" s="114"/>
      <c r="AJ506" s="114"/>
      <c r="AK506" s="191"/>
      <c r="AL506" s="192"/>
      <c r="AM506" s="155"/>
      <c r="AN506" s="155"/>
      <c r="AO506" s="155"/>
      <c r="AP506" s="155"/>
      <c r="AQ506" s="155"/>
      <c r="AR506" s="155"/>
      <c r="AS506" s="155"/>
      <c r="AT506" s="155"/>
      <c r="AU506" s="155"/>
      <c r="AV506" s="155"/>
      <c r="AW506" s="155"/>
      <c r="AX506" s="155"/>
      <c r="AY506" s="155"/>
      <c r="AZ506" s="155"/>
      <c r="BA506" s="155"/>
      <c r="BB506" s="155"/>
      <c r="BC506" s="155"/>
      <c r="BD506" s="155"/>
      <c r="BE506" s="155"/>
      <c r="BF506" s="155"/>
      <c r="BG506" s="155"/>
      <c r="BH506" s="155"/>
      <c r="BI506" s="155"/>
      <c r="BJ506" s="155"/>
      <c r="BK506" s="155"/>
      <c r="BL506" s="155"/>
      <c r="BM506" s="155"/>
      <c r="BN506" s="155"/>
      <c r="BO506" s="155"/>
      <c r="BP506" s="155"/>
      <c r="BQ506" s="155"/>
      <c r="BR506" s="155"/>
    </row>
    <row r="507" spans="1:70" s="156" customFormat="1" ht="16.5" hidden="1" customHeight="1" x14ac:dyDescent="0.25">
      <c r="A507" s="266"/>
      <c r="B507" s="268"/>
      <c r="C507" s="268"/>
      <c r="D507" s="271"/>
      <c r="E507" s="271"/>
      <c r="F507" s="271"/>
      <c r="G507" s="363"/>
      <c r="H507" s="271"/>
      <c r="I507" s="266"/>
      <c r="J507" s="276"/>
      <c r="K507" s="278"/>
      <c r="L507" s="274"/>
      <c r="M507" s="278">
        <f ca="1">IF(NOT(ISERROR(MATCH(L507,_xlfn.ANCHORARRAY(G518),0))),K520&amp;"Por favor no seleccionar los criterios de impacto",L507)</f>
        <v>0</v>
      </c>
      <c r="N507" s="276"/>
      <c r="O507" s="278"/>
      <c r="P507" s="280"/>
      <c r="Q507" s="204">
        <v>3</v>
      </c>
      <c r="R507" s="112"/>
      <c r="S507" s="204" t="str">
        <f t="shared" si="174"/>
        <v/>
      </c>
      <c r="T507" s="113"/>
      <c r="U507" s="113"/>
      <c r="V507" s="167" t="str">
        <f t="shared" si="181"/>
        <v/>
      </c>
      <c r="W507" s="113"/>
      <c r="X507" s="113"/>
      <c r="Y507" s="113"/>
      <c r="Z507" s="165" t="str">
        <f>IFERROR(IF(S507="Probabilidad",(K505-(+K505*V507)),IF(S507="Impacto",K505,"")),"")</f>
        <v/>
      </c>
      <c r="AA507" s="166" t="str">
        <f t="shared" si="175"/>
        <v/>
      </c>
      <c r="AB507" s="167" t="str">
        <f t="shared" si="176"/>
        <v/>
      </c>
      <c r="AC507" s="166" t="str">
        <f t="shared" si="177"/>
        <v/>
      </c>
      <c r="AD507" s="167" t="str">
        <f t="shared" si="179"/>
        <v/>
      </c>
      <c r="AE507" s="168" t="str">
        <f t="shared" si="178"/>
        <v/>
      </c>
      <c r="AF507" s="113"/>
      <c r="AG507" s="191"/>
      <c r="AH507" s="192"/>
      <c r="AI507" s="114"/>
      <c r="AJ507" s="114"/>
      <c r="AK507" s="191"/>
      <c r="AL507" s="192"/>
      <c r="AM507" s="155"/>
      <c r="AN507" s="155"/>
      <c r="AO507" s="155"/>
      <c r="AP507" s="155"/>
      <c r="AQ507" s="155"/>
      <c r="AR507" s="155"/>
      <c r="AS507" s="155"/>
      <c r="AT507" s="155"/>
      <c r="AU507" s="155"/>
      <c r="AV507" s="155"/>
      <c r="AW507" s="155"/>
      <c r="AX507" s="155"/>
      <c r="AY507" s="155"/>
      <c r="AZ507" s="155"/>
      <c r="BA507" s="155"/>
      <c r="BB507" s="155"/>
      <c r="BC507" s="155"/>
      <c r="BD507" s="155"/>
      <c r="BE507" s="155"/>
      <c r="BF507" s="155"/>
      <c r="BG507" s="155"/>
      <c r="BH507" s="155"/>
      <c r="BI507" s="155"/>
      <c r="BJ507" s="155"/>
      <c r="BK507" s="155"/>
      <c r="BL507" s="155"/>
      <c r="BM507" s="155"/>
      <c r="BN507" s="155"/>
      <c r="BO507" s="155"/>
      <c r="BP507" s="155"/>
      <c r="BQ507" s="155"/>
      <c r="BR507" s="155"/>
    </row>
    <row r="508" spans="1:70" s="156" customFormat="1" ht="16.5" hidden="1" customHeight="1" x14ac:dyDescent="0.25">
      <c r="A508" s="266"/>
      <c r="B508" s="268"/>
      <c r="C508" s="268"/>
      <c r="D508" s="271"/>
      <c r="E508" s="271"/>
      <c r="F508" s="271"/>
      <c r="G508" s="363"/>
      <c r="H508" s="271"/>
      <c r="I508" s="266"/>
      <c r="J508" s="276"/>
      <c r="K508" s="278"/>
      <c r="L508" s="274"/>
      <c r="M508" s="278">
        <f ca="1">IF(NOT(ISERROR(MATCH(L508,_xlfn.ANCHORARRAY(G519),0))),K521&amp;"Por favor no seleccionar los criterios de impacto",L508)</f>
        <v>0</v>
      </c>
      <c r="N508" s="276"/>
      <c r="O508" s="278"/>
      <c r="P508" s="280"/>
      <c r="Q508" s="204">
        <v>4</v>
      </c>
      <c r="R508" s="112"/>
      <c r="S508" s="204" t="str">
        <f t="shared" si="174"/>
        <v/>
      </c>
      <c r="T508" s="113"/>
      <c r="U508" s="113"/>
      <c r="V508" s="167" t="str">
        <f t="shared" si="181"/>
        <v/>
      </c>
      <c r="W508" s="113"/>
      <c r="X508" s="113"/>
      <c r="Y508" s="113"/>
      <c r="Z508" s="165" t="str">
        <f>IFERROR(IF(S508="Probabilidad",(K505-(+K505*V508)),IF(S508="Impacto",K505,"")),"")</f>
        <v/>
      </c>
      <c r="AA508" s="166" t="str">
        <f t="shared" si="175"/>
        <v/>
      </c>
      <c r="AB508" s="167" t="str">
        <f t="shared" si="176"/>
        <v/>
      </c>
      <c r="AC508" s="166" t="str">
        <f t="shared" si="177"/>
        <v/>
      </c>
      <c r="AD508" s="167" t="str">
        <f t="shared" si="179"/>
        <v/>
      </c>
      <c r="AE508" s="168" t="str">
        <f t="shared" si="178"/>
        <v/>
      </c>
      <c r="AF508" s="113"/>
      <c r="AG508" s="191"/>
      <c r="AH508" s="192"/>
      <c r="AI508" s="114"/>
      <c r="AJ508" s="114"/>
      <c r="AK508" s="191"/>
      <c r="AL508" s="192"/>
      <c r="AM508" s="155"/>
      <c r="AN508" s="155"/>
      <c r="AO508" s="155"/>
      <c r="AP508" s="155"/>
      <c r="AQ508" s="155"/>
      <c r="AR508" s="155"/>
      <c r="AS508" s="155"/>
      <c r="AT508" s="155"/>
      <c r="AU508" s="155"/>
      <c r="AV508" s="155"/>
      <c r="AW508" s="155"/>
      <c r="AX508" s="155"/>
      <c r="AY508" s="155"/>
      <c r="AZ508" s="155"/>
      <c r="BA508" s="155"/>
      <c r="BB508" s="155"/>
      <c r="BC508" s="155"/>
      <c r="BD508" s="155"/>
      <c r="BE508" s="155"/>
      <c r="BF508" s="155"/>
      <c r="BG508" s="155"/>
      <c r="BH508" s="155"/>
      <c r="BI508" s="155"/>
      <c r="BJ508" s="155"/>
      <c r="BK508" s="155"/>
      <c r="BL508" s="155"/>
      <c r="BM508" s="155"/>
      <c r="BN508" s="155"/>
      <c r="BO508" s="155"/>
      <c r="BP508" s="155"/>
      <c r="BQ508" s="155"/>
      <c r="BR508" s="155"/>
    </row>
    <row r="509" spans="1:70" s="156" customFormat="1" ht="16.5" hidden="1" customHeight="1" x14ac:dyDescent="0.25">
      <c r="A509" s="266"/>
      <c r="B509" s="268"/>
      <c r="C509" s="268"/>
      <c r="D509" s="271"/>
      <c r="E509" s="271"/>
      <c r="F509" s="271"/>
      <c r="G509" s="363"/>
      <c r="H509" s="271"/>
      <c r="I509" s="266"/>
      <c r="J509" s="276"/>
      <c r="K509" s="278"/>
      <c r="L509" s="274"/>
      <c r="M509" s="278">
        <f ca="1">IF(NOT(ISERROR(MATCH(L509,_xlfn.ANCHORARRAY(G520),0))),K522&amp;"Por favor no seleccionar los criterios de impacto",L509)</f>
        <v>0</v>
      </c>
      <c r="N509" s="276"/>
      <c r="O509" s="278"/>
      <c r="P509" s="280"/>
      <c r="Q509" s="204">
        <v>5</v>
      </c>
      <c r="R509" s="112"/>
      <c r="S509" s="204" t="str">
        <f t="shared" si="174"/>
        <v/>
      </c>
      <c r="T509" s="113"/>
      <c r="U509" s="113"/>
      <c r="V509" s="167" t="str">
        <f t="shared" si="181"/>
        <v/>
      </c>
      <c r="W509" s="113"/>
      <c r="X509" s="113"/>
      <c r="Y509" s="113"/>
      <c r="Z509" s="165" t="str">
        <f>IFERROR(IF(S509="Probabilidad",(K505-(+K505*V509)),IF(S509="Impacto",K505,"")),"")</f>
        <v/>
      </c>
      <c r="AA509" s="166" t="str">
        <f t="shared" si="175"/>
        <v/>
      </c>
      <c r="AB509" s="167" t="str">
        <f t="shared" si="176"/>
        <v/>
      </c>
      <c r="AC509" s="166" t="str">
        <f t="shared" si="177"/>
        <v/>
      </c>
      <c r="AD509" s="167" t="str">
        <f t="shared" si="179"/>
        <v/>
      </c>
      <c r="AE509" s="168" t="str">
        <f t="shared" si="178"/>
        <v/>
      </c>
      <c r="AF509" s="113"/>
      <c r="AG509" s="191"/>
      <c r="AH509" s="192"/>
      <c r="AI509" s="114"/>
      <c r="AJ509" s="114"/>
      <c r="AK509" s="191"/>
      <c r="AL509" s="192"/>
      <c r="AM509" s="155"/>
      <c r="AN509" s="155"/>
      <c r="AO509" s="155"/>
      <c r="AP509" s="155"/>
      <c r="AQ509" s="155"/>
      <c r="AR509" s="155"/>
      <c r="AS509" s="155"/>
      <c r="AT509" s="155"/>
      <c r="AU509" s="155"/>
      <c r="AV509" s="155"/>
      <c r="AW509" s="155"/>
      <c r="AX509" s="155"/>
      <c r="AY509" s="155"/>
      <c r="AZ509" s="155"/>
      <c r="BA509" s="155"/>
      <c r="BB509" s="155"/>
      <c r="BC509" s="155"/>
      <c r="BD509" s="155"/>
      <c r="BE509" s="155"/>
      <c r="BF509" s="155"/>
      <c r="BG509" s="155"/>
      <c r="BH509" s="155"/>
      <c r="BI509" s="155"/>
      <c r="BJ509" s="155"/>
      <c r="BK509" s="155"/>
      <c r="BL509" s="155"/>
      <c r="BM509" s="155"/>
      <c r="BN509" s="155"/>
      <c r="BO509" s="155"/>
      <c r="BP509" s="155"/>
      <c r="BQ509" s="155"/>
      <c r="BR509" s="155"/>
    </row>
    <row r="510" spans="1:70" s="156" customFormat="1" ht="16.5" hidden="1" customHeight="1" x14ac:dyDescent="0.25">
      <c r="A510" s="266"/>
      <c r="B510" s="269"/>
      <c r="C510" s="269"/>
      <c r="D510" s="271"/>
      <c r="E510" s="271"/>
      <c r="F510" s="271"/>
      <c r="G510" s="363"/>
      <c r="H510" s="271"/>
      <c r="I510" s="266"/>
      <c r="J510" s="276"/>
      <c r="K510" s="278"/>
      <c r="L510" s="274"/>
      <c r="M510" s="278">
        <f ca="1">IF(NOT(ISERROR(MATCH(L510,_xlfn.ANCHORARRAY(G521),0))),K523&amp;"Por favor no seleccionar los criterios de impacto",L510)</f>
        <v>0</v>
      </c>
      <c r="N510" s="276"/>
      <c r="O510" s="278"/>
      <c r="P510" s="280"/>
      <c r="Q510" s="204">
        <v>6</v>
      </c>
      <c r="R510" s="112"/>
      <c r="S510" s="204" t="str">
        <f t="shared" si="174"/>
        <v/>
      </c>
      <c r="T510" s="113"/>
      <c r="U510" s="113"/>
      <c r="V510" s="167" t="str">
        <f t="shared" si="181"/>
        <v/>
      </c>
      <c r="W510" s="113"/>
      <c r="X510" s="113"/>
      <c r="Y510" s="113"/>
      <c r="Z510" s="165" t="str">
        <f>IFERROR(IF(S510="Probabilidad",(K505-(+K505*V510)),IF(S510="Impacto",K505,"")),"")</f>
        <v/>
      </c>
      <c r="AA510" s="166" t="str">
        <f t="shared" si="175"/>
        <v/>
      </c>
      <c r="AB510" s="167" t="str">
        <f t="shared" si="176"/>
        <v/>
      </c>
      <c r="AC510" s="166" t="str">
        <f t="shared" si="177"/>
        <v/>
      </c>
      <c r="AD510" s="167" t="str">
        <f t="shared" si="179"/>
        <v/>
      </c>
      <c r="AE510" s="168" t="str">
        <f t="shared" si="178"/>
        <v/>
      </c>
      <c r="AF510" s="113"/>
      <c r="AG510" s="191"/>
      <c r="AH510" s="192"/>
      <c r="AI510" s="114"/>
      <c r="AJ510" s="114"/>
      <c r="AK510" s="191"/>
      <c r="AL510" s="192"/>
      <c r="AM510" s="155"/>
      <c r="AN510" s="155"/>
      <c r="AO510" s="155"/>
      <c r="AP510" s="155"/>
      <c r="AQ510" s="155"/>
      <c r="AR510" s="155"/>
      <c r="AS510" s="155"/>
      <c r="AT510" s="155"/>
      <c r="AU510" s="155"/>
      <c r="AV510" s="155"/>
      <c r="AW510" s="155"/>
      <c r="AX510" s="155"/>
      <c r="AY510" s="155"/>
      <c r="AZ510" s="155"/>
      <c r="BA510" s="155"/>
      <c r="BB510" s="155"/>
      <c r="BC510" s="155"/>
      <c r="BD510" s="155"/>
      <c r="BE510" s="155"/>
      <c r="BF510" s="155"/>
      <c r="BG510" s="155"/>
      <c r="BH510" s="155"/>
      <c r="BI510" s="155"/>
      <c r="BJ510" s="155"/>
      <c r="BK510" s="155"/>
      <c r="BL510" s="155"/>
      <c r="BM510" s="155"/>
      <c r="BN510" s="155"/>
      <c r="BO510" s="155"/>
      <c r="BP510" s="155"/>
      <c r="BQ510" s="155"/>
      <c r="BR510" s="155"/>
    </row>
    <row r="511" spans="1:70" s="156" customFormat="1" ht="90.75" customHeight="1" x14ac:dyDescent="0.25">
      <c r="A511" s="266">
        <v>84</v>
      </c>
      <c r="B511" s="267" t="s">
        <v>222</v>
      </c>
      <c r="C511" s="267" t="s">
        <v>929</v>
      </c>
      <c r="D511" s="270" t="s">
        <v>130</v>
      </c>
      <c r="E511" s="270" t="s">
        <v>930</v>
      </c>
      <c r="F511" s="270" t="s">
        <v>931</v>
      </c>
      <c r="G511" s="362" t="s">
        <v>932</v>
      </c>
      <c r="H511" s="270" t="s">
        <v>437</v>
      </c>
      <c r="I511" s="281">
        <v>1</v>
      </c>
      <c r="J511" s="275" t="str">
        <f>IF(I511&lt;=0,"",IF(I511&lt;=2,"Muy Baja",IF(I511&lt;=24,"Baja",IF(I511&lt;=500,"Media",IF(I511&lt;=5000,"Alta","Muy Alta")))))</f>
        <v>Muy Baja</v>
      </c>
      <c r="K511" s="277">
        <f>IF(J511="","",IF(J511="Muy Baja",0.2,IF(J511="Baja",0.4,IF(J511="Media",0.6,IF(J511="Alta",0.8,IF(J511="Muy Alta",1,))))))</f>
        <v>0.2</v>
      </c>
      <c r="L511" s="273" t="s">
        <v>96</v>
      </c>
      <c r="M511" s="277" t="str">
        <f>IF(NOT(ISERROR(MATCH(L511,'[15]Tabla Impacto'!$B$221:$B$223,0))),'[15]Tabla Impacto'!$F$223&amp;"Por favor no seleccionar los criterios de impacto(Afectación Económica o presupuestal y Pérdida Reputacional)",L511)</f>
        <v>El riesgo afecta la imagen de la entidad internamente, de conocimiento general, nivel interno, de junta dircetiva y accionistas y/o de provedores</v>
      </c>
      <c r="N511" s="275" t="str">
        <f>+IF(OR(M511='[15]Tabla Impacto'!$C$11,M511='[15]Tabla Impacto'!$D$11),"Leve",IF(OR(M511='[15]Tabla Impacto'!$C$12,M511='[15]Tabla Impacto'!$D$12),"Menor",IF(OR(M511='[15]Tabla Impacto'!$C$13,M511='[15]Tabla Impacto'!$D$13),"Moderado",IF(OR(M511='[15]Tabla Impacto'!$C$14,M511='[15]Tabla Impacto'!$D$14),"Mayor",IF(OR(M511='[15]Tabla Impacto'!$C$15,M511='[15]Tabla Impacto'!$D$15),"Catastrófico","")))))</f>
        <v>Menor</v>
      </c>
      <c r="O511" s="277">
        <f>IF(N511="","",IF(N511="Leve",0.2,IF(N511="Menor",0.4,IF(N511="Moderado",0.6,IF(N511="Mayor",0.8,IF(N511="Catastrófico",1,))))))</f>
        <v>0.4</v>
      </c>
      <c r="P511" s="279" t="str">
        <f>IF(OR(AND(J511="Muy Baja",N511="Leve"),AND(J511="Muy Baja",N511="Menor"),AND(J511="Baja",N511="Leve")),"Bajo",IF(OR(AND(J511="Muy baja",N511="Moderado"),AND(J511="Baja",N511="Menor"),AND(J511="Baja",N511="Moderado"),AND(J511="Media",N511="Leve"),AND(J511="Media",N511="Menor"),AND(J511="Media",N511="Moderado"),AND(J511="Alta",N511="Leve"),AND(J511="Alta",N511="Menor")),"Moderado",IF(OR(AND(J511="Muy Baja",N511="Mayor"),AND(J511="Baja",N511="Mayor"),AND(J511="Media",N511="Mayor"),AND(J511="Alta",N511="Moderado"),AND(J511="Alta",N511="Mayor"),AND(J511="Muy Alta",N511="Leve"),AND(J511="Muy Alta",N511="Menor"),AND(J511="Muy Alta",N511="Moderado"),AND(J511="Muy Alta",N511="Mayor")),"Alto",IF(OR(AND(J511="Muy Baja",N511="Catastrófico"),AND(J511="Baja",N511="Catastrófico"),AND(J511="Media",N511="Catastrófico"),AND(J511="Alta",N511="Catastrófico"),AND(J511="Muy Alta",N511="Catastrófico")),"Extremo",""))))</f>
        <v>Bajo</v>
      </c>
      <c r="Q511" s="204">
        <v>1</v>
      </c>
      <c r="R511" s="112" t="s">
        <v>941</v>
      </c>
      <c r="S511" s="204" t="str">
        <f>IF(OR(T511="Preventivo",T511="Detectivo"),"Probabilidad",IF(T511="Correctivo","Impacto",""))</f>
        <v>Probabilidad</v>
      </c>
      <c r="T511" s="113" t="s">
        <v>14</v>
      </c>
      <c r="U511" s="113" t="s">
        <v>9</v>
      </c>
      <c r="V511" s="167" t="str">
        <f t="shared" si="181"/>
        <v>40%</v>
      </c>
      <c r="W511" s="113" t="s">
        <v>19</v>
      </c>
      <c r="X511" s="113" t="s">
        <v>22</v>
      </c>
      <c r="Y511" s="113" t="s">
        <v>117</v>
      </c>
      <c r="Z511" s="165">
        <f>IFERROR(IF(S511="Probabilidad",(K511-(+K511*V511)),IF(S511="Impacto",K511,"")),"")</f>
        <v>0.12</v>
      </c>
      <c r="AA511" s="166" t="str">
        <f>IFERROR(IF(Z511="","",IF(Z511&lt;=0.2,"Muy Baja",IF(Z511&lt;=0.4,"Baja",IF(Z511&lt;=0.6,"Media",IF(Z511&lt;=0.8,"Alta","Muy Alta"))))),"")</f>
        <v>Muy Baja</v>
      </c>
      <c r="AB511" s="167">
        <f>+Z511</f>
        <v>0.12</v>
      </c>
      <c r="AC511" s="166" t="str">
        <f>IFERROR(IF(AD511="","",IF(AD511&lt;=0.2,"Leve",IF(AD511&lt;=0.4,"Menor",IF(AD511&lt;=0.6,"Moderado",IF(AD511&lt;=0.8,"Mayor","Catastrófico"))))),"")</f>
        <v>Menor</v>
      </c>
      <c r="AD511" s="167">
        <f>IFERROR(IF(S511="Impacto",(O511-(+O511*V511)),IF(S511="Probabilidad",O511,"")),"")</f>
        <v>0.4</v>
      </c>
      <c r="AE511" s="168" t="str">
        <f>IFERROR(IF(OR(AND(AA511="Muy Baja",AC511="Leve"),AND(AA511="Muy Baja",AC511="Menor"),AND(AA511="Baja",AC511="Leve")),"Bajo",IF(OR(AND(AA511="Muy baja",AC511="Moderado"),AND(AA511="Baja",AC511="Menor"),AND(AA511="Baja",AC511="Moderado"),AND(AA511="Media",AC511="Leve"),AND(AA511="Media",AC511="Menor"),AND(AA511="Media",AC511="Moderado"),AND(AA511="Alta",AC511="Leve"),AND(AA511="Alta",AC511="Menor")),"Moderado",IF(OR(AND(AA511="Muy Baja",AC511="Mayor"),AND(AA511="Baja",AC511="Mayor"),AND(AA511="Media",AC511="Mayor"),AND(AA511="Alta",AC511="Moderado"),AND(AA511="Alta",AC511="Mayor"),AND(AA511="Muy Alta",AC511="Leve"),AND(AA511="Muy Alta",AC511="Menor"),AND(AA511="Muy Alta",AC511="Moderado"),AND(AA511="Muy Alta",AC511="Mayor")),"Alto",IF(OR(AND(AA511="Muy Baja",AC511="Catastrófico"),AND(AA511="Baja",AC511="Catastrófico"),AND(AA511="Media",AC511="Catastrófico"),AND(AA511="Alta",AC511="Catastrófico"),AND(AA511="Muy Alta",AC511="Catastrófico")),"Extremo","")))),"")</f>
        <v>Bajo</v>
      </c>
      <c r="AF511" s="113" t="s">
        <v>31</v>
      </c>
      <c r="AG511" s="191"/>
      <c r="AH511" s="192"/>
      <c r="AI511" s="114"/>
      <c r="AJ511" s="114"/>
      <c r="AK511" s="191"/>
      <c r="AL511" s="192"/>
      <c r="AM511" s="155"/>
      <c r="AN511" s="155"/>
      <c r="AO511" s="155"/>
      <c r="AP511" s="155"/>
      <c r="AQ511" s="155"/>
      <c r="AR511" s="155"/>
      <c r="AS511" s="155"/>
      <c r="AT511" s="155"/>
      <c r="AU511" s="155"/>
      <c r="AV511" s="155"/>
      <c r="AW511" s="155"/>
      <c r="AX511" s="155"/>
      <c r="AY511" s="155"/>
      <c r="AZ511" s="155"/>
      <c r="BA511" s="155"/>
      <c r="BB511" s="155"/>
      <c r="BC511" s="155"/>
      <c r="BD511" s="155"/>
      <c r="BE511" s="155"/>
      <c r="BF511" s="155"/>
      <c r="BG511" s="155"/>
      <c r="BH511" s="155"/>
      <c r="BI511" s="155"/>
      <c r="BJ511" s="155"/>
      <c r="BK511" s="155"/>
      <c r="BL511" s="155"/>
      <c r="BM511" s="155"/>
      <c r="BN511" s="155"/>
      <c r="BO511" s="155"/>
      <c r="BP511" s="155"/>
      <c r="BQ511" s="155"/>
      <c r="BR511" s="155"/>
    </row>
    <row r="512" spans="1:70" s="156" customFormat="1" ht="16.5" hidden="1" customHeight="1" x14ac:dyDescent="0.25">
      <c r="A512" s="266"/>
      <c r="B512" s="268"/>
      <c r="C512" s="268"/>
      <c r="D512" s="271"/>
      <c r="E512" s="271"/>
      <c r="F512" s="271"/>
      <c r="G512" s="363"/>
      <c r="H512" s="271"/>
      <c r="I512" s="266"/>
      <c r="J512" s="276"/>
      <c r="K512" s="278"/>
      <c r="L512" s="274"/>
      <c r="M512" s="278">
        <f ca="1">IF(NOT(ISERROR(MATCH(L512,_xlfn.ANCHORARRAY(G523),0))),K525&amp;"Por favor no seleccionar los criterios de impacto",L512)</f>
        <v>0</v>
      </c>
      <c r="N512" s="276"/>
      <c r="O512" s="278"/>
      <c r="P512" s="280"/>
      <c r="Q512" s="204">
        <v>2</v>
      </c>
      <c r="R512" s="112"/>
      <c r="S512" s="204" t="str">
        <f t="shared" ref="S512:S534" si="182">IF(OR(T512="Preventivo",T512="Detectivo"),"Probabilidad",IF(T512="Correctivo","Impacto",""))</f>
        <v/>
      </c>
      <c r="T512" s="113"/>
      <c r="U512" s="113"/>
      <c r="V512" s="167" t="str">
        <f t="shared" si="181"/>
        <v/>
      </c>
      <c r="W512" s="113"/>
      <c r="X512" s="113"/>
      <c r="Y512" s="113"/>
      <c r="Z512" s="165" t="str">
        <f>IFERROR(IF(S512="Probabilidad",(K511-(+K511*V512)),IF(S512="Impacto",K511,"")),"")</f>
        <v/>
      </c>
      <c r="AA512" s="166" t="str">
        <f t="shared" ref="AA512:AA534" si="183">IFERROR(IF(Z512="","",IF(Z512&lt;=0.2,"Muy Baja",IF(Z512&lt;=0.4,"Baja",IF(Z512&lt;=0.6,"Media",IF(Z512&lt;=0.8,"Alta","Muy Alta"))))),"")</f>
        <v/>
      </c>
      <c r="AB512" s="167" t="str">
        <f t="shared" ref="AB512:AB534" si="184">+Z512</f>
        <v/>
      </c>
      <c r="AC512" s="166" t="str">
        <f t="shared" ref="AC512:AC534" si="185">IFERROR(IF(AD512="","",IF(AD512&lt;=0.2,"Leve",IF(AD512&lt;=0.4,"Menor",IF(AD512&lt;=0.6,"Moderado",IF(AD512&lt;=0.8,"Mayor","Catastrófico"))))),"")</f>
        <v/>
      </c>
      <c r="AD512" s="167" t="str">
        <f>IFERROR(IF(S512="Impacto",(O511-(+O511*V512)),IF(S512="Probabilidad",O511,"")),"")</f>
        <v/>
      </c>
      <c r="AE512" s="168" t="str">
        <f t="shared" ref="AE512:AE534" si="186">IFERROR(IF(OR(AND(AA512="Muy Baja",AC512="Leve"),AND(AA512="Muy Baja",AC512="Menor"),AND(AA512="Baja",AC512="Leve")),"Bajo",IF(OR(AND(AA512="Muy baja",AC512="Moderado"),AND(AA512="Baja",AC512="Menor"),AND(AA512="Baja",AC512="Moderado"),AND(AA512="Media",AC512="Leve"),AND(AA512="Media",AC512="Menor"),AND(AA512="Media",AC512="Moderado"),AND(AA512="Alta",AC512="Leve"),AND(AA512="Alta",AC512="Menor")),"Moderado",IF(OR(AND(AA512="Muy Baja",AC512="Mayor"),AND(AA512="Baja",AC512="Mayor"),AND(AA512="Media",AC512="Mayor"),AND(AA512="Alta",AC512="Moderado"),AND(AA512="Alta",AC512="Mayor"),AND(AA512="Muy Alta",AC512="Leve"),AND(AA512="Muy Alta",AC512="Menor"),AND(AA512="Muy Alta",AC512="Moderado"),AND(AA512="Muy Alta",AC512="Mayor")),"Alto",IF(OR(AND(AA512="Muy Baja",AC512="Catastrófico"),AND(AA512="Baja",AC512="Catastrófico"),AND(AA512="Media",AC512="Catastrófico"),AND(AA512="Alta",AC512="Catastrófico"),AND(AA512="Muy Alta",AC512="Catastrófico")),"Extremo","")))),"")</f>
        <v/>
      </c>
      <c r="AF512" s="113"/>
      <c r="AG512" s="191"/>
      <c r="AH512" s="192"/>
      <c r="AI512" s="114"/>
      <c r="AJ512" s="114"/>
      <c r="AK512" s="191"/>
      <c r="AL512" s="192"/>
      <c r="AM512" s="155"/>
      <c r="AN512" s="155"/>
      <c r="AO512" s="155"/>
      <c r="AP512" s="155"/>
      <c r="AQ512" s="155"/>
      <c r="AR512" s="155"/>
      <c r="AS512" s="155"/>
      <c r="AT512" s="155"/>
      <c r="AU512" s="155"/>
      <c r="AV512" s="155"/>
      <c r="AW512" s="155"/>
      <c r="AX512" s="155"/>
      <c r="AY512" s="155"/>
      <c r="AZ512" s="155"/>
      <c r="BA512" s="155"/>
      <c r="BB512" s="155"/>
      <c r="BC512" s="155"/>
      <c r="BD512" s="155"/>
      <c r="BE512" s="155"/>
      <c r="BF512" s="155"/>
      <c r="BG512" s="155"/>
      <c r="BH512" s="155"/>
      <c r="BI512" s="155"/>
      <c r="BJ512" s="155"/>
      <c r="BK512" s="155"/>
      <c r="BL512" s="155"/>
      <c r="BM512" s="155"/>
      <c r="BN512" s="155"/>
      <c r="BO512" s="155"/>
      <c r="BP512" s="155"/>
      <c r="BQ512" s="155"/>
      <c r="BR512" s="155"/>
    </row>
    <row r="513" spans="1:70" s="156" customFormat="1" ht="16.5" hidden="1" customHeight="1" x14ac:dyDescent="0.25">
      <c r="A513" s="266"/>
      <c r="B513" s="268"/>
      <c r="C513" s="268"/>
      <c r="D513" s="271"/>
      <c r="E513" s="271"/>
      <c r="F513" s="271"/>
      <c r="G513" s="363"/>
      <c r="H513" s="271"/>
      <c r="I513" s="266"/>
      <c r="J513" s="276"/>
      <c r="K513" s="278"/>
      <c r="L513" s="274"/>
      <c r="M513" s="278">
        <f ca="1">IF(NOT(ISERROR(MATCH(L513,_xlfn.ANCHORARRAY(G524),0))),K526&amp;"Por favor no seleccionar los criterios de impacto",L513)</f>
        <v>0</v>
      </c>
      <c r="N513" s="276"/>
      <c r="O513" s="278"/>
      <c r="P513" s="280"/>
      <c r="Q513" s="204">
        <v>3</v>
      </c>
      <c r="R513" s="112"/>
      <c r="S513" s="204" t="str">
        <f t="shared" si="182"/>
        <v/>
      </c>
      <c r="T513" s="113"/>
      <c r="U513" s="113"/>
      <c r="V513" s="167" t="str">
        <f t="shared" si="181"/>
        <v/>
      </c>
      <c r="W513" s="113"/>
      <c r="X513" s="113"/>
      <c r="Y513" s="113"/>
      <c r="Z513" s="165" t="str">
        <f>IFERROR(IF(S513="Probabilidad",(K511-(+K511*V513)),IF(S513="Impacto",K511,"")),"")</f>
        <v/>
      </c>
      <c r="AA513" s="166" t="str">
        <f t="shared" si="183"/>
        <v/>
      </c>
      <c r="AB513" s="167" t="str">
        <f t="shared" si="184"/>
        <v/>
      </c>
      <c r="AC513" s="166" t="str">
        <f t="shared" si="185"/>
        <v/>
      </c>
      <c r="AD513" s="167" t="str">
        <f t="shared" ref="AD513:AD534" si="187">IFERROR(IF(S513="Impacto",(O513-(+O513*V513)),IF(S513="Probabilidad",O513,"")),"")</f>
        <v/>
      </c>
      <c r="AE513" s="168" t="str">
        <f t="shared" si="186"/>
        <v/>
      </c>
      <c r="AF513" s="113"/>
      <c r="AG513" s="191"/>
      <c r="AH513" s="192"/>
      <c r="AI513" s="114"/>
      <c r="AJ513" s="114"/>
      <c r="AK513" s="191"/>
      <c r="AL513" s="192"/>
      <c r="AM513" s="155"/>
      <c r="AN513" s="155"/>
      <c r="AO513" s="155"/>
      <c r="AP513" s="155"/>
      <c r="AQ513" s="155"/>
      <c r="AR513" s="155"/>
      <c r="AS513" s="155"/>
      <c r="AT513" s="155"/>
      <c r="AU513" s="155"/>
      <c r="AV513" s="155"/>
      <c r="AW513" s="155"/>
      <c r="AX513" s="155"/>
      <c r="AY513" s="155"/>
      <c r="AZ513" s="155"/>
      <c r="BA513" s="155"/>
      <c r="BB513" s="155"/>
      <c r="BC513" s="155"/>
      <c r="BD513" s="155"/>
      <c r="BE513" s="155"/>
      <c r="BF513" s="155"/>
      <c r="BG513" s="155"/>
      <c r="BH513" s="155"/>
      <c r="BI513" s="155"/>
      <c r="BJ513" s="155"/>
      <c r="BK513" s="155"/>
      <c r="BL513" s="155"/>
      <c r="BM513" s="155"/>
      <c r="BN513" s="155"/>
      <c r="BO513" s="155"/>
      <c r="BP513" s="155"/>
      <c r="BQ513" s="155"/>
      <c r="BR513" s="155"/>
    </row>
    <row r="514" spans="1:70" s="156" customFormat="1" ht="16.5" hidden="1" customHeight="1" x14ac:dyDescent="0.25">
      <c r="A514" s="266"/>
      <c r="B514" s="268"/>
      <c r="C514" s="268"/>
      <c r="D514" s="271"/>
      <c r="E514" s="271"/>
      <c r="F514" s="271"/>
      <c r="G514" s="363"/>
      <c r="H514" s="271"/>
      <c r="I514" s="266"/>
      <c r="J514" s="276"/>
      <c r="K514" s="278"/>
      <c r="L514" s="274"/>
      <c r="M514" s="278">
        <f ca="1">IF(NOT(ISERROR(MATCH(L514,_xlfn.ANCHORARRAY(G525),0))),K527&amp;"Por favor no seleccionar los criterios de impacto",L514)</f>
        <v>0</v>
      </c>
      <c r="N514" s="276"/>
      <c r="O514" s="278"/>
      <c r="P514" s="280"/>
      <c r="Q514" s="204">
        <v>4</v>
      </c>
      <c r="R514" s="112"/>
      <c r="S514" s="204" t="str">
        <f t="shared" si="182"/>
        <v/>
      </c>
      <c r="T514" s="113"/>
      <c r="U514" s="113"/>
      <c r="V514" s="167" t="str">
        <f t="shared" si="181"/>
        <v/>
      </c>
      <c r="W514" s="113"/>
      <c r="X514" s="113"/>
      <c r="Y514" s="113"/>
      <c r="Z514" s="165" t="str">
        <f>IFERROR(IF(S514="Probabilidad",(K511-(+K511*V514)),IF(S514="Impacto",K511,"")),"")</f>
        <v/>
      </c>
      <c r="AA514" s="166" t="str">
        <f t="shared" si="183"/>
        <v/>
      </c>
      <c r="AB514" s="167" t="str">
        <f t="shared" si="184"/>
        <v/>
      </c>
      <c r="AC514" s="166" t="str">
        <f t="shared" si="185"/>
        <v/>
      </c>
      <c r="AD514" s="167" t="str">
        <f t="shared" si="187"/>
        <v/>
      </c>
      <c r="AE514" s="168" t="str">
        <f t="shared" si="186"/>
        <v/>
      </c>
      <c r="AF514" s="113"/>
      <c r="AG514" s="191"/>
      <c r="AH514" s="192"/>
      <c r="AI514" s="114"/>
      <c r="AJ514" s="114"/>
      <c r="AK514" s="191"/>
      <c r="AL514" s="192"/>
      <c r="AM514" s="155"/>
      <c r="AN514" s="155"/>
      <c r="AO514" s="155"/>
      <c r="AP514" s="155"/>
      <c r="AQ514" s="155"/>
      <c r="AR514" s="155"/>
      <c r="AS514" s="155"/>
      <c r="AT514" s="155"/>
      <c r="AU514" s="155"/>
      <c r="AV514" s="155"/>
      <c r="AW514" s="155"/>
      <c r="AX514" s="155"/>
      <c r="AY514" s="155"/>
      <c r="AZ514" s="155"/>
      <c r="BA514" s="155"/>
      <c r="BB514" s="155"/>
      <c r="BC514" s="155"/>
      <c r="BD514" s="155"/>
      <c r="BE514" s="155"/>
      <c r="BF514" s="155"/>
      <c r="BG514" s="155"/>
      <c r="BH514" s="155"/>
      <c r="BI514" s="155"/>
      <c r="BJ514" s="155"/>
      <c r="BK514" s="155"/>
      <c r="BL514" s="155"/>
      <c r="BM514" s="155"/>
      <c r="BN514" s="155"/>
      <c r="BO514" s="155"/>
      <c r="BP514" s="155"/>
      <c r="BQ514" s="155"/>
      <c r="BR514" s="155"/>
    </row>
    <row r="515" spans="1:70" s="156" customFormat="1" ht="16.5" hidden="1" customHeight="1" x14ac:dyDescent="0.25">
      <c r="A515" s="266"/>
      <c r="B515" s="268"/>
      <c r="C515" s="268"/>
      <c r="D515" s="271"/>
      <c r="E515" s="271"/>
      <c r="F515" s="271"/>
      <c r="G515" s="363"/>
      <c r="H515" s="271"/>
      <c r="I515" s="266"/>
      <c r="J515" s="276"/>
      <c r="K515" s="278"/>
      <c r="L515" s="274"/>
      <c r="M515" s="278">
        <f ca="1">IF(NOT(ISERROR(MATCH(L515,_xlfn.ANCHORARRAY(G526),0))),K528&amp;"Por favor no seleccionar los criterios de impacto",L515)</f>
        <v>0</v>
      </c>
      <c r="N515" s="276"/>
      <c r="O515" s="278"/>
      <c r="P515" s="280"/>
      <c r="Q515" s="204">
        <v>5</v>
      </c>
      <c r="R515" s="112"/>
      <c r="S515" s="204" t="str">
        <f t="shared" si="182"/>
        <v/>
      </c>
      <c r="T515" s="113"/>
      <c r="U515" s="113"/>
      <c r="V515" s="167" t="str">
        <f t="shared" si="181"/>
        <v/>
      </c>
      <c r="W515" s="113"/>
      <c r="X515" s="113"/>
      <c r="Y515" s="113"/>
      <c r="Z515" s="165" t="str">
        <f>IFERROR(IF(S515="Probabilidad",(K511-(+K511*V515)),IF(S515="Impacto",K511,"")),"")</f>
        <v/>
      </c>
      <c r="AA515" s="166" t="str">
        <f t="shared" si="183"/>
        <v/>
      </c>
      <c r="AB515" s="167" t="str">
        <f t="shared" si="184"/>
        <v/>
      </c>
      <c r="AC515" s="166" t="str">
        <f t="shared" si="185"/>
        <v/>
      </c>
      <c r="AD515" s="167" t="str">
        <f t="shared" si="187"/>
        <v/>
      </c>
      <c r="AE515" s="168" t="str">
        <f t="shared" si="186"/>
        <v/>
      </c>
      <c r="AF515" s="113"/>
      <c r="AG515" s="191"/>
      <c r="AH515" s="192"/>
      <c r="AI515" s="114"/>
      <c r="AJ515" s="114"/>
      <c r="AK515" s="191"/>
      <c r="AL515" s="192"/>
      <c r="AM515" s="155"/>
      <c r="AN515" s="155"/>
      <c r="AO515" s="155"/>
      <c r="AP515" s="155"/>
      <c r="AQ515" s="155"/>
      <c r="AR515" s="155"/>
      <c r="AS515" s="155"/>
      <c r="AT515" s="155"/>
      <c r="AU515" s="155"/>
      <c r="AV515" s="155"/>
      <c r="AW515" s="155"/>
      <c r="AX515" s="155"/>
      <c r="AY515" s="155"/>
      <c r="AZ515" s="155"/>
      <c r="BA515" s="155"/>
      <c r="BB515" s="155"/>
      <c r="BC515" s="155"/>
      <c r="BD515" s="155"/>
      <c r="BE515" s="155"/>
      <c r="BF515" s="155"/>
      <c r="BG515" s="155"/>
      <c r="BH515" s="155"/>
      <c r="BI515" s="155"/>
      <c r="BJ515" s="155"/>
      <c r="BK515" s="155"/>
      <c r="BL515" s="155"/>
      <c r="BM515" s="155"/>
      <c r="BN515" s="155"/>
      <c r="BO515" s="155"/>
      <c r="BP515" s="155"/>
      <c r="BQ515" s="155"/>
      <c r="BR515" s="155"/>
    </row>
    <row r="516" spans="1:70" s="156" customFormat="1" ht="16.5" hidden="1" customHeight="1" x14ac:dyDescent="0.25">
      <c r="A516" s="266"/>
      <c r="B516" s="269"/>
      <c r="C516" s="269"/>
      <c r="D516" s="271"/>
      <c r="E516" s="271"/>
      <c r="F516" s="271"/>
      <c r="G516" s="363"/>
      <c r="H516" s="271"/>
      <c r="I516" s="266"/>
      <c r="J516" s="276"/>
      <c r="K516" s="278"/>
      <c r="L516" s="274"/>
      <c r="M516" s="278">
        <f ca="1">IF(NOT(ISERROR(MATCH(L516,_xlfn.ANCHORARRAY(G527),0))),K529&amp;"Por favor no seleccionar los criterios de impacto",L516)</f>
        <v>0</v>
      </c>
      <c r="N516" s="276"/>
      <c r="O516" s="278"/>
      <c r="P516" s="280"/>
      <c r="Q516" s="204">
        <v>6</v>
      </c>
      <c r="R516" s="112"/>
      <c r="S516" s="204" t="str">
        <f t="shared" si="182"/>
        <v/>
      </c>
      <c r="T516" s="113"/>
      <c r="U516" s="113"/>
      <c r="V516" s="167" t="str">
        <f t="shared" si="181"/>
        <v/>
      </c>
      <c r="W516" s="113"/>
      <c r="X516" s="113"/>
      <c r="Y516" s="113"/>
      <c r="Z516" s="165" t="str">
        <f>IFERROR(IF(S515="Probabilidad",(K511-(+K511*V516)),IF(S516="Impacto",K511,"")),"")</f>
        <v/>
      </c>
      <c r="AA516" s="166" t="str">
        <f t="shared" si="183"/>
        <v/>
      </c>
      <c r="AB516" s="167" t="str">
        <f t="shared" si="184"/>
        <v/>
      </c>
      <c r="AC516" s="166" t="str">
        <f t="shared" si="185"/>
        <v/>
      </c>
      <c r="AD516" s="167" t="str">
        <f t="shared" si="187"/>
        <v/>
      </c>
      <c r="AE516" s="168" t="str">
        <f t="shared" si="186"/>
        <v/>
      </c>
      <c r="AF516" s="113"/>
      <c r="AG516" s="191"/>
      <c r="AH516" s="192"/>
      <c r="AI516" s="114"/>
      <c r="AJ516" s="114"/>
      <c r="AK516" s="191"/>
      <c r="AL516" s="192"/>
      <c r="AM516" s="155"/>
      <c r="AN516" s="155"/>
      <c r="AO516" s="155"/>
      <c r="AP516" s="155"/>
      <c r="AQ516" s="155"/>
      <c r="AR516" s="155"/>
      <c r="AS516" s="155"/>
      <c r="AT516" s="155"/>
      <c r="AU516" s="155"/>
      <c r="AV516" s="155"/>
      <c r="AW516" s="155"/>
      <c r="AX516" s="155"/>
      <c r="AY516" s="155"/>
      <c r="AZ516" s="155"/>
      <c r="BA516" s="155"/>
      <c r="BB516" s="155"/>
      <c r="BC516" s="155"/>
      <c r="BD516" s="155"/>
      <c r="BE516" s="155"/>
      <c r="BF516" s="155"/>
      <c r="BG516" s="155"/>
      <c r="BH516" s="155"/>
      <c r="BI516" s="155"/>
      <c r="BJ516" s="155"/>
      <c r="BK516" s="155"/>
      <c r="BL516" s="155"/>
      <c r="BM516" s="155"/>
      <c r="BN516" s="155"/>
      <c r="BO516" s="155"/>
      <c r="BP516" s="155"/>
      <c r="BQ516" s="155"/>
      <c r="BR516" s="155"/>
    </row>
    <row r="517" spans="1:70" s="156" customFormat="1" ht="64.5" x14ac:dyDescent="0.25">
      <c r="A517" s="266">
        <v>85</v>
      </c>
      <c r="B517" s="267" t="s">
        <v>222</v>
      </c>
      <c r="C517" s="267" t="s">
        <v>929</v>
      </c>
      <c r="D517" s="270" t="s">
        <v>130</v>
      </c>
      <c r="E517" s="270" t="s">
        <v>930</v>
      </c>
      <c r="F517" s="270" t="s">
        <v>933</v>
      </c>
      <c r="G517" s="362" t="s">
        <v>934</v>
      </c>
      <c r="H517" s="270" t="s">
        <v>437</v>
      </c>
      <c r="I517" s="281">
        <v>30</v>
      </c>
      <c r="J517" s="275" t="str">
        <f>IF(I517&lt;=0,"",IF(I517&lt;=2,"Muy Baja",IF(I517&lt;=24,"Baja",IF(I517&lt;=500,"Media",IF(I517&lt;=5000,"Alta","Muy Alta")))))</f>
        <v>Media</v>
      </c>
      <c r="K517" s="277">
        <f>IF(J517="","",IF(J517="Muy Baja",0.2,IF(J517="Baja",0.4,IF(J517="Media",0.6,IF(J517="Alta",0.8,IF(J517="Muy Alta",1,))))))</f>
        <v>0.6</v>
      </c>
      <c r="L517" s="273" t="s">
        <v>96</v>
      </c>
      <c r="M517" s="277" t="str">
        <f>IF(NOT(ISERROR(MATCH(L517,'[15]Tabla Impacto'!$B$221:$B$223,0))),'[15]Tabla Impacto'!$F$223&amp;"Por favor no seleccionar los criterios de impacto(Afectación Económica o presupuestal y Pérdida Reputacional)",L517)</f>
        <v>El riesgo afecta la imagen de la entidad internamente, de conocimiento general, nivel interno, de junta dircetiva y accionistas y/o de provedores</v>
      </c>
      <c r="N517" s="275" t="str">
        <f>+IF(OR(M517='[15]Tabla Impacto'!$C$11,M517='[15]Tabla Impacto'!$D$11),"Leve",IF(OR(M517='[15]Tabla Impacto'!$C$12,M517='[15]Tabla Impacto'!$D$12),"Menor",IF(OR(M517='[15]Tabla Impacto'!$C$13,M517='[15]Tabla Impacto'!$D$13),"Moderado",IF(OR(M517='[15]Tabla Impacto'!$C$14,M517='[15]Tabla Impacto'!$D$14),"Mayor",IF(OR(M517='[15]Tabla Impacto'!$C$15,M517='[15]Tabla Impacto'!$D$15),"Catastrófico","")))))</f>
        <v>Menor</v>
      </c>
      <c r="O517" s="277">
        <f>IF(N517="","",IF(N517="Leve",0.2,IF(N517="Menor",0.4,IF(N517="Moderado",0.6,IF(N517="Mayor",0.8,IF(N517="Catastrófico",1,))))))</f>
        <v>0.4</v>
      </c>
      <c r="P517" s="279" t="str">
        <f>IF(OR(AND(J517="Muy Baja",N517="Leve"),AND(J517="Muy Baja",N517="Menor"),AND(J517="Baja",N517="Leve")),"Bajo",IF(OR(AND(J517="Muy baja",N517="Moderado"),AND(J517="Baja",N517="Menor"),AND(J517="Baja",N517="Moderado"),AND(J517="Media",N517="Leve"),AND(J517="Media",N517="Menor"),AND(J517="Media",N517="Moderado"),AND(J517="Alta",N517="Leve"),AND(J517="Alta",N517="Menor")),"Moderado",IF(OR(AND(J517="Muy Baja",N517="Mayor"),AND(J517="Baja",N517="Mayor"),AND(J517="Media",N517="Mayor"),AND(J517="Alta",N517="Moderado"),AND(J517="Alta",N517="Mayor"),AND(J517="Muy Alta",N517="Leve"),AND(J517="Muy Alta",N517="Menor"),AND(J517="Muy Alta",N517="Moderado"),AND(J517="Muy Alta",N517="Mayor")),"Alto",IF(OR(AND(J517="Muy Baja",N517="Catastrófico"),AND(J517="Baja",N517="Catastrófico"),AND(J517="Media",N517="Catastrófico"),AND(J517="Alta",N517="Catastrófico"),AND(J517="Muy Alta",N517="Catastrófico")),"Extremo",""))))</f>
        <v>Moderado</v>
      </c>
      <c r="Q517" s="204">
        <v>1</v>
      </c>
      <c r="R517" s="112" t="s">
        <v>942</v>
      </c>
      <c r="S517" s="204" t="str">
        <f t="shared" si="182"/>
        <v>Probabilidad</v>
      </c>
      <c r="T517" s="113" t="s">
        <v>14</v>
      </c>
      <c r="U517" s="113" t="s">
        <v>9</v>
      </c>
      <c r="V517" s="167" t="str">
        <f t="shared" si="181"/>
        <v>40%</v>
      </c>
      <c r="W517" s="113" t="s">
        <v>19</v>
      </c>
      <c r="X517" s="113" t="s">
        <v>22</v>
      </c>
      <c r="Y517" s="113" t="s">
        <v>117</v>
      </c>
      <c r="Z517" s="165">
        <f t="shared" ref="Z517:Z529" si="188">IFERROR(IF(S517="Probabilidad",(K517-(+K517*V517)),IF(S517="Impacto",K517,"")),"")</f>
        <v>0.36</v>
      </c>
      <c r="AA517" s="166" t="str">
        <f t="shared" si="183"/>
        <v>Baja</v>
      </c>
      <c r="AB517" s="167">
        <f t="shared" si="184"/>
        <v>0.36</v>
      </c>
      <c r="AC517" s="166" t="str">
        <f t="shared" si="185"/>
        <v>Menor</v>
      </c>
      <c r="AD517" s="167">
        <f t="shared" si="187"/>
        <v>0.4</v>
      </c>
      <c r="AE517" s="168" t="str">
        <f t="shared" si="186"/>
        <v>Moderado</v>
      </c>
      <c r="AF517" s="113" t="s">
        <v>31</v>
      </c>
      <c r="AG517" s="191"/>
      <c r="AH517" s="192"/>
      <c r="AI517" s="114"/>
      <c r="AJ517" s="114"/>
      <c r="AK517" s="191"/>
      <c r="AL517" s="192"/>
      <c r="AM517" s="155"/>
      <c r="AN517" s="155"/>
      <c r="AO517" s="155"/>
      <c r="AP517" s="155"/>
      <c r="AQ517" s="155"/>
      <c r="AR517" s="155"/>
      <c r="AS517" s="155"/>
      <c r="AT517" s="155"/>
      <c r="AU517" s="155"/>
      <c r="AV517" s="155"/>
      <c r="AW517" s="155"/>
      <c r="AX517" s="155"/>
      <c r="AY517" s="155"/>
      <c r="AZ517" s="155"/>
      <c r="BA517" s="155"/>
      <c r="BB517" s="155"/>
      <c r="BC517" s="155"/>
      <c r="BD517" s="155"/>
      <c r="BE517" s="155"/>
      <c r="BF517" s="155"/>
      <c r="BG517" s="155"/>
      <c r="BH517" s="155"/>
      <c r="BI517" s="155"/>
      <c r="BJ517" s="155"/>
      <c r="BK517" s="155"/>
      <c r="BL517" s="155"/>
      <c r="BM517" s="155"/>
      <c r="BN517" s="155"/>
      <c r="BO517" s="155"/>
      <c r="BP517" s="155"/>
      <c r="BQ517" s="155"/>
      <c r="BR517" s="155"/>
    </row>
    <row r="518" spans="1:70" s="156" customFormat="1" ht="64.5" x14ac:dyDescent="0.25">
      <c r="A518" s="266"/>
      <c r="B518" s="294"/>
      <c r="C518" s="294"/>
      <c r="D518" s="270"/>
      <c r="E518" s="270"/>
      <c r="F518" s="270"/>
      <c r="G518" s="362"/>
      <c r="H518" s="270"/>
      <c r="I518" s="281"/>
      <c r="J518" s="275"/>
      <c r="K518" s="277"/>
      <c r="L518" s="273"/>
      <c r="M518" s="277">
        <f ca="1">IF(NOT(ISERROR(MATCH(L518,_xlfn.ANCHORARRAY(G529),0))),K531&amp;"Por favor no seleccionar los criterios de impacto",L518)</f>
        <v>0</v>
      </c>
      <c r="N518" s="275"/>
      <c r="O518" s="277"/>
      <c r="P518" s="279"/>
      <c r="Q518" s="204">
        <v>2</v>
      </c>
      <c r="R518" s="112" t="s">
        <v>943</v>
      </c>
      <c r="S518" s="204" t="str">
        <f t="shared" si="182"/>
        <v>Probabilidad</v>
      </c>
      <c r="T518" s="113" t="s">
        <v>14</v>
      </c>
      <c r="U518" s="113" t="s">
        <v>9</v>
      </c>
      <c r="V518" s="167" t="str">
        <f t="shared" si="181"/>
        <v>40%</v>
      </c>
      <c r="W518" s="113" t="s">
        <v>19</v>
      </c>
      <c r="X518" s="113" t="s">
        <v>22</v>
      </c>
      <c r="Y518" s="113" t="s">
        <v>117</v>
      </c>
      <c r="Z518" s="165">
        <f>IFERROR(IF(S518="Probabilidad",(K517-(+K517*V518)),IF(S518="Impacto",K517,"")),"")</f>
        <v>0.36</v>
      </c>
      <c r="AA518" s="166" t="str">
        <f t="shared" si="183"/>
        <v>Baja</v>
      </c>
      <c r="AB518" s="167">
        <f t="shared" si="184"/>
        <v>0.36</v>
      </c>
      <c r="AC518" s="166" t="str">
        <f t="shared" si="185"/>
        <v>Menor</v>
      </c>
      <c r="AD518" s="167">
        <f>IFERROR(IF(S518="Impacto",(O517-(+O517*V518)),IF(S518="Probabilidad",O517,"")),"")</f>
        <v>0.4</v>
      </c>
      <c r="AE518" s="168" t="str">
        <f t="shared" si="186"/>
        <v>Moderado</v>
      </c>
      <c r="AF518" s="113" t="s">
        <v>31</v>
      </c>
      <c r="AG518" s="191"/>
      <c r="AH518" s="192"/>
      <c r="AI518" s="114"/>
      <c r="AJ518" s="114"/>
      <c r="AK518" s="191"/>
      <c r="AL518" s="192"/>
      <c r="AM518" s="155"/>
      <c r="AN518" s="155"/>
      <c r="AO518" s="155"/>
      <c r="AP518" s="155"/>
      <c r="AQ518" s="155"/>
      <c r="AR518" s="155"/>
      <c r="AS518" s="155"/>
      <c r="AT518" s="155"/>
      <c r="AU518" s="155"/>
      <c r="AV518" s="155"/>
      <c r="AW518" s="155"/>
      <c r="AX518" s="155"/>
      <c r="AY518" s="155"/>
      <c r="AZ518" s="155"/>
      <c r="BA518" s="155"/>
      <c r="BB518" s="155"/>
      <c r="BC518" s="155"/>
      <c r="BD518" s="155"/>
      <c r="BE518" s="155"/>
      <c r="BF518" s="155"/>
      <c r="BG518" s="155"/>
      <c r="BH518" s="155"/>
      <c r="BI518" s="155"/>
      <c r="BJ518" s="155"/>
      <c r="BK518" s="155"/>
      <c r="BL518" s="155"/>
      <c r="BM518" s="155"/>
      <c r="BN518" s="155"/>
      <c r="BO518" s="155"/>
      <c r="BP518" s="155"/>
      <c r="BQ518" s="155"/>
      <c r="BR518" s="155"/>
    </row>
    <row r="519" spans="1:70" s="156" customFormat="1" ht="64.5" x14ac:dyDescent="0.25">
      <c r="A519" s="266"/>
      <c r="B519" s="294"/>
      <c r="C519" s="294"/>
      <c r="D519" s="270"/>
      <c r="E519" s="270"/>
      <c r="F519" s="270"/>
      <c r="G519" s="362"/>
      <c r="H519" s="270"/>
      <c r="I519" s="281"/>
      <c r="J519" s="275"/>
      <c r="K519" s="277"/>
      <c r="L519" s="273"/>
      <c r="M519" s="277">
        <f ca="1">IF(NOT(ISERROR(MATCH(L519,_xlfn.ANCHORARRAY(G530),0))),K532&amp;"Por favor no seleccionar los criterios de impacto",L519)</f>
        <v>0</v>
      </c>
      <c r="N519" s="275"/>
      <c r="O519" s="277"/>
      <c r="P519" s="279"/>
      <c r="Q519" s="204">
        <v>3</v>
      </c>
      <c r="R519" s="112" t="s">
        <v>944</v>
      </c>
      <c r="S519" s="204" t="str">
        <f t="shared" si="182"/>
        <v>Impacto</v>
      </c>
      <c r="T519" s="113" t="s">
        <v>16</v>
      </c>
      <c r="U519" s="113" t="s">
        <v>9</v>
      </c>
      <c r="V519" s="167" t="str">
        <f t="shared" si="181"/>
        <v>25%</v>
      </c>
      <c r="W519" s="113" t="s">
        <v>19</v>
      </c>
      <c r="X519" s="113" t="s">
        <v>23</v>
      </c>
      <c r="Y519" s="113" t="s">
        <v>117</v>
      </c>
      <c r="Z519" s="165">
        <f>IFERROR(IF(S519="Probabilidad",(K517-(+K517*V519)),IF(S519="Impacto",K517,"")),"")</f>
        <v>0.6</v>
      </c>
      <c r="AA519" s="166" t="str">
        <f t="shared" si="183"/>
        <v>Media</v>
      </c>
      <c r="AB519" s="167">
        <f t="shared" si="184"/>
        <v>0.6</v>
      </c>
      <c r="AC519" s="166" t="str">
        <f t="shared" si="185"/>
        <v>Menor</v>
      </c>
      <c r="AD519" s="167">
        <f>IFERROR(IF(S519="Impacto",(O517-(+O517*V519)),IF(S519="Probabilidad",O517,"")),"")</f>
        <v>0.30000000000000004</v>
      </c>
      <c r="AE519" s="168" t="str">
        <f t="shared" si="186"/>
        <v>Moderado</v>
      </c>
      <c r="AF519" s="113" t="s">
        <v>31</v>
      </c>
      <c r="AG519" s="191"/>
      <c r="AH519" s="192"/>
      <c r="AI519" s="114"/>
      <c r="AJ519" s="114"/>
      <c r="AK519" s="191"/>
      <c r="AL519" s="192"/>
      <c r="AM519" s="155"/>
      <c r="AN519" s="155"/>
      <c r="AO519" s="155"/>
      <c r="AP519" s="155"/>
      <c r="AQ519" s="155"/>
      <c r="AR519" s="155"/>
      <c r="AS519" s="155"/>
      <c r="AT519" s="155"/>
      <c r="AU519" s="155"/>
      <c r="AV519" s="155"/>
      <c r="AW519" s="155"/>
      <c r="AX519" s="155"/>
      <c r="AY519" s="155"/>
      <c r="AZ519" s="155"/>
      <c r="BA519" s="155"/>
      <c r="BB519" s="155"/>
      <c r="BC519" s="155"/>
      <c r="BD519" s="155"/>
      <c r="BE519" s="155"/>
      <c r="BF519" s="155"/>
      <c r="BG519" s="155"/>
      <c r="BH519" s="155"/>
      <c r="BI519" s="155"/>
      <c r="BJ519" s="155"/>
      <c r="BK519" s="155"/>
      <c r="BL519" s="155"/>
      <c r="BM519" s="155"/>
      <c r="BN519" s="155"/>
      <c r="BO519" s="155"/>
      <c r="BP519" s="155"/>
      <c r="BQ519" s="155"/>
      <c r="BR519" s="155"/>
    </row>
    <row r="520" spans="1:70" s="156" customFormat="1" ht="64.5" x14ac:dyDescent="0.25">
      <c r="A520" s="266"/>
      <c r="B520" s="294"/>
      <c r="C520" s="294"/>
      <c r="D520" s="270"/>
      <c r="E520" s="270"/>
      <c r="F520" s="270"/>
      <c r="G520" s="362"/>
      <c r="H520" s="270"/>
      <c r="I520" s="281"/>
      <c r="J520" s="275"/>
      <c r="K520" s="277"/>
      <c r="L520" s="273"/>
      <c r="M520" s="277">
        <f ca="1">IF(NOT(ISERROR(MATCH(L520,_xlfn.ANCHORARRAY(G531),0))),K533&amp;"Por favor no seleccionar los criterios de impacto",L520)</f>
        <v>0</v>
      </c>
      <c r="N520" s="275"/>
      <c r="O520" s="277"/>
      <c r="P520" s="279"/>
      <c r="Q520" s="204">
        <v>4</v>
      </c>
      <c r="R520" s="112" t="s">
        <v>945</v>
      </c>
      <c r="S520" s="204" t="str">
        <f t="shared" si="182"/>
        <v>Probabilidad</v>
      </c>
      <c r="T520" s="113" t="s">
        <v>14</v>
      </c>
      <c r="U520" s="113" t="s">
        <v>9</v>
      </c>
      <c r="V520" s="167" t="str">
        <f t="shared" si="181"/>
        <v>40%</v>
      </c>
      <c r="W520" s="113" t="s">
        <v>19</v>
      </c>
      <c r="X520" s="113" t="s">
        <v>22</v>
      </c>
      <c r="Y520" s="113" t="s">
        <v>117</v>
      </c>
      <c r="Z520" s="165">
        <f>IFERROR(IF(S520="Probabilidad",(K517-(+K517*V520)),IF(S520="Impacto",K517,"")),"")</f>
        <v>0.36</v>
      </c>
      <c r="AA520" s="166" t="str">
        <f t="shared" si="183"/>
        <v>Baja</v>
      </c>
      <c r="AB520" s="167">
        <f t="shared" si="184"/>
        <v>0.36</v>
      </c>
      <c r="AC520" s="166" t="str">
        <f t="shared" si="185"/>
        <v>Menor</v>
      </c>
      <c r="AD520" s="167">
        <f>IFERROR(IF(S520="Impacto",(O517-(+O517*V520)),IF(S520="Probabilidad",O517,"")),"")</f>
        <v>0.4</v>
      </c>
      <c r="AE520" s="168" t="str">
        <f t="shared" si="186"/>
        <v>Moderado</v>
      </c>
      <c r="AF520" s="113" t="s">
        <v>31</v>
      </c>
      <c r="AG520" s="191"/>
      <c r="AH520" s="192"/>
      <c r="AI520" s="114"/>
      <c r="AJ520" s="114"/>
      <c r="AK520" s="191"/>
      <c r="AL520" s="192"/>
      <c r="AM520" s="155"/>
      <c r="AN520" s="155"/>
      <c r="AO520" s="155"/>
      <c r="AP520" s="155"/>
      <c r="AQ520" s="155"/>
      <c r="AR520" s="155"/>
      <c r="AS520" s="155"/>
      <c r="AT520" s="155"/>
      <c r="AU520" s="155"/>
      <c r="AV520" s="155"/>
      <c r="AW520" s="155"/>
      <c r="AX520" s="155"/>
      <c r="AY520" s="155"/>
      <c r="AZ520" s="155"/>
      <c r="BA520" s="155"/>
      <c r="BB520" s="155"/>
      <c r="BC520" s="155"/>
      <c r="BD520" s="155"/>
      <c r="BE520" s="155"/>
      <c r="BF520" s="155"/>
      <c r="BG520" s="155"/>
      <c r="BH520" s="155"/>
      <c r="BI520" s="155"/>
      <c r="BJ520" s="155"/>
      <c r="BK520" s="155"/>
      <c r="BL520" s="155"/>
      <c r="BM520" s="155"/>
      <c r="BN520" s="155"/>
      <c r="BO520" s="155"/>
      <c r="BP520" s="155"/>
      <c r="BQ520" s="155"/>
      <c r="BR520" s="155"/>
    </row>
    <row r="521" spans="1:70" s="156" customFormat="1" ht="36.75" hidden="1" customHeight="1" x14ac:dyDescent="0.25">
      <c r="A521" s="266"/>
      <c r="B521" s="268"/>
      <c r="C521" s="268"/>
      <c r="D521" s="271"/>
      <c r="E521" s="271"/>
      <c r="F521" s="271"/>
      <c r="G521" s="363"/>
      <c r="H521" s="271"/>
      <c r="I521" s="266"/>
      <c r="J521" s="276"/>
      <c r="K521" s="278"/>
      <c r="L521" s="274"/>
      <c r="M521" s="278">
        <f ca="1">IF(NOT(ISERROR(MATCH(L521,_xlfn.ANCHORARRAY(G532),0))),K534&amp;"Por favor no seleccionar los criterios de impacto",L521)</f>
        <v>0</v>
      </c>
      <c r="N521" s="276"/>
      <c r="O521" s="278"/>
      <c r="P521" s="280"/>
      <c r="Q521" s="204">
        <v>5</v>
      </c>
      <c r="R521" s="112"/>
      <c r="S521" s="204" t="str">
        <f t="shared" si="182"/>
        <v/>
      </c>
      <c r="T521" s="113"/>
      <c r="U521" s="113"/>
      <c r="V521" s="167" t="str">
        <f t="shared" si="181"/>
        <v/>
      </c>
      <c r="W521" s="113"/>
      <c r="X521" s="113"/>
      <c r="Y521" s="113"/>
      <c r="Z521" s="165" t="str">
        <f>IFERROR(IF(S521="Probabilidad",(K517-(+K517*V521)),IF(S521="Impacto",K517,"")),"")</f>
        <v/>
      </c>
      <c r="AA521" s="166" t="str">
        <f t="shared" si="183"/>
        <v/>
      </c>
      <c r="AB521" s="167" t="str">
        <f t="shared" si="184"/>
        <v/>
      </c>
      <c r="AC521" s="166" t="str">
        <f t="shared" si="185"/>
        <v/>
      </c>
      <c r="AD521" s="167" t="str">
        <f t="shared" si="187"/>
        <v/>
      </c>
      <c r="AE521" s="168" t="str">
        <f t="shared" si="186"/>
        <v/>
      </c>
      <c r="AF521" s="113" t="s">
        <v>31</v>
      </c>
      <c r="AG521" s="191"/>
      <c r="AH521" s="192"/>
      <c r="AI521" s="114"/>
      <c r="AJ521" s="114"/>
      <c r="AK521" s="191"/>
      <c r="AL521" s="192"/>
      <c r="AM521" s="155"/>
      <c r="AN521" s="155"/>
      <c r="AO521" s="155"/>
      <c r="AP521" s="155"/>
      <c r="AQ521" s="155"/>
      <c r="AR521" s="155"/>
      <c r="AS521" s="155"/>
      <c r="AT521" s="155"/>
      <c r="AU521" s="155"/>
      <c r="AV521" s="155"/>
      <c r="AW521" s="155"/>
      <c r="AX521" s="155"/>
      <c r="AY521" s="155"/>
      <c r="AZ521" s="155"/>
      <c r="BA521" s="155"/>
      <c r="BB521" s="155"/>
      <c r="BC521" s="155"/>
      <c r="BD521" s="155"/>
      <c r="BE521" s="155"/>
      <c r="BF521" s="155"/>
      <c r="BG521" s="155"/>
      <c r="BH521" s="155"/>
      <c r="BI521" s="155"/>
      <c r="BJ521" s="155"/>
      <c r="BK521" s="155"/>
      <c r="BL521" s="155"/>
      <c r="BM521" s="155"/>
      <c r="BN521" s="155"/>
      <c r="BO521" s="155"/>
      <c r="BP521" s="155"/>
      <c r="BQ521" s="155"/>
      <c r="BR521" s="155"/>
    </row>
    <row r="522" spans="1:70" s="156" customFormat="1" ht="36.75" hidden="1" customHeight="1" x14ac:dyDescent="0.25">
      <c r="A522" s="266"/>
      <c r="B522" s="269"/>
      <c r="C522" s="269"/>
      <c r="D522" s="271"/>
      <c r="E522" s="271"/>
      <c r="F522" s="271"/>
      <c r="G522" s="363"/>
      <c r="H522" s="271"/>
      <c r="I522" s="266"/>
      <c r="J522" s="276"/>
      <c r="K522" s="278"/>
      <c r="L522" s="274"/>
      <c r="M522" s="278">
        <f ca="1">IF(NOT(ISERROR(MATCH(L522,_xlfn.ANCHORARRAY(G533),0))),K535&amp;"Por favor no seleccionar los criterios de impacto",L522)</f>
        <v>0</v>
      </c>
      <c r="N522" s="276"/>
      <c r="O522" s="278"/>
      <c r="P522" s="280"/>
      <c r="Q522" s="204">
        <v>6</v>
      </c>
      <c r="R522" s="112"/>
      <c r="S522" s="204" t="str">
        <f t="shared" si="182"/>
        <v/>
      </c>
      <c r="T522" s="113"/>
      <c r="U522" s="113"/>
      <c r="V522" s="167" t="str">
        <f t="shared" si="181"/>
        <v/>
      </c>
      <c r="W522" s="113"/>
      <c r="X522" s="113"/>
      <c r="Y522" s="113"/>
      <c r="Z522" s="165" t="str">
        <f>IFERROR(IF(S522="Probabilidad",(K517-(+K517*V522)),IF(S522="Impacto",K517,"")),"")</f>
        <v/>
      </c>
      <c r="AA522" s="166" t="str">
        <f t="shared" si="183"/>
        <v/>
      </c>
      <c r="AB522" s="167" t="str">
        <f t="shared" si="184"/>
        <v/>
      </c>
      <c r="AC522" s="166" t="str">
        <f t="shared" si="185"/>
        <v/>
      </c>
      <c r="AD522" s="167" t="str">
        <f t="shared" si="187"/>
        <v/>
      </c>
      <c r="AE522" s="168" t="str">
        <f t="shared" si="186"/>
        <v/>
      </c>
      <c r="AF522" s="113" t="s">
        <v>31</v>
      </c>
      <c r="AG522" s="191"/>
      <c r="AH522" s="192"/>
      <c r="AI522" s="114"/>
      <c r="AJ522" s="114"/>
      <c r="AK522" s="191"/>
      <c r="AL522" s="192"/>
      <c r="AM522" s="155"/>
      <c r="AN522" s="155"/>
      <c r="AO522" s="155"/>
      <c r="AP522" s="155"/>
      <c r="AQ522" s="155"/>
      <c r="AR522" s="155"/>
      <c r="AS522" s="155"/>
      <c r="AT522" s="155"/>
      <c r="AU522" s="155"/>
      <c r="AV522" s="155"/>
      <c r="AW522" s="155"/>
      <c r="AX522" s="155"/>
      <c r="AY522" s="155"/>
      <c r="AZ522" s="155"/>
      <c r="BA522" s="155"/>
      <c r="BB522" s="155"/>
      <c r="BC522" s="155"/>
      <c r="BD522" s="155"/>
      <c r="BE522" s="155"/>
      <c r="BF522" s="155"/>
      <c r="BG522" s="155"/>
      <c r="BH522" s="155"/>
      <c r="BI522" s="155"/>
      <c r="BJ522" s="155"/>
      <c r="BK522" s="155"/>
      <c r="BL522" s="155"/>
      <c r="BM522" s="155"/>
      <c r="BN522" s="155"/>
      <c r="BO522" s="155"/>
      <c r="BP522" s="155"/>
      <c r="BQ522" s="155"/>
      <c r="BR522" s="155"/>
    </row>
    <row r="523" spans="1:70" s="156" customFormat="1" ht="96.75" customHeight="1" x14ac:dyDescent="0.25">
      <c r="A523" s="266">
        <v>86</v>
      </c>
      <c r="B523" s="267" t="s">
        <v>222</v>
      </c>
      <c r="C523" s="267" t="s">
        <v>929</v>
      </c>
      <c r="D523" s="270" t="s">
        <v>130</v>
      </c>
      <c r="E523" s="270" t="s">
        <v>935</v>
      </c>
      <c r="F523" s="270" t="s">
        <v>936</v>
      </c>
      <c r="G523" s="362" t="s">
        <v>937</v>
      </c>
      <c r="H523" s="270" t="s">
        <v>437</v>
      </c>
      <c r="I523" s="281">
        <v>71</v>
      </c>
      <c r="J523" s="275" t="str">
        <f>IF(I523&lt;=0,"",IF(I523&lt;=2,"Muy Baja",IF(I523&lt;=24,"Baja",IF(I523&lt;=500,"Media",IF(I523&lt;=5000,"Alta","Muy Alta")))))</f>
        <v>Media</v>
      </c>
      <c r="K523" s="277">
        <f>IF(J523="","",IF(J523="Muy Baja",0.2,IF(J523="Baja",0.4,IF(J523="Media",0.6,IF(J523="Alta",0.8,IF(J523="Muy Alta",1,))))))</f>
        <v>0.6</v>
      </c>
      <c r="L523" s="273" t="s">
        <v>96</v>
      </c>
      <c r="M523" s="277" t="str">
        <f>IF(NOT(ISERROR(MATCH(L523,'[15]Tabla Impacto'!$B$221:$B$223,0))),'[15]Tabla Impacto'!$F$223&amp;"Por favor no seleccionar los criterios de impacto(Afectación Económica o presupuestal y Pérdida Reputacional)",L523)</f>
        <v>El riesgo afecta la imagen de la entidad internamente, de conocimiento general, nivel interno, de junta dircetiva y accionistas y/o de provedores</v>
      </c>
      <c r="N523" s="275" t="str">
        <f>+IF(OR(M523='[15]Tabla Impacto'!$C$11,M523='[15]Tabla Impacto'!$D$11),"Leve",IF(OR(M523='[15]Tabla Impacto'!$C$12,M523='[15]Tabla Impacto'!$D$12),"Menor",IF(OR(M523='[15]Tabla Impacto'!$C$13,M523='[15]Tabla Impacto'!$D$13),"Moderado",IF(OR(M523='[15]Tabla Impacto'!$C$14,M523='[15]Tabla Impacto'!$D$14),"Mayor",IF(OR(M523='[15]Tabla Impacto'!$C$15,M523='[15]Tabla Impacto'!$D$15),"Catastrófico","")))))</f>
        <v>Menor</v>
      </c>
      <c r="O523" s="277">
        <f>IF(N523="","",IF(N523="Leve",0.2,IF(N523="Menor",0.4,IF(N523="Moderado",0.6,IF(N523="Mayor",0.8,IF(N523="Catastrófico",1,))))))</f>
        <v>0.4</v>
      </c>
      <c r="P523" s="279" t="str">
        <f>IF(OR(AND(J523="Muy Baja",N523="Leve"),AND(J523="Muy Baja",N523="Menor"),AND(J523="Baja",N523="Leve")),"Bajo",IF(OR(AND(J523="Muy baja",N523="Moderado"),AND(J523="Baja",N523="Menor"),AND(J523="Baja",N523="Moderado"),AND(J523="Media",N523="Leve"),AND(J523="Media",N523="Menor"),AND(J523="Media",N523="Moderado"),AND(J523="Alta",N523="Leve"),AND(J523="Alta",N523="Menor")),"Moderado",IF(OR(AND(J523="Muy Baja",N523="Mayor"),AND(J523="Baja",N523="Mayor"),AND(J523="Media",N523="Mayor"),AND(J523="Alta",N523="Moderado"),AND(J523="Alta",N523="Mayor"),AND(J523="Muy Alta",N523="Leve"),AND(J523="Muy Alta",N523="Menor"),AND(J523="Muy Alta",N523="Moderado"),AND(J523="Muy Alta",N523="Mayor")),"Alto",IF(OR(AND(J523="Muy Baja",N523="Catastrófico"),AND(J523="Baja",N523="Catastrófico"),AND(J523="Media",N523="Catastrófico"),AND(J523="Alta",N523="Catastrófico"),AND(J523="Muy Alta",N523="Catastrófico")),"Extremo",""))))</f>
        <v>Moderado</v>
      </c>
      <c r="Q523" s="204">
        <v>1</v>
      </c>
      <c r="R523" s="112" t="s">
        <v>946</v>
      </c>
      <c r="S523" s="204" t="str">
        <f t="shared" si="182"/>
        <v>Probabilidad</v>
      </c>
      <c r="T523" s="113" t="s">
        <v>14</v>
      </c>
      <c r="U523" s="113" t="s">
        <v>9</v>
      </c>
      <c r="V523" s="167" t="str">
        <f t="shared" si="181"/>
        <v>40%</v>
      </c>
      <c r="W523" s="113" t="s">
        <v>19</v>
      </c>
      <c r="X523" s="113" t="s">
        <v>22</v>
      </c>
      <c r="Y523" s="113" t="s">
        <v>117</v>
      </c>
      <c r="Z523" s="165">
        <f t="shared" si="188"/>
        <v>0.36</v>
      </c>
      <c r="AA523" s="166" t="str">
        <f t="shared" si="183"/>
        <v>Baja</v>
      </c>
      <c r="AB523" s="167">
        <f t="shared" si="184"/>
        <v>0.36</v>
      </c>
      <c r="AC523" s="166" t="str">
        <f t="shared" si="185"/>
        <v>Menor</v>
      </c>
      <c r="AD523" s="167">
        <f t="shared" si="187"/>
        <v>0.4</v>
      </c>
      <c r="AE523" s="168" t="str">
        <f t="shared" si="186"/>
        <v>Moderado</v>
      </c>
      <c r="AF523" s="113" t="s">
        <v>31</v>
      </c>
      <c r="AG523" s="191"/>
      <c r="AH523" s="192"/>
      <c r="AI523" s="114"/>
      <c r="AJ523" s="114"/>
      <c r="AK523" s="191"/>
      <c r="AL523" s="192"/>
      <c r="AM523" s="155"/>
      <c r="AN523" s="155"/>
      <c r="AO523" s="155"/>
      <c r="AP523" s="155"/>
      <c r="AQ523" s="155"/>
      <c r="AR523" s="155"/>
      <c r="AS523" s="155"/>
      <c r="AT523" s="155"/>
      <c r="AU523" s="155"/>
      <c r="AV523" s="155"/>
      <c r="AW523" s="155"/>
      <c r="AX523" s="155"/>
      <c r="AY523" s="155"/>
      <c r="AZ523" s="155"/>
      <c r="BA523" s="155"/>
      <c r="BB523" s="155"/>
      <c r="BC523" s="155"/>
      <c r="BD523" s="155"/>
      <c r="BE523" s="155"/>
      <c r="BF523" s="155"/>
      <c r="BG523" s="155"/>
      <c r="BH523" s="155"/>
      <c r="BI523" s="155"/>
      <c r="BJ523" s="155"/>
      <c r="BK523" s="155"/>
      <c r="BL523" s="155"/>
      <c r="BM523" s="155"/>
      <c r="BN523" s="155"/>
      <c r="BO523" s="155"/>
      <c r="BP523" s="155"/>
      <c r="BQ523" s="155"/>
      <c r="BR523" s="155"/>
    </row>
    <row r="524" spans="1:70" s="156" customFormat="1" ht="96.75" customHeight="1" x14ac:dyDescent="0.25">
      <c r="A524" s="266"/>
      <c r="B524" s="294"/>
      <c r="C524" s="294"/>
      <c r="D524" s="270"/>
      <c r="E524" s="270"/>
      <c r="F524" s="270"/>
      <c r="G524" s="362"/>
      <c r="H524" s="270"/>
      <c r="I524" s="281"/>
      <c r="J524" s="275"/>
      <c r="K524" s="277"/>
      <c r="L524" s="273"/>
      <c r="M524" s="277">
        <f ca="1">IF(NOT(ISERROR(MATCH(L524,_xlfn.ANCHORARRAY(G535),0))),K537&amp;"Por favor no seleccionar los criterios de impacto",L524)</f>
        <v>0</v>
      </c>
      <c r="N524" s="275"/>
      <c r="O524" s="277"/>
      <c r="P524" s="279"/>
      <c r="Q524" s="204">
        <v>2</v>
      </c>
      <c r="R524" s="112" t="s">
        <v>947</v>
      </c>
      <c r="S524" s="204" t="str">
        <f t="shared" si="182"/>
        <v>Probabilidad</v>
      </c>
      <c r="T524" s="113" t="s">
        <v>14</v>
      </c>
      <c r="U524" s="113" t="s">
        <v>9</v>
      </c>
      <c r="V524" s="167" t="str">
        <f t="shared" si="181"/>
        <v>40%</v>
      </c>
      <c r="W524" s="113" t="s">
        <v>19</v>
      </c>
      <c r="X524" s="113" t="s">
        <v>22</v>
      </c>
      <c r="Y524" s="113" t="s">
        <v>117</v>
      </c>
      <c r="Z524" s="165">
        <f>IFERROR(IF(S524="Probabilidad",(K523-(+K523*V524)),IF(S524="Impacto",K523,"")),"")</f>
        <v>0.36</v>
      </c>
      <c r="AA524" s="166" t="str">
        <f t="shared" si="183"/>
        <v>Baja</v>
      </c>
      <c r="AB524" s="167">
        <f t="shared" si="184"/>
        <v>0.36</v>
      </c>
      <c r="AC524" s="166" t="str">
        <f t="shared" si="185"/>
        <v>Menor</v>
      </c>
      <c r="AD524" s="167">
        <f>IFERROR(IF(S524="Impacto",(O523-(+O523*V524)),IF(S524="Probabilidad",O523,"")),"")</f>
        <v>0.4</v>
      </c>
      <c r="AE524" s="168" t="str">
        <f t="shared" si="186"/>
        <v>Moderado</v>
      </c>
      <c r="AF524" s="113" t="s">
        <v>31</v>
      </c>
      <c r="AG524" s="191"/>
      <c r="AH524" s="192"/>
      <c r="AI524" s="114"/>
      <c r="AJ524" s="114"/>
      <c r="AK524" s="191"/>
      <c r="AL524" s="192"/>
      <c r="AM524" s="155"/>
      <c r="AN524" s="155"/>
      <c r="AO524" s="155"/>
      <c r="AP524" s="155"/>
      <c r="AQ524" s="155"/>
      <c r="AR524" s="155"/>
      <c r="AS524" s="155"/>
      <c r="AT524" s="155"/>
      <c r="AU524" s="155"/>
      <c r="AV524" s="155"/>
      <c r="AW524" s="155"/>
      <c r="AX524" s="155"/>
      <c r="AY524" s="155"/>
      <c r="AZ524" s="155"/>
      <c r="BA524" s="155"/>
      <c r="BB524" s="155"/>
      <c r="BC524" s="155"/>
      <c r="BD524" s="155"/>
      <c r="BE524" s="155"/>
      <c r="BF524" s="155"/>
      <c r="BG524" s="155"/>
      <c r="BH524" s="155"/>
      <c r="BI524" s="155"/>
      <c r="BJ524" s="155"/>
      <c r="BK524" s="155"/>
      <c r="BL524" s="155"/>
      <c r="BM524" s="155"/>
      <c r="BN524" s="155"/>
      <c r="BO524" s="155"/>
      <c r="BP524" s="155"/>
      <c r="BQ524" s="155"/>
      <c r="BR524" s="155"/>
    </row>
    <row r="525" spans="1:70" s="156" customFormat="1" ht="16.5" hidden="1" customHeight="1" x14ac:dyDescent="0.25">
      <c r="A525" s="266"/>
      <c r="B525" s="268"/>
      <c r="C525" s="268"/>
      <c r="D525" s="271"/>
      <c r="E525" s="271"/>
      <c r="F525" s="271"/>
      <c r="G525" s="363"/>
      <c r="H525" s="271"/>
      <c r="I525" s="266"/>
      <c r="J525" s="276"/>
      <c r="K525" s="278"/>
      <c r="L525" s="274"/>
      <c r="M525" s="278">
        <f ca="1">IF(NOT(ISERROR(MATCH(L525,_xlfn.ANCHORARRAY(G536),0))),K538&amp;"Por favor no seleccionar los criterios de impacto",L525)</f>
        <v>0</v>
      </c>
      <c r="N525" s="276"/>
      <c r="O525" s="278"/>
      <c r="P525" s="280"/>
      <c r="Q525" s="204">
        <v>3</v>
      </c>
      <c r="R525" s="112"/>
      <c r="S525" s="204"/>
      <c r="T525" s="113"/>
      <c r="U525" s="113"/>
      <c r="V525" s="167"/>
      <c r="W525" s="113"/>
      <c r="X525" s="113"/>
      <c r="Y525" s="113"/>
      <c r="Z525" s="165"/>
      <c r="AA525" s="166"/>
      <c r="AB525" s="167"/>
      <c r="AC525" s="166"/>
      <c r="AD525" s="167"/>
      <c r="AE525" s="168"/>
      <c r="AF525" s="113"/>
      <c r="AG525" s="191"/>
      <c r="AH525" s="192"/>
      <c r="AI525" s="114"/>
      <c r="AJ525" s="114"/>
      <c r="AK525" s="191"/>
      <c r="AL525" s="192"/>
      <c r="AM525" s="155"/>
      <c r="AN525" s="155"/>
      <c r="AO525" s="155"/>
      <c r="AP525" s="155"/>
      <c r="AQ525" s="155"/>
      <c r="AR525" s="155"/>
      <c r="AS525" s="155"/>
      <c r="AT525" s="155"/>
      <c r="AU525" s="155"/>
      <c r="AV525" s="155"/>
      <c r="AW525" s="155"/>
      <c r="AX525" s="155"/>
      <c r="AY525" s="155"/>
      <c r="AZ525" s="155"/>
      <c r="BA525" s="155"/>
      <c r="BB525" s="155"/>
      <c r="BC525" s="155"/>
      <c r="BD525" s="155"/>
      <c r="BE525" s="155"/>
      <c r="BF525" s="155"/>
      <c r="BG525" s="155"/>
      <c r="BH525" s="155"/>
      <c r="BI525" s="155"/>
      <c r="BJ525" s="155"/>
      <c r="BK525" s="155"/>
      <c r="BL525" s="155"/>
      <c r="BM525" s="155"/>
      <c r="BN525" s="155"/>
      <c r="BO525" s="155"/>
      <c r="BP525" s="155"/>
      <c r="BQ525" s="155"/>
      <c r="BR525" s="155"/>
    </row>
    <row r="526" spans="1:70" s="156" customFormat="1" ht="16.5" hidden="1" customHeight="1" x14ac:dyDescent="0.25">
      <c r="A526" s="266"/>
      <c r="B526" s="268"/>
      <c r="C526" s="268"/>
      <c r="D526" s="271"/>
      <c r="E526" s="271"/>
      <c r="F526" s="271"/>
      <c r="G526" s="363"/>
      <c r="H526" s="271"/>
      <c r="I526" s="266"/>
      <c r="J526" s="276"/>
      <c r="K526" s="278"/>
      <c r="L526" s="274"/>
      <c r="M526" s="278">
        <f ca="1">IF(NOT(ISERROR(MATCH(L526,_xlfn.ANCHORARRAY(G537),0))),K539&amp;"Por favor no seleccionar los criterios de impacto",L526)</f>
        <v>0</v>
      </c>
      <c r="N526" s="276"/>
      <c r="O526" s="278"/>
      <c r="P526" s="280"/>
      <c r="Q526" s="204">
        <v>4</v>
      </c>
      <c r="R526" s="112"/>
      <c r="S526" s="204"/>
      <c r="T526" s="113"/>
      <c r="U526" s="113"/>
      <c r="V526" s="167"/>
      <c r="W526" s="113"/>
      <c r="X526" s="113"/>
      <c r="Y526" s="113"/>
      <c r="Z526" s="165"/>
      <c r="AA526" s="166"/>
      <c r="AB526" s="167"/>
      <c r="AC526" s="166"/>
      <c r="AD526" s="167"/>
      <c r="AE526" s="168"/>
      <c r="AF526" s="113"/>
      <c r="AG526" s="191"/>
      <c r="AH526" s="192"/>
      <c r="AI526" s="114"/>
      <c r="AJ526" s="114"/>
      <c r="AK526" s="191"/>
      <c r="AL526" s="192"/>
      <c r="AM526" s="155"/>
      <c r="AN526" s="155"/>
      <c r="AO526" s="155"/>
      <c r="AP526" s="155"/>
      <c r="AQ526" s="155"/>
      <c r="AR526" s="155"/>
      <c r="AS526" s="155"/>
      <c r="AT526" s="155"/>
      <c r="AU526" s="155"/>
      <c r="AV526" s="155"/>
      <c r="AW526" s="155"/>
      <c r="AX526" s="155"/>
      <c r="AY526" s="155"/>
      <c r="AZ526" s="155"/>
      <c r="BA526" s="155"/>
      <c r="BB526" s="155"/>
      <c r="BC526" s="155"/>
      <c r="BD526" s="155"/>
      <c r="BE526" s="155"/>
      <c r="BF526" s="155"/>
      <c r="BG526" s="155"/>
      <c r="BH526" s="155"/>
      <c r="BI526" s="155"/>
      <c r="BJ526" s="155"/>
      <c r="BK526" s="155"/>
      <c r="BL526" s="155"/>
      <c r="BM526" s="155"/>
      <c r="BN526" s="155"/>
      <c r="BO526" s="155"/>
      <c r="BP526" s="155"/>
      <c r="BQ526" s="155"/>
      <c r="BR526" s="155"/>
    </row>
    <row r="527" spans="1:70" s="156" customFormat="1" ht="16.5" hidden="1" customHeight="1" x14ac:dyDescent="0.25">
      <c r="A527" s="266"/>
      <c r="B527" s="268"/>
      <c r="C527" s="268"/>
      <c r="D527" s="271"/>
      <c r="E527" s="271"/>
      <c r="F527" s="271"/>
      <c r="G527" s="363"/>
      <c r="H527" s="271"/>
      <c r="I527" s="266"/>
      <c r="J527" s="276"/>
      <c r="K527" s="278"/>
      <c r="L527" s="274"/>
      <c r="M527" s="278">
        <f ca="1">IF(NOT(ISERROR(MATCH(L527,_xlfn.ANCHORARRAY(G538),0))),K540&amp;"Por favor no seleccionar los criterios de impacto",L527)</f>
        <v>0</v>
      </c>
      <c r="N527" s="276"/>
      <c r="O527" s="278"/>
      <c r="P527" s="280"/>
      <c r="Q527" s="204">
        <v>5</v>
      </c>
      <c r="R527" s="112"/>
      <c r="S527" s="204"/>
      <c r="T527" s="113"/>
      <c r="U527" s="113"/>
      <c r="V527" s="167"/>
      <c r="W527" s="113"/>
      <c r="X527" s="113"/>
      <c r="Y527" s="113"/>
      <c r="Z527" s="165"/>
      <c r="AA527" s="166"/>
      <c r="AB527" s="167"/>
      <c r="AC527" s="166"/>
      <c r="AD527" s="167"/>
      <c r="AE527" s="168"/>
      <c r="AF527" s="113"/>
      <c r="AG527" s="191"/>
      <c r="AH527" s="192"/>
      <c r="AI527" s="114"/>
      <c r="AJ527" s="114"/>
      <c r="AK527" s="191"/>
      <c r="AL527" s="192"/>
      <c r="AM527" s="155"/>
      <c r="AN527" s="155"/>
      <c r="AO527" s="155"/>
      <c r="AP527" s="155"/>
      <c r="AQ527" s="155"/>
      <c r="AR527" s="155"/>
      <c r="AS527" s="155"/>
      <c r="AT527" s="155"/>
      <c r="AU527" s="155"/>
      <c r="AV527" s="155"/>
      <c r="AW527" s="155"/>
      <c r="AX527" s="155"/>
      <c r="AY527" s="155"/>
      <c r="AZ527" s="155"/>
      <c r="BA527" s="155"/>
      <c r="BB527" s="155"/>
      <c r="BC527" s="155"/>
      <c r="BD527" s="155"/>
      <c r="BE527" s="155"/>
      <c r="BF527" s="155"/>
      <c r="BG527" s="155"/>
      <c r="BH527" s="155"/>
      <c r="BI527" s="155"/>
      <c r="BJ527" s="155"/>
      <c r="BK527" s="155"/>
      <c r="BL527" s="155"/>
      <c r="BM527" s="155"/>
      <c r="BN527" s="155"/>
      <c r="BO527" s="155"/>
      <c r="BP527" s="155"/>
      <c r="BQ527" s="155"/>
      <c r="BR527" s="155"/>
    </row>
    <row r="528" spans="1:70" s="156" customFormat="1" ht="16.5" hidden="1" customHeight="1" x14ac:dyDescent="0.25">
      <c r="A528" s="266"/>
      <c r="B528" s="269"/>
      <c r="C528" s="269"/>
      <c r="D528" s="271"/>
      <c r="E528" s="271"/>
      <c r="F528" s="271"/>
      <c r="G528" s="363"/>
      <c r="H528" s="271"/>
      <c r="I528" s="266"/>
      <c r="J528" s="276"/>
      <c r="K528" s="278"/>
      <c r="L528" s="274"/>
      <c r="M528" s="278">
        <f ca="1">IF(NOT(ISERROR(MATCH(L528,_xlfn.ANCHORARRAY(G539),0))),K541&amp;"Por favor no seleccionar los criterios de impacto",L528)</f>
        <v>0</v>
      </c>
      <c r="N528" s="276"/>
      <c r="O528" s="278"/>
      <c r="P528" s="280"/>
      <c r="Q528" s="204">
        <v>6</v>
      </c>
      <c r="R528" s="112"/>
      <c r="S528" s="204"/>
      <c r="T528" s="113"/>
      <c r="U528" s="113"/>
      <c r="V528" s="167"/>
      <c r="W528" s="113"/>
      <c r="X528" s="113"/>
      <c r="Y528" s="113"/>
      <c r="Z528" s="165"/>
      <c r="AA528" s="166"/>
      <c r="AB528" s="167"/>
      <c r="AC528" s="166"/>
      <c r="AD528" s="167"/>
      <c r="AE528" s="168"/>
      <c r="AF528" s="113"/>
      <c r="AG528" s="191"/>
      <c r="AH528" s="192"/>
      <c r="AI528" s="114"/>
      <c r="AJ528" s="114"/>
      <c r="AK528" s="191"/>
      <c r="AL528" s="192"/>
      <c r="AM528" s="155"/>
      <c r="AN528" s="155"/>
      <c r="AO528" s="155"/>
      <c r="AP528" s="155"/>
      <c r="AQ528" s="155"/>
      <c r="AR528" s="155"/>
      <c r="AS528" s="155"/>
      <c r="AT528" s="155"/>
      <c r="AU528" s="155"/>
      <c r="AV528" s="155"/>
      <c r="AW528" s="155"/>
      <c r="AX528" s="155"/>
      <c r="AY528" s="155"/>
      <c r="AZ528" s="155"/>
      <c r="BA528" s="155"/>
      <c r="BB528" s="155"/>
      <c r="BC528" s="155"/>
      <c r="BD528" s="155"/>
      <c r="BE528" s="155"/>
      <c r="BF528" s="155"/>
      <c r="BG528" s="155"/>
      <c r="BH528" s="155"/>
      <c r="BI528" s="155"/>
      <c r="BJ528" s="155"/>
      <c r="BK528" s="155"/>
      <c r="BL528" s="155"/>
      <c r="BM528" s="155"/>
      <c r="BN528" s="155"/>
      <c r="BO528" s="155"/>
      <c r="BP528" s="155"/>
      <c r="BQ528" s="155"/>
      <c r="BR528" s="155"/>
    </row>
    <row r="529" spans="1:70" s="156" customFormat="1" ht="114.75" customHeight="1" x14ac:dyDescent="0.25">
      <c r="A529" s="266">
        <v>87</v>
      </c>
      <c r="B529" s="267" t="s">
        <v>222</v>
      </c>
      <c r="C529" s="267" t="s">
        <v>929</v>
      </c>
      <c r="D529" s="270" t="s">
        <v>132</v>
      </c>
      <c r="E529" s="270" t="s">
        <v>938</v>
      </c>
      <c r="F529" s="270" t="s">
        <v>939</v>
      </c>
      <c r="G529" s="362" t="s">
        <v>940</v>
      </c>
      <c r="H529" s="364" t="s">
        <v>123</v>
      </c>
      <c r="I529" s="281">
        <v>71</v>
      </c>
      <c r="J529" s="275" t="str">
        <f>IF(I529&lt;=0,"",IF(I529&lt;=2,"Muy Baja",IF(I529&lt;=24,"Baja",IF(I529&lt;=500,"Media",IF(I529&lt;=5000,"Alta","Muy Alta")))))</f>
        <v>Media</v>
      </c>
      <c r="K529" s="277">
        <f>IF(J529="","",IF(J529="Muy Baja",0.2,IF(J529="Baja",0.4,IF(J529="Media",0.6,IF(J529="Alta",0.8,IF(J529="Muy Alta",1,))))))</f>
        <v>0.6</v>
      </c>
      <c r="L529" s="273" t="s">
        <v>97</v>
      </c>
      <c r="M529" s="277" t="str">
        <f>IF(NOT(ISERROR(MATCH(L529,'[15]Tabla Impacto'!$B$221:$B$223,0))),'[15]Tabla Impacto'!$F$223&amp;"Por favor no seleccionar los criterios de impacto(Afectación Económica o presupuestal y Pérdida Reputacional)",L529)</f>
        <v>El riesgo afecta la imagen de de la entidad con efecto publicitario sostenido a nivel de sector administrativo, nivel departamental o municipal</v>
      </c>
      <c r="N529" s="275" t="str">
        <f>+IF(OR(M529='[15]Tabla Impacto'!$C$11,M529='[15]Tabla Impacto'!$D$11),"Leve",IF(OR(M529='[15]Tabla Impacto'!$C$12,M529='[15]Tabla Impacto'!$D$12),"Menor",IF(OR(M529='[15]Tabla Impacto'!$C$13,M529='[15]Tabla Impacto'!$D$13),"Moderado",IF(OR(M529='[15]Tabla Impacto'!$C$14,M529='[15]Tabla Impacto'!$D$14),"Mayor",IF(OR(M529='[15]Tabla Impacto'!$C$15,M529='[15]Tabla Impacto'!$D$15),"Catastrófico","")))))</f>
        <v>Mayor</v>
      </c>
      <c r="O529" s="277">
        <f>IF(N529="","",IF(N529="Leve",0.2,IF(N529="Menor",0.4,IF(N529="Moderado",0.6,IF(N529="Mayor",0.8,IF(N529="Catastrófico",1,))))))</f>
        <v>0.8</v>
      </c>
      <c r="P529" s="279" t="str">
        <f>IF(OR(AND(J529="Muy Baja",N529="Leve"),AND(J529="Muy Baja",N529="Menor"),AND(J529="Baja",N529="Leve")),"Bajo",IF(OR(AND(J529="Muy baja",N529="Moderado"),AND(J529="Baja",N529="Menor"),AND(J529="Baja",N529="Moderado"),AND(J529="Media",N529="Leve"),AND(J529="Media",N529="Menor"),AND(J529="Media",N529="Moderado"),AND(J529="Alta",N529="Leve"),AND(J529="Alta",N529="Menor")),"Moderado",IF(OR(AND(J529="Muy Baja",N529="Mayor"),AND(J529="Baja",N529="Mayor"),AND(J529="Media",N529="Mayor"),AND(J529="Alta",N529="Moderado"),AND(J529="Alta",N529="Mayor"),AND(J529="Muy Alta",N529="Leve"),AND(J529="Muy Alta",N529="Menor"),AND(J529="Muy Alta",N529="Moderado"),AND(J529="Muy Alta",N529="Mayor")),"Alto",IF(OR(AND(J529="Muy Baja",N529="Catastrófico"),AND(J529="Baja",N529="Catastrófico"),AND(J529="Media",N529="Catastrófico"),AND(J529="Alta",N529="Catastrófico"),AND(J529="Muy Alta",N529="Catastrófico")),"Extremo",""))))</f>
        <v>Alto</v>
      </c>
      <c r="Q529" s="204">
        <v>1</v>
      </c>
      <c r="R529" s="112" t="s">
        <v>948</v>
      </c>
      <c r="S529" s="204" t="str">
        <f t="shared" si="182"/>
        <v>Probabilidad</v>
      </c>
      <c r="T529" s="113" t="s">
        <v>14</v>
      </c>
      <c r="U529" s="113" t="s">
        <v>9</v>
      </c>
      <c r="V529" s="167" t="str">
        <f t="shared" si="181"/>
        <v>40%</v>
      </c>
      <c r="W529" s="113" t="s">
        <v>19</v>
      </c>
      <c r="X529" s="113" t="s">
        <v>22</v>
      </c>
      <c r="Y529" s="113" t="s">
        <v>117</v>
      </c>
      <c r="Z529" s="165">
        <f t="shared" si="188"/>
        <v>0.36</v>
      </c>
      <c r="AA529" s="166" t="str">
        <f t="shared" si="183"/>
        <v>Baja</v>
      </c>
      <c r="AB529" s="167">
        <f t="shared" si="184"/>
        <v>0.36</v>
      </c>
      <c r="AC529" s="166" t="str">
        <f t="shared" si="185"/>
        <v>Mayor</v>
      </c>
      <c r="AD529" s="167">
        <f t="shared" si="187"/>
        <v>0.8</v>
      </c>
      <c r="AE529" s="168" t="str">
        <f t="shared" si="186"/>
        <v>Alto</v>
      </c>
      <c r="AF529" s="113" t="s">
        <v>134</v>
      </c>
      <c r="AG529" s="191"/>
      <c r="AH529" s="192"/>
      <c r="AI529" s="114"/>
      <c r="AJ529" s="114"/>
      <c r="AK529" s="191"/>
      <c r="AL529" s="192"/>
      <c r="AM529" s="155"/>
      <c r="AN529" s="155"/>
      <c r="AO529" s="155"/>
      <c r="AP529" s="155"/>
      <c r="AQ529" s="155"/>
      <c r="AR529" s="155"/>
      <c r="AS529" s="155"/>
      <c r="AT529" s="155"/>
      <c r="AU529" s="155"/>
      <c r="AV529" s="155"/>
      <c r="AW529" s="155"/>
      <c r="AX529" s="155"/>
      <c r="AY529" s="155"/>
      <c r="AZ529" s="155"/>
      <c r="BA529" s="155"/>
      <c r="BB529" s="155"/>
      <c r="BC529" s="155"/>
      <c r="BD529" s="155"/>
      <c r="BE529" s="155"/>
      <c r="BF529" s="155"/>
      <c r="BG529" s="155"/>
      <c r="BH529" s="155"/>
      <c r="BI529" s="155"/>
      <c r="BJ529" s="155"/>
      <c r="BK529" s="155"/>
      <c r="BL529" s="155"/>
      <c r="BM529" s="155"/>
      <c r="BN529" s="155"/>
      <c r="BO529" s="155"/>
      <c r="BP529" s="155"/>
      <c r="BQ529" s="155"/>
      <c r="BR529" s="155"/>
    </row>
    <row r="530" spans="1:70" s="156" customFormat="1" ht="114.75" customHeight="1" x14ac:dyDescent="0.25">
      <c r="A530" s="266"/>
      <c r="B530" s="294"/>
      <c r="C530" s="294"/>
      <c r="D530" s="270"/>
      <c r="E530" s="270"/>
      <c r="F530" s="270"/>
      <c r="G530" s="362"/>
      <c r="H530" s="270"/>
      <c r="I530" s="281"/>
      <c r="J530" s="275"/>
      <c r="K530" s="277"/>
      <c r="L530" s="273"/>
      <c r="M530" s="277">
        <f ca="1">IF(NOT(ISERROR(MATCH(L530,_xlfn.ANCHORARRAY(G541),0))),K543&amp;"Por favor no seleccionar los criterios de impacto",L530)</f>
        <v>0</v>
      </c>
      <c r="N530" s="275"/>
      <c r="O530" s="277"/>
      <c r="P530" s="279"/>
      <c r="Q530" s="204">
        <v>2</v>
      </c>
      <c r="R530" s="112" t="s">
        <v>949</v>
      </c>
      <c r="S530" s="204" t="str">
        <f t="shared" si="182"/>
        <v>Probabilidad</v>
      </c>
      <c r="T530" s="113" t="s">
        <v>14</v>
      </c>
      <c r="U530" s="113" t="s">
        <v>9</v>
      </c>
      <c r="V530" s="167" t="str">
        <f t="shared" si="181"/>
        <v>40%</v>
      </c>
      <c r="W530" s="113" t="s">
        <v>19</v>
      </c>
      <c r="X530" s="113" t="s">
        <v>22</v>
      </c>
      <c r="Y530" s="113" t="s">
        <v>117</v>
      </c>
      <c r="Z530" s="165">
        <f>IFERROR(IF(S530="Probabilidad",(K529-(+K529*V530)),IF(S530="Impacto",K529,"")),"")</f>
        <v>0.36</v>
      </c>
      <c r="AA530" s="166" t="str">
        <f t="shared" si="183"/>
        <v>Baja</v>
      </c>
      <c r="AB530" s="167">
        <f t="shared" si="184"/>
        <v>0.36</v>
      </c>
      <c r="AC530" s="166" t="str">
        <f t="shared" si="185"/>
        <v>Mayor</v>
      </c>
      <c r="AD530" s="167">
        <f>IFERROR(IF(S530="Impacto",(O529-(+O529*V530)),IF(S530="Probabilidad",O529,"")),"")</f>
        <v>0.8</v>
      </c>
      <c r="AE530" s="168" t="str">
        <f t="shared" si="186"/>
        <v>Alto</v>
      </c>
      <c r="AF530" s="113" t="s">
        <v>134</v>
      </c>
      <c r="AG530" s="191"/>
      <c r="AH530" s="192"/>
      <c r="AI530" s="114"/>
      <c r="AJ530" s="114"/>
      <c r="AK530" s="191"/>
      <c r="AL530" s="192"/>
      <c r="AM530" s="155"/>
      <c r="AN530" s="155"/>
      <c r="AO530" s="155"/>
      <c r="AP530" s="155"/>
      <c r="AQ530" s="155"/>
      <c r="AR530" s="155"/>
      <c r="AS530" s="155"/>
      <c r="AT530" s="155"/>
      <c r="AU530" s="155"/>
      <c r="AV530" s="155"/>
      <c r="AW530" s="155"/>
      <c r="AX530" s="155"/>
      <c r="AY530" s="155"/>
      <c r="AZ530" s="155"/>
      <c r="BA530" s="155"/>
      <c r="BB530" s="155"/>
      <c r="BC530" s="155"/>
      <c r="BD530" s="155"/>
      <c r="BE530" s="155"/>
      <c r="BF530" s="155"/>
      <c r="BG530" s="155"/>
      <c r="BH530" s="155"/>
      <c r="BI530" s="155"/>
      <c r="BJ530" s="155"/>
      <c r="BK530" s="155"/>
      <c r="BL530" s="155"/>
      <c r="BM530" s="155"/>
      <c r="BN530" s="155"/>
      <c r="BO530" s="155"/>
      <c r="BP530" s="155"/>
      <c r="BQ530" s="155"/>
      <c r="BR530" s="155"/>
    </row>
    <row r="531" spans="1:70" s="156" customFormat="1" ht="16.5" hidden="1" customHeight="1" x14ac:dyDescent="0.25">
      <c r="A531" s="266"/>
      <c r="B531" s="268"/>
      <c r="C531" s="268"/>
      <c r="D531" s="271"/>
      <c r="E531" s="271"/>
      <c r="F531" s="271"/>
      <c r="G531" s="363"/>
      <c r="H531" s="271"/>
      <c r="I531" s="266"/>
      <c r="J531" s="276"/>
      <c r="K531" s="278"/>
      <c r="L531" s="274"/>
      <c r="M531" s="278">
        <f ca="1">IF(NOT(ISERROR(MATCH(L531,_xlfn.ANCHORARRAY(G542),0))),K544&amp;"Por favor no seleccionar los criterios de impacto",L531)</f>
        <v>0</v>
      </c>
      <c r="N531" s="276"/>
      <c r="O531" s="278"/>
      <c r="P531" s="280"/>
      <c r="Q531" s="204">
        <v>3</v>
      </c>
      <c r="R531" s="112"/>
      <c r="S531" s="204" t="str">
        <f t="shared" si="182"/>
        <v/>
      </c>
      <c r="T531" s="113"/>
      <c r="U531" s="113"/>
      <c r="V531" s="167" t="str">
        <f t="shared" si="181"/>
        <v/>
      </c>
      <c r="W531" s="113"/>
      <c r="X531" s="113"/>
      <c r="Y531" s="113"/>
      <c r="Z531" s="165" t="str">
        <f>IFERROR(IF(S531="Probabilidad",(K529-(+K529*V531)),IF(S531="Impacto",K529,"")),"")</f>
        <v/>
      </c>
      <c r="AA531" s="166" t="str">
        <f t="shared" si="183"/>
        <v/>
      </c>
      <c r="AB531" s="167" t="str">
        <f t="shared" si="184"/>
        <v/>
      </c>
      <c r="AC531" s="166" t="str">
        <f t="shared" si="185"/>
        <v/>
      </c>
      <c r="AD531" s="167" t="str">
        <f t="shared" si="187"/>
        <v/>
      </c>
      <c r="AE531" s="168" t="str">
        <f t="shared" si="186"/>
        <v/>
      </c>
      <c r="AF531" s="113"/>
      <c r="AG531" s="191"/>
      <c r="AH531" s="192"/>
      <c r="AI531" s="114"/>
      <c r="AJ531" s="114"/>
      <c r="AK531" s="191"/>
      <c r="AL531" s="192"/>
      <c r="AM531" s="155"/>
      <c r="AN531" s="155"/>
      <c r="AO531" s="155"/>
      <c r="AP531" s="155"/>
      <c r="AQ531" s="155"/>
      <c r="AR531" s="155"/>
      <c r="AS531" s="155"/>
      <c r="AT531" s="155"/>
      <c r="AU531" s="155"/>
      <c r="AV531" s="155"/>
      <c r="AW531" s="155"/>
      <c r="AX531" s="155"/>
      <c r="AY531" s="155"/>
      <c r="AZ531" s="155"/>
      <c r="BA531" s="155"/>
      <c r="BB531" s="155"/>
      <c r="BC531" s="155"/>
      <c r="BD531" s="155"/>
      <c r="BE531" s="155"/>
      <c r="BF531" s="155"/>
      <c r="BG531" s="155"/>
      <c r="BH531" s="155"/>
      <c r="BI531" s="155"/>
      <c r="BJ531" s="155"/>
      <c r="BK531" s="155"/>
      <c r="BL531" s="155"/>
      <c r="BM531" s="155"/>
      <c r="BN531" s="155"/>
      <c r="BO531" s="155"/>
      <c r="BP531" s="155"/>
      <c r="BQ531" s="155"/>
      <c r="BR531" s="155"/>
    </row>
    <row r="532" spans="1:70" s="156" customFormat="1" ht="16.5" hidden="1" customHeight="1" x14ac:dyDescent="0.25">
      <c r="A532" s="266"/>
      <c r="B532" s="268"/>
      <c r="C532" s="268"/>
      <c r="D532" s="271"/>
      <c r="E532" s="271"/>
      <c r="F532" s="271"/>
      <c r="G532" s="363"/>
      <c r="H532" s="271"/>
      <c r="I532" s="266"/>
      <c r="J532" s="276"/>
      <c r="K532" s="278"/>
      <c r="L532" s="274"/>
      <c r="M532" s="278">
        <f ca="1">IF(NOT(ISERROR(MATCH(L532,_xlfn.ANCHORARRAY(G543),0))),K545&amp;"Por favor no seleccionar los criterios de impacto",L532)</f>
        <v>0</v>
      </c>
      <c r="N532" s="276"/>
      <c r="O532" s="278"/>
      <c r="P532" s="280"/>
      <c r="Q532" s="204">
        <v>4</v>
      </c>
      <c r="R532" s="112"/>
      <c r="S532" s="204" t="str">
        <f t="shared" si="182"/>
        <v/>
      </c>
      <c r="T532" s="113"/>
      <c r="U532" s="113"/>
      <c r="V532" s="167" t="str">
        <f t="shared" si="181"/>
        <v/>
      </c>
      <c r="W532" s="113"/>
      <c r="X532" s="113"/>
      <c r="Y532" s="113"/>
      <c r="Z532" s="165" t="str">
        <f>IFERROR(IF(S532="Probabilidad",(K529-(+K529*V532)),IF(S532="Impacto",K529,"")),"")</f>
        <v/>
      </c>
      <c r="AA532" s="166" t="str">
        <f t="shared" si="183"/>
        <v/>
      </c>
      <c r="AB532" s="167" t="str">
        <f t="shared" si="184"/>
        <v/>
      </c>
      <c r="AC532" s="166" t="str">
        <f t="shared" si="185"/>
        <v/>
      </c>
      <c r="AD532" s="167" t="str">
        <f t="shared" si="187"/>
        <v/>
      </c>
      <c r="AE532" s="168" t="str">
        <f t="shared" si="186"/>
        <v/>
      </c>
      <c r="AF532" s="113"/>
      <c r="AG532" s="191"/>
      <c r="AH532" s="192"/>
      <c r="AI532" s="114"/>
      <c r="AJ532" s="114"/>
      <c r="AK532" s="191"/>
      <c r="AL532" s="192"/>
      <c r="AM532" s="155"/>
      <c r="AN532" s="155"/>
      <c r="AO532" s="155"/>
      <c r="AP532" s="155"/>
      <c r="AQ532" s="155"/>
      <c r="AR532" s="155"/>
      <c r="AS532" s="155"/>
      <c r="AT532" s="155"/>
      <c r="AU532" s="155"/>
      <c r="AV532" s="155"/>
      <c r="AW532" s="155"/>
      <c r="AX532" s="155"/>
      <c r="AY532" s="155"/>
      <c r="AZ532" s="155"/>
      <c r="BA532" s="155"/>
      <c r="BB532" s="155"/>
      <c r="BC532" s="155"/>
      <c r="BD532" s="155"/>
      <c r="BE532" s="155"/>
      <c r="BF532" s="155"/>
      <c r="BG532" s="155"/>
      <c r="BH532" s="155"/>
      <c r="BI532" s="155"/>
      <c r="BJ532" s="155"/>
      <c r="BK532" s="155"/>
      <c r="BL532" s="155"/>
      <c r="BM532" s="155"/>
      <c r="BN532" s="155"/>
      <c r="BO532" s="155"/>
      <c r="BP532" s="155"/>
      <c r="BQ532" s="155"/>
      <c r="BR532" s="155"/>
    </row>
    <row r="533" spans="1:70" s="156" customFormat="1" ht="16.5" hidden="1" customHeight="1" x14ac:dyDescent="0.25">
      <c r="A533" s="266"/>
      <c r="B533" s="268"/>
      <c r="C533" s="268"/>
      <c r="D533" s="271"/>
      <c r="E533" s="271"/>
      <c r="F533" s="271"/>
      <c r="G533" s="363"/>
      <c r="H533" s="271"/>
      <c r="I533" s="266"/>
      <c r="J533" s="276"/>
      <c r="K533" s="278"/>
      <c r="L533" s="274"/>
      <c r="M533" s="278">
        <f ca="1">IF(NOT(ISERROR(MATCH(L533,_xlfn.ANCHORARRAY(G544),0))),K546&amp;"Por favor no seleccionar los criterios de impacto",L533)</f>
        <v>0</v>
      </c>
      <c r="N533" s="276"/>
      <c r="O533" s="278"/>
      <c r="P533" s="280"/>
      <c r="Q533" s="204">
        <v>5</v>
      </c>
      <c r="R533" s="112"/>
      <c r="S533" s="204" t="str">
        <f t="shared" si="182"/>
        <v/>
      </c>
      <c r="T533" s="113"/>
      <c r="U533" s="113"/>
      <c r="V533" s="167" t="str">
        <f t="shared" si="181"/>
        <v/>
      </c>
      <c r="W533" s="113"/>
      <c r="X533" s="113"/>
      <c r="Y533" s="113"/>
      <c r="Z533" s="165" t="str">
        <f>IFERROR(IF(S533="Probabilidad",(K529-(+K529*V533)),IF(S533="Impacto",K529,"")),"")</f>
        <v/>
      </c>
      <c r="AA533" s="166" t="str">
        <f t="shared" si="183"/>
        <v/>
      </c>
      <c r="AB533" s="167" t="str">
        <f t="shared" si="184"/>
        <v/>
      </c>
      <c r="AC533" s="166" t="str">
        <f t="shared" si="185"/>
        <v/>
      </c>
      <c r="AD533" s="167" t="str">
        <f t="shared" si="187"/>
        <v/>
      </c>
      <c r="AE533" s="168" t="str">
        <f t="shared" si="186"/>
        <v/>
      </c>
      <c r="AF533" s="113"/>
      <c r="AG533" s="191"/>
      <c r="AH533" s="192"/>
      <c r="AI533" s="114"/>
      <c r="AJ533" s="114"/>
      <c r="AK533" s="191"/>
      <c r="AL533" s="192"/>
      <c r="AM533" s="155"/>
      <c r="AN533" s="155"/>
      <c r="AO533" s="155"/>
      <c r="AP533" s="155"/>
      <c r="AQ533" s="155"/>
      <c r="AR533" s="155"/>
      <c r="AS533" s="155"/>
      <c r="AT533" s="155"/>
      <c r="AU533" s="155"/>
      <c r="AV533" s="155"/>
      <c r="AW533" s="155"/>
      <c r="AX533" s="155"/>
      <c r="AY533" s="155"/>
      <c r="AZ533" s="155"/>
      <c r="BA533" s="155"/>
      <c r="BB533" s="155"/>
      <c r="BC533" s="155"/>
      <c r="BD533" s="155"/>
      <c r="BE533" s="155"/>
      <c r="BF533" s="155"/>
      <c r="BG533" s="155"/>
      <c r="BH533" s="155"/>
      <c r="BI533" s="155"/>
      <c r="BJ533" s="155"/>
      <c r="BK533" s="155"/>
      <c r="BL533" s="155"/>
      <c r="BM533" s="155"/>
      <c r="BN533" s="155"/>
      <c r="BO533" s="155"/>
      <c r="BP533" s="155"/>
      <c r="BQ533" s="155"/>
      <c r="BR533" s="155"/>
    </row>
    <row r="534" spans="1:70" s="156" customFormat="1" ht="16.5" hidden="1" customHeight="1" x14ac:dyDescent="0.25">
      <c r="A534" s="266"/>
      <c r="B534" s="269"/>
      <c r="C534" s="269"/>
      <c r="D534" s="271"/>
      <c r="E534" s="271"/>
      <c r="F534" s="271"/>
      <c r="G534" s="363"/>
      <c r="H534" s="271"/>
      <c r="I534" s="266"/>
      <c r="J534" s="276"/>
      <c r="K534" s="278"/>
      <c r="L534" s="274"/>
      <c r="M534" s="278">
        <f ca="1">IF(NOT(ISERROR(MATCH(L534,_xlfn.ANCHORARRAY(G545),0))),K547&amp;"Por favor no seleccionar los criterios de impacto",L534)</f>
        <v>0</v>
      </c>
      <c r="N534" s="276"/>
      <c r="O534" s="278"/>
      <c r="P534" s="280"/>
      <c r="Q534" s="204">
        <v>6</v>
      </c>
      <c r="R534" s="112"/>
      <c r="S534" s="204" t="str">
        <f t="shared" si="182"/>
        <v/>
      </c>
      <c r="T534" s="113"/>
      <c r="U534" s="113"/>
      <c r="V534" s="167" t="str">
        <f t="shared" si="181"/>
        <v/>
      </c>
      <c r="W534" s="113"/>
      <c r="X534" s="113"/>
      <c r="Y534" s="113"/>
      <c r="Z534" s="165" t="str">
        <f>IFERROR(IF(S534="Probabilidad",(K529-(+K529*V534)),IF(S534="Impacto",K529,"")),"")</f>
        <v/>
      </c>
      <c r="AA534" s="166" t="str">
        <f t="shared" si="183"/>
        <v/>
      </c>
      <c r="AB534" s="167" t="str">
        <f t="shared" si="184"/>
        <v/>
      </c>
      <c r="AC534" s="166" t="str">
        <f t="shared" si="185"/>
        <v/>
      </c>
      <c r="AD534" s="167" t="str">
        <f t="shared" si="187"/>
        <v/>
      </c>
      <c r="AE534" s="168" t="str">
        <f t="shared" si="186"/>
        <v/>
      </c>
      <c r="AF534" s="113"/>
      <c r="AG534" s="191"/>
      <c r="AH534" s="192"/>
      <c r="AI534" s="114"/>
      <c r="AJ534" s="114"/>
      <c r="AK534" s="191"/>
      <c r="AL534" s="192"/>
      <c r="AM534" s="155"/>
      <c r="AN534" s="155"/>
      <c r="AO534" s="155"/>
      <c r="AP534" s="155"/>
      <c r="AQ534" s="155"/>
      <c r="AR534" s="155"/>
      <c r="AS534" s="155"/>
      <c r="AT534" s="155"/>
      <c r="AU534" s="155"/>
      <c r="AV534" s="155"/>
      <c r="AW534" s="155"/>
      <c r="AX534" s="155"/>
      <c r="AY534" s="155"/>
      <c r="AZ534" s="155"/>
      <c r="BA534" s="155"/>
      <c r="BB534" s="155"/>
      <c r="BC534" s="155"/>
      <c r="BD534" s="155"/>
      <c r="BE534" s="155"/>
      <c r="BF534" s="155"/>
      <c r="BG534" s="155"/>
      <c r="BH534" s="155"/>
      <c r="BI534" s="155"/>
      <c r="BJ534" s="155"/>
      <c r="BK534" s="155"/>
      <c r="BL534" s="155"/>
      <c r="BM534" s="155"/>
      <c r="BN534" s="155"/>
      <c r="BO534" s="155"/>
      <c r="BP534" s="155"/>
      <c r="BQ534" s="155"/>
      <c r="BR534" s="155"/>
    </row>
    <row r="535" spans="1:70" ht="38.25" hidden="1" customHeight="1" x14ac:dyDescent="0.3">
      <c r="A535" s="157"/>
      <c r="B535" s="158"/>
      <c r="C535" s="159"/>
      <c r="D535" s="287" t="s">
        <v>129</v>
      </c>
      <c r="E535" s="288"/>
      <c r="F535" s="288"/>
      <c r="G535" s="288"/>
      <c r="H535" s="288"/>
      <c r="I535" s="288"/>
      <c r="J535" s="288"/>
      <c r="K535" s="288"/>
      <c r="L535" s="288"/>
      <c r="M535" s="288"/>
      <c r="N535" s="288"/>
      <c r="O535" s="288"/>
      <c r="P535" s="288"/>
      <c r="Q535" s="288"/>
      <c r="R535" s="288"/>
      <c r="S535" s="288"/>
      <c r="T535" s="288"/>
      <c r="U535" s="288"/>
      <c r="V535" s="288"/>
      <c r="W535" s="288"/>
      <c r="X535" s="288"/>
      <c r="Y535" s="288"/>
      <c r="Z535" s="288"/>
      <c r="AA535" s="288"/>
      <c r="AB535" s="288"/>
      <c r="AC535" s="288"/>
      <c r="AD535" s="288"/>
      <c r="AE535" s="288"/>
      <c r="AF535" s="288"/>
      <c r="AG535" s="288"/>
      <c r="AH535" s="288"/>
      <c r="AI535" s="288"/>
      <c r="AJ535" s="288"/>
      <c r="AK535" s="288"/>
      <c r="AL535" s="289"/>
    </row>
    <row r="537" spans="1:70" x14ac:dyDescent="0.3">
      <c r="A537" s="150"/>
      <c r="B537" s="160"/>
      <c r="C537" s="150"/>
      <c r="D537" s="161" t="s">
        <v>141</v>
      </c>
      <c r="E537" s="150"/>
      <c r="F537" s="150"/>
      <c r="H537" s="150"/>
    </row>
  </sheetData>
  <sheetProtection algorithmName="SHA-512" hashValue="AC2oU4DzELUNGcLYG2TusbtT3UlVvug/w5IGJuMnBL3rTYG8KyFi2D/jiE1uBiBexceYXpwa9SUa6oJOKuY3ow==" saltValue="ZU/DpGMqGDvwF7vOFhe3vA==" spinCount="100000" sheet="1" objects="1" scenarios="1"/>
  <autoFilter ref="A12:BR535">
    <filterColumn colId="17">
      <customFilters>
        <customFilter operator="notEqual" val=" "/>
      </customFilters>
    </filterColumn>
  </autoFilter>
  <dataConsolidate/>
  <mergeCells count="1449">
    <mergeCell ref="J523:J528"/>
    <mergeCell ref="K523:K528"/>
    <mergeCell ref="L523:L528"/>
    <mergeCell ref="M523:M528"/>
    <mergeCell ref="N523:N528"/>
    <mergeCell ref="O523:O528"/>
    <mergeCell ref="P523:P528"/>
    <mergeCell ref="A529:A534"/>
    <mergeCell ref="B529:B534"/>
    <mergeCell ref="C529:C534"/>
    <mergeCell ref="D529:D534"/>
    <mergeCell ref="E529:E534"/>
    <mergeCell ref="F529:F534"/>
    <mergeCell ref="G529:G534"/>
    <mergeCell ref="H529:H534"/>
    <mergeCell ref="I529:I534"/>
    <mergeCell ref="J529:J534"/>
    <mergeCell ref="K529:K534"/>
    <mergeCell ref="L529:L534"/>
    <mergeCell ref="M529:M534"/>
    <mergeCell ref="N529:N534"/>
    <mergeCell ref="O529:O534"/>
    <mergeCell ref="P529:P534"/>
    <mergeCell ref="A523:A528"/>
    <mergeCell ref="B523:B528"/>
    <mergeCell ref="C523:C528"/>
    <mergeCell ref="D523:D528"/>
    <mergeCell ref="E523:E528"/>
    <mergeCell ref="F523:F528"/>
    <mergeCell ref="G523:G528"/>
    <mergeCell ref="H523:H528"/>
    <mergeCell ref="I523:I528"/>
    <mergeCell ref="J511:J516"/>
    <mergeCell ref="K511:K516"/>
    <mergeCell ref="L511:L516"/>
    <mergeCell ref="M511:M516"/>
    <mergeCell ref="N511:N516"/>
    <mergeCell ref="O511:O516"/>
    <mergeCell ref="P511:P516"/>
    <mergeCell ref="A517:A522"/>
    <mergeCell ref="B517:B522"/>
    <mergeCell ref="C517:C522"/>
    <mergeCell ref="D517:D522"/>
    <mergeCell ref="E517:E522"/>
    <mergeCell ref="F517:F522"/>
    <mergeCell ref="G517:G522"/>
    <mergeCell ref="H517:H522"/>
    <mergeCell ref="I517:I522"/>
    <mergeCell ref="J517:J522"/>
    <mergeCell ref="K517:K522"/>
    <mergeCell ref="L517:L522"/>
    <mergeCell ref="M517:M522"/>
    <mergeCell ref="N517:N522"/>
    <mergeCell ref="O517:O522"/>
    <mergeCell ref="P517:P522"/>
    <mergeCell ref="A511:A516"/>
    <mergeCell ref="B511:B516"/>
    <mergeCell ref="C511:C516"/>
    <mergeCell ref="D511:D516"/>
    <mergeCell ref="E511:E516"/>
    <mergeCell ref="F511:F516"/>
    <mergeCell ref="G511:G516"/>
    <mergeCell ref="H511:H516"/>
    <mergeCell ref="I511:I516"/>
    <mergeCell ref="J499:J504"/>
    <mergeCell ref="K499:K504"/>
    <mergeCell ref="L499:L504"/>
    <mergeCell ref="M499:M504"/>
    <mergeCell ref="N499:N504"/>
    <mergeCell ref="O499:O504"/>
    <mergeCell ref="P499:P504"/>
    <mergeCell ref="A505:A510"/>
    <mergeCell ref="B505:B510"/>
    <mergeCell ref="C505:C510"/>
    <mergeCell ref="D505:D510"/>
    <mergeCell ref="E505:E510"/>
    <mergeCell ref="F505:F510"/>
    <mergeCell ref="G505:G510"/>
    <mergeCell ref="H505:H510"/>
    <mergeCell ref="I505:I510"/>
    <mergeCell ref="J505:J510"/>
    <mergeCell ref="K505:K510"/>
    <mergeCell ref="L505:L510"/>
    <mergeCell ref="M505:M510"/>
    <mergeCell ref="N505:N510"/>
    <mergeCell ref="O505:O510"/>
    <mergeCell ref="P505:P510"/>
    <mergeCell ref="A499:A504"/>
    <mergeCell ref="B499:B504"/>
    <mergeCell ref="C499:C504"/>
    <mergeCell ref="D499:D504"/>
    <mergeCell ref="E499:E504"/>
    <mergeCell ref="F499:F504"/>
    <mergeCell ref="G499:G504"/>
    <mergeCell ref="H499:H504"/>
    <mergeCell ref="I499:I504"/>
    <mergeCell ref="J487:J492"/>
    <mergeCell ref="K487:K492"/>
    <mergeCell ref="L487:L492"/>
    <mergeCell ref="M487:M492"/>
    <mergeCell ref="N487:N492"/>
    <mergeCell ref="O487:O492"/>
    <mergeCell ref="P487:P492"/>
    <mergeCell ref="A493:A498"/>
    <mergeCell ref="B493:B498"/>
    <mergeCell ref="C493:C498"/>
    <mergeCell ref="D493:D498"/>
    <mergeCell ref="E493:E498"/>
    <mergeCell ref="F493:F498"/>
    <mergeCell ref="G493:G498"/>
    <mergeCell ref="H493:H498"/>
    <mergeCell ref="I493:I498"/>
    <mergeCell ref="J493:J498"/>
    <mergeCell ref="K493:K498"/>
    <mergeCell ref="L493:L498"/>
    <mergeCell ref="M493:M498"/>
    <mergeCell ref="N493:N498"/>
    <mergeCell ref="O493:O498"/>
    <mergeCell ref="P493:P498"/>
    <mergeCell ref="A487:A492"/>
    <mergeCell ref="B487:B492"/>
    <mergeCell ref="C487:C492"/>
    <mergeCell ref="D487:D492"/>
    <mergeCell ref="E487:E492"/>
    <mergeCell ref="F487:F492"/>
    <mergeCell ref="G487:G492"/>
    <mergeCell ref="H487:H492"/>
    <mergeCell ref="I487:I492"/>
    <mergeCell ref="J475:J480"/>
    <mergeCell ref="K475:K480"/>
    <mergeCell ref="L475:L480"/>
    <mergeCell ref="M475:M480"/>
    <mergeCell ref="N475:N480"/>
    <mergeCell ref="O475:O480"/>
    <mergeCell ref="P475:P480"/>
    <mergeCell ref="A481:A486"/>
    <mergeCell ref="B481:B486"/>
    <mergeCell ref="C481:C486"/>
    <mergeCell ref="D481:D486"/>
    <mergeCell ref="E481:E486"/>
    <mergeCell ref="F481:F486"/>
    <mergeCell ref="G481:G486"/>
    <mergeCell ref="H481:H486"/>
    <mergeCell ref="I481:I486"/>
    <mergeCell ref="J481:J486"/>
    <mergeCell ref="K481:K486"/>
    <mergeCell ref="L481:L486"/>
    <mergeCell ref="M481:M486"/>
    <mergeCell ref="N481:N486"/>
    <mergeCell ref="O481:O486"/>
    <mergeCell ref="P481:P486"/>
    <mergeCell ref="A475:A480"/>
    <mergeCell ref="B475:B480"/>
    <mergeCell ref="C475:C480"/>
    <mergeCell ref="D475:D480"/>
    <mergeCell ref="E475:E480"/>
    <mergeCell ref="F475:F480"/>
    <mergeCell ref="G475:G480"/>
    <mergeCell ref="H475:H480"/>
    <mergeCell ref="I475:I480"/>
    <mergeCell ref="J463:J468"/>
    <mergeCell ref="K463:K468"/>
    <mergeCell ref="L463:L468"/>
    <mergeCell ref="M463:M468"/>
    <mergeCell ref="N463:N468"/>
    <mergeCell ref="O463:O468"/>
    <mergeCell ref="P463:P468"/>
    <mergeCell ref="A469:A474"/>
    <mergeCell ref="B469:B474"/>
    <mergeCell ref="C469:C474"/>
    <mergeCell ref="D469:D474"/>
    <mergeCell ref="E469:E474"/>
    <mergeCell ref="F469:F474"/>
    <mergeCell ref="G469:G474"/>
    <mergeCell ref="H469:H474"/>
    <mergeCell ref="I469:I474"/>
    <mergeCell ref="J469:J474"/>
    <mergeCell ref="K469:K474"/>
    <mergeCell ref="L469:L474"/>
    <mergeCell ref="M469:M474"/>
    <mergeCell ref="N469:N474"/>
    <mergeCell ref="O469:O474"/>
    <mergeCell ref="P469:P474"/>
    <mergeCell ref="A463:A468"/>
    <mergeCell ref="B463:B468"/>
    <mergeCell ref="C463:C468"/>
    <mergeCell ref="D463:D468"/>
    <mergeCell ref="E463:E468"/>
    <mergeCell ref="F463:F468"/>
    <mergeCell ref="G463:G468"/>
    <mergeCell ref="H463:H468"/>
    <mergeCell ref="I463:I468"/>
    <mergeCell ref="J451:J456"/>
    <mergeCell ref="K451:K456"/>
    <mergeCell ref="L451:L456"/>
    <mergeCell ref="M451:M456"/>
    <mergeCell ref="N451:N456"/>
    <mergeCell ref="O451:O456"/>
    <mergeCell ref="P451:P456"/>
    <mergeCell ref="A457:A462"/>
    <mergeCell ref="B457:B462"/>
    <mergeCell ref="C457:C462"/>
    <mergeCell ref="D457:D462"/>
    <mergeCell ref="E457:E462"/>
    <mergeCell ref="F457:F462"/>
    <mergeCell ref="G457:G462"/>
    <mergeCell ref="H457:H462"/>
    <mergeCell ref="I457:I462"/>
    <mergeCell ref="J457:J462"/>
    <mergeCell ref="K457:K462"/>
    <mergeCell ref="L457:L462"/>
    <mergeCell ref="M457:M462"/>
    <mergeCell ref="N457:N462"/>
    <mergeCell ref="O457:O462"/>
    <mergeCell ref="P457:P462"/>
    <mergeCell ref="A451:A456"/>
    <mergeCell ref="B451:B456"/>
    <mergeCell ref="C451:C456"/>
    <mergeCell ref="D451:D456"/>
    <mergeCell ref="E451:E456"/>
    <mergeCell ref="F451:F456"/>
    <mergeCell ref="G451:G456"/>
    <mergeCell ref="H451:H456"/>
    <mergeCell ref="I451:I456"/>
    <mergeCell ref="J439:J444"/>
    <mergeCell ref="K439:K444"/>
    <mergeCell ref="L439:L444"/>
    <mergeCell ref="M439:M444"/>
    <mergeCell ref="N439:N444"/>
    <mergeCell ref="O439:O444"/>
    <mergeCell ref="P439:P444"/>
    <mergeCell ref="A445:A450"/>
    <mergeCell ref="B445:B450"/>
    <mergeCell ref="C445:C450"/>
    <mergeCell ref="D445:D450"/>
    <mergeCell ref="E445:E450"/>
    <mergeCell ref="F445:F450"/>
    <mergeCell ref="G445:G450"/>
    <mergeCell ref="H445:H450"/>
    <mergeCell ref="I445:I450"/>
    <mergeCell ref="J445:J450"/>
    <mergeCell ref="K445:K450"/>
    <mergeCell ref="L445:L450"/>
    <mergeCell ref="M445:M450"/>
    <mergeCell ref="N445:N450"/>
    <mergeCell ref="O445:O450"/>
    <mergeCell ref="P445:P450"/>
    <mergeCell ref="A439:A444"/>
    <mergeCell ref="B439:B444"/>
    <mergeCell ref="C439:C444"/>
    <mergeCell ref="D439:D444"/>
    <mergeCell ref="E439:E444"/>
    <mergeCell ref="F439:F444"/>
    <mergeCell ref="G439:G444"/>
    <mergeCell ref="H439:H444"/>
    <mergeCell ref="I439:I444"/>
    <mergeCell ref="J427:J432"/>
    <mergeCell ref="K427:K432"/>
    <mergeCell ref="L427:L432"/>
    <mergeCell ref="M427:M432"/>
    <mergeCell ref="N427:N432"/>
    <mergeCell ref="O427:O432"/>
    <mergeCell ref="P427:P432"/>
    <mergeCell ref="A433:A438"/>
    <mergeCell ref="B433:B438"/>
    <mergeCell ref="C433:C438"/>
    <mergeCell ref="D433:D438"/>
    <mergeCell ref="E433:E438"/>
    <mergeCell ref="F433:F438"/>
    <mergeCell ref="G433:G438"/>
    <mergeCell ref="H433:H438"/>
    <mergeCell ref="I433:I438"/>
    <mergeCell ref="J433:J438"/>
    <mergeCell ref="K433:K438"/>
    <mergeCell ref="L433:L438"/>
    <mergeCell ref="M433:M438"/>
    <mergeCell ref="N433:N438"/>
    <mergeCell ref="O433:O438"/>
    <mergeCell ref="P433:P438"/>
    <mergeCell ref="A427:A432"/>
    <mergeCell ref="B427:B432"/>
    <mergeCell ref="C427:C432"/>
    <mergeCell ref="D427:D432"/>
    <mergeCell ref="E427:E432"/>
    <mergeCell ref="F427:F432"/>
    <mergeCell ref="G427:G432"/>
    <mergeCell ref="H427:H432"/>
    <mergeCell ref="I427:I432"/>
    <mergeCell ref="J415:J420"/>
    <mergeCell ref="K415:K420"/>
    <mergeCell ref="L415:L420"/>
    <mergeCell ref="M415:M420"/>
    <mergeCell ref="N415:N420"/>
    <mergeCell ref="O415:O420"/>
    <mergeCell ref="P415:P420"/>
    <mergeCell ref="A421:A426"/>
    <mergeCell ref="B421:B426"/>
    <mergeCell ref="C421:C426"/>
    <mergeCell ref="D421:D426"/>
    <mergeCell ref="E421:E426"/>
    <mergeCell ref="F421:F426"/>
    <mergeCell ref="G421:G426"/>
    <mergeCell ref="H421:H426"/>
    <mergeCell ref="I421:I426"/>
    <mergeCell ref="J421:J426"/>
    <mergeCell ref="K421:K426"/>
    <mergeCell ref="L421:L426"/>
    <mergeCell ref="M421:M426"/>
    <mergeCell ref="N421:N426"/>
    <mergeCell ref="O421:O426"/>
    <mergeCell ref="P421:P426"/>
    <mergeCell ref="A415:A420"/>
    <mergeCell ref="B415:B420"/>
    <mergeCell ref="C415:C420"/>
    <mergeCell ref="D415:D420"/>
    <mergeCell ref="E415:E420"/>
    <mergeCell ref="F415:F420"/>
    <mergeCell ref="G415:G420"/>
    <mergeCell ref="H415:H420"/>
    <mergeCell ref="I415:I420"/>
    <mergeCell ref="J403:J408"/>
    <mergeCell ref="K403:K408"/>
    <mergeCell ref="L403:L408"/>
    <mergeCell ref="M403:M408"/>
    <mergeCell ref="N403:N408"/>
    <mergeCell ref="O403:O408"/>
    <mergeCell ref="P403:P408"/>
    <mergeCell ref="A409:A414"/>
    <mergeCell ref="B409:B414"/>
    <mergeCell ref="C409:C414"/>
    <mergeCell ref="D409:D414"/>
    <mergeCell ref="E409:E414"/>
    <mergeCell ref="F409:F414"/>
    <mergeCell ref="G409:G414"/>
    <mergeCell ref="H409:H414"/>
    <mergeCell ref="I409:I414"/>
    <mergeCell ref="J409:J414"/>
    <mergeCell ref="K409:K414"/>
    <mergeCell ref="L409:L414"/>
    <mergeCell ref="M409:M414"/>
    <mergeCell ref="N409:N414"/>
    <mergeCell ref="O409:O414"/>
    <mergeCell ref="P409:P414"/>
    <mergeCell ref="A403:A408"/>
    <mergeCell ref="B403:B408"/>
    <mergeCell ref="C403:C408"/>
    <mergeCell ref="D403:D408"/>
    <mergeCell ref="E403:E408"/>
    <mergeCell ref="F403:F408"/>
    <mergeCell ref="G403:G408"/>
    <mergeCell ref="H403:H408"/>
    <mergeCell ref="I403:I408"/>
    <mergeCell ref="J391:J396"/>
    <mergeCell ref="K391:K396"/>
    <mergeCell ref="L391:L396"/>
    <mergeCell ref="M391:M396"/>
    <mergeCell ref="N391:N396"/>
    <mergeCell ref="O391:O396"/>
    <mergeCell ref="P391:P396"/>
    <mergeCell ref="A397:A402"/>
    <mergeCell ref="B397:B402"/>
    <mergeCell ref="C397:C402"/>
    <mergeCell ref="D397:D402"/>
    <mergeCell ref="E397:E402"/>
    <mergeCell ref="F397:F402"/>
    <mergeCell ref="G397:G402"/>
    <mergeCell ref="H397:H402"/>
    <mergeCell ref="I397:I402"/>
    <mergeCell ref="J397:J402"/>
    <mergeCell ref="K397:K402"/>
    <mergeCell ref="L397:L402"/>
    <mergeCell ref="M397:M402"/>
    <mergeCell ref="N397:N402"/>
    <mergeCell ref="O397:O402"/>
    <mergeCell ref="P397:P402"/>
    <mergeCell ref="A391:A396"/>
    <mergeCell ref="B391:B396"/>
    <mergeCell ref="C391:C396"/>
    <mergeCell ref="D391:D396"/>
    <mergeCell ref="E391:E396"/>
    <mergeCell ref="F391:F396"/>
    <mergeCell ref="G391:G396"/>
    <mergeCell ref="H391:H396"/>
    <mergeCell ref="I391:I396"/>
    <mergeCell ref="J379:J384"/>
    <mergeCell ref="K379:K384"/>
    <mergeCell ref="L379:L384"/>
    <mergeCell ref="M379:M384"/>
    <mergeCell ref="N379:N384"/>
    <mergeCell ref="O379:O384"/>
    <mergeCell ref="P379:P384"/>
    <mergeCell ref="A385:A390"/>
    <mergeCell ref="B385:B390"/>
    <mergeCell ref="C385:C390"/>
    <mergeCell ref="D385:D390"/>
    <mergeCell ref="E385:E390"/>
    <mergeCell ref="F385:F390"/>
    <mergeCell ref="G385:G390"/>
    <mergeCell ref="H385:H390"/>
    <mergeCell ref="I385:I390"/>
    <mergeCell ref="J385:J390"/>
    <mergeCell ref="K385:K390"/>
    <mergeCell ref="L385:L390"/>
    <mergeCell ref="M385:M390"/>
    <mergeCell ref="N385:N390"/>
    <mergeCell ref="O385:O390"/>
    <mergeCell ref="P385:P390"/>
    <mergeCell ref="A379:A384"/>
    <mergeCell ref="B379:B384"/>
    <mergeCell ref="C379:C384"/>
    <mergeCell ref="D379:D384"/>
    <mergeCell ref="E379:E384"/>
    <mergeCell ref="F379:F384"/>
    <mergeCell ref="G379:G384"/>
    <mergeCell ref="H379:H384"/>
    <mergeCell ref="I379:I384"/>
    <mergeCell ref="J367:J372"/>
    <mergeCell ref="K367:K372"/>
    <mergeCell ref="L367:L372"/>
    <mergeCell ref="M367:M372"/>
    <mergeCell ref="N367:N372"/>
    <mergeCell ref="O367:O372"/>
    <mergeCell ref="P367:P372"/>
    <mergeCell ref="A373:A378"/>
    <mergeCell ref="B373:B378"/>
    <mergeCell ref="C373:C378"/>
    <mergeCell ref="D373:D378"/>
    <mergeCell ref="E373:E378"/>
    <mergeCell ref="F373:F378"/>
    <mergeCell ref="G373:G378"/>
    <mergeCell ref="H373:H378"/>
    <mergeCell ref="I373:I378"/>
    <mergeCell ref="J373:J378"/>
    <mergeCell ref="K373:K378"/>
    <mergeCell ref="L373:L378"/>
    <mergeCell ref="M373:M378"/>
    <mergeCell ref="N373:N378"/>
    <mergeCell ref="O373:O378"/>
    <mergeCell ref="P373:P378"/>
    <mergeCell ref="A367:A372"/>
    <mergeCell ref="B367:B372"/>
    <mergeCell ref="C367:C372"/>
    <mergeCell ref="D367:D372"/>
    <mergeCell ref="E367:E372"/>
    <mergeCell ref="F367:F372"/>
    <mergeCell ref="G367:G372"/>
    <mergeCell ref="H367:H372"/>
    <mergeCell ref="I367:I372"/>
    <mergeCell ref="J355:J360"/>
    <mergeCell ref="K355:K360"/>
    <mergeCell ref="L355:L360"/>
    <mergeCell ref="M355:M360"/>
    <mergeCell ref="N355:N360"/>
    <mergeCell ref="O355:O360"/>
    <mergeCell ref="P355:P360"/>
    <mergeCell ref="A361:A366"/>
    <mergeCell ref="B361:B366"/>
    <mergeCell ref="C361:C366"/>
    <mergeCell ref="D361:D366"/>
    <mergeCell ref="E361:E366"/>
    <mergeCell ref="F361:F366"/>
    <mergeCell ref="G361:G366"/>
    <mergeCell ref="H361:H366"/>
    <mergeCell ref="I361:I366"/>
    <mergeCell ref="J361:J366"/>
    <mergeCell ref="K361:K366"/>
    <mergeCell ref="L361:L366"/>
    <mergeCell ref="M361:M366"/>
    <mergeCell ref="N361:N366"/>
    <mergeCell ref="O361:O366"/>
    <mergeCell ref="P361:P366"/>
    <mergeCell ref="A355:A360"/>
    <mergeCell ref="B355:B360"/>
    <mergeCell ref="C355:C360"/>
    <mergeCell ref="D355:D360"/>
    <mergeCell ref="E355:E360"/>
    <mergeCell ref="F355:F360"/>
    <mergeCell ref="G355:G360"/>
    <mergeCell ref="H355:H360"/>
    <mergeCell ref="I355:I360"/>
    <mergeCell ref="J343:J348"/>
    <mergeCell ref="K343:K348"/>
    <mergeCell ref="L343:L348"/>
    <mergeCell ref="M343:M348"/>
    <mergeCell ref="N343:N348"/>
    <mergeCell ref="O343:O348"/>
    <mergeCell ref="P343:P348"/>
    <mergeCell ref="A349:A354"/>
    <mergeCell ref="B349:B354"/>
    <mergeCell ref="C349:C354"/>
    <mergeCell ref="D349:D354"/>
    <mergeCell ref="E349:E354"/>
    <mergeCell ref="F349:F354"/>
    <mergeCell ref="G349:G354"/>
    <mergeCell ref="H349:H354"/>
    <mergeCell ref="I349:I354"/>
    <mergeCell ref="J349:J354"/>
    <mergeCell ref="K349:K354"/>
    <mergeCell ref="L349:L354"/>
    <mergeCell ref="M349:M354"/>
    <mergeCell ref="N349:N354"/>
    <mergeCell ref="O349:O354"/>
    <mergeCell ref="P349:P354"/>
    <mergeCell ref="A343:A348"/>
    <mergeCell ref="B343:B348"/>
    <mergeCell ref="C343:C348"/>
    <mergeCell ref="D343:D348"/>
    <mergeCell ref="E343:E348"/>
    <mergeCell ref="F343:F348"/>
    <mergeCell ref="G343:G348"/>
    <mergeCell ref="H343:H348"/>
    <mergeCell ref="I343:I348"/>
    <mergeCell ref="J331:J336"/>
    <mergeCell ref="K331:K336"/>
    <mergeCell ref="L331:L336"/>
    <mergeCell ref="M331:M336"/>
    <mergeCell ref="N331:N336"/>
    <mergeCell ref="O331:O336"/>
    <mergeCell ref="P331:P336"/>
    <mergeCell ref="A337:A342"/>
    <mergeCell ref="B337:B342"/>
    <mergeCell ref="C337:C342"/>
    <mergeCell ref="D337:D342"/>
    <mergeCell ref="E337:E342"/>
    <mergeCell ref="F337:F342"/>
    <mergeCell ref="G337:G342"/>
    <mergeCell ref="H337:H342"/>
    <mergeCell ref="I337:I342"/>
    <mergeCell ref="J337:J342"/>
    <mergeCell ref="K337:K342"/>
    <mergeCell ref="L337:L342"/>
    <mergeCell ref="M337:M342"/>
    <mergeCell ref="N337:N342"/>
    <mergeCell ref="O337:O342"/>
    <mergeCell ref="P337:P342"/>
    <mergeCell ref="A331:A336"/>
    <mergeCell ref="B331:B336"/>
    <mergeCell ref="C331:C336"/>
    <mergeCell ref="D331:D336"/>
    <mergeCell ref="E331:E336"/>
    <mergeCell ref="F331:F336"/>
    <mergeCell ref="G331:G336"/>
    <mergeCell ref="H331:H336"/>
    <mergeCell ref="I331:I336"/>
    <mergeCell ref="J319:J324"/>
    <mergeCell ref="K319:K324"/>
    <mergeCell ref="L319:L324"/>
    <mergeCell ref="M319:M324"/>
    <mergeCell ref="N319:N324"/>
    <mergeCell ref="O319:O324"/>
    <mergeCell ref="P319:P324"/>
    <mergeCell ref="A325:A330"/>
    <mergeCell ref="B325:B330"/>
    <mergeCell ref="C325:C330"/>
    <mergeCell ref="D325:D330"/>
    <mergeCell ref="E325:E330"/>
    <mergeCell ref="F325:F330"/>
    <mergeCell ref="G325:G330"/>
    <mergeCell ref="H325:H330"/>
    <mergeCell ref="I325:I330"/>
    <mergeCell ref="J325:J330"/>
    <mergeCell ref="K325:K330"/>
    <mergeCell ref="L325:L330"/>
    <mergeCell ref="M325:M330"/>
    <mergeCell ref="N325:N330"/>
    <mergeCell ref="O325:O330"/>
    <mergeCell ref="P325:P330"/>
    <mergeCell ref="A319:A324"/>
    <mergeCell ref="B319:B324"/>
    <mergeCell ref="C319:C324"/>
    <mergeCell ref="D319:D324"/>
    <mergeCell ref="E319:E324"/>
    <mergeCell ref="F319:F324"/>
    <mergeCell ref="G319:G324"/>
    <mergeCell ref="H319:H324"/>
    <mergeCell ref="I319:I324"/>
    <mergeCell ref="J307:J312"/>
    <mergeCell ref="K307:K312"/>
    <mergeCell ref="L307:L312"/>
    <mergeCell ref="M307:M312"/>
    <mergeCell ref="N307:N312"/>
    <mergeCell ref="O307:O312"/>
    <mergeCell ref="P307:P312"/>
    <mergeCell ref="A313:A318"/>
    <mergeCell ref="B313:B318"/>
    <mergeCell ref="C313:C318"/>
    <mergeCell ref="D313:D318"/>
    <mergeCell ref="E313:E318"/>
    <mergeCell ref="F313:F318"/>
    <mergeCell ref="G313:G318"/>
    <mergeCell ref="H313:H318"/>
    <mergeCell ref="I313:I318"/>
    <mergeCell ref="J313:J318"/>
    <mergeCell ref="K313:K318"/>
    <mergeCell ref="L313:L318"/>
    <mergeCell ref="M313:M318"/>
    <mergeCell ref="N313:N318"/>
    <mergeCell ref="O313:O318"/>
    <mergeCell ref="P313:P318"/>
    <mergeCell ref="A307:A312"/>
    <mergeCell ref="B307:B312"/>
    <mergeCell ref="C307:C312"/>
    <mergeCell ref="D307:D312"/>
    <mergeCell ref="E307:E312"/>
    <mergeCell ref="F307:F312"/>
    <mergeCell ref="G307:G312"/>
    <mergeCell ref="H307:H312"/>
    <mergeCell ref="I307:I312"/>
    <mergeCell ref="J295:J300"/>
    <mergeCell ref="K295:K300"/>
    <mergeCell ref="L295:L300"/>
    <mergeCell ref="M295:M300"/>
    <mergeCell ref="N295:N300"/>
    <mergeCell ref="O295:O300"/>
    <mergeCell ref="P295:P300"/>
    <mergeCell ref="A301:A306"/>
    <mergeCell ref="B301:B306"/>
    <mergeCell ref="C301:C306"/>
    <mergeCell ref="D301:D306"/>
    <mergeCell ref="E301:E306"/>
    <mergeCell ref="F301:F306"/>
    <mergeCell ref="G301:G306"/>
    <mergeCell ref="H301:H306"/>
    <mergeCell ref="I301:I306"/>
    <mergeCell ref="J301:J306"/>
    <mergeCell ref="K301:K306"/>
    <mergeCell ref="L301:L306"/>
    <mergeCell ref="M301:M306"/>
    <mergeCell ref="N301:N306"/>
    <mergeCell ref="O301:O306"/>
    <mergeCell ref="P301:P306"/>
    <mergeCell ref="A295:A300"/>
    <mergeCell ref="B295:B300"/>
    <mergeCell ref="C295:C300"/>
    <mergeCell ref="D295:D300"/>
    <mergeCell ref="E295:E300"/>
    <mergeCell ref="F295:F300"/>
    <mergeCell ref="G295:G300"/>
    <mergeCell ref="H295:H300"/>
    <mergeCell ref="I295:I300"/>
    <mergeCell ref="J283:J288"/>
    <mergeCell ref="K283:K288"/>
    <mergeCell ref="L283:L288"/>
    <mergeCell ref="M283:M288"/>
    <mergeCell ref="N283:N288"/>
    <mergeCell ref="O283:O288"/>
    <mergeCell ref="P283:P288"/>
    <mergeCell ref="A289:A294"/>
    <mergeCell ref="B289:B294"/>
    <mergeCell ref="C289:C294"/>
    <mergeCell ref="D289:D294"/>
    <mergeCell ref="E289:E294"/>
    <mergeCell ref="F289:F294"/>
    <mergeCell ref="G289:G294"/>
    <mergeCell ref="H289:H294"/>
    <mergeCell ref="I289:I294"/>
    <mergeCell ref="J289:J294"/>
    <mergeCell ref="K289:K294"/>
    <mergeCell ref="L289:L294"/>
    <mergeCell ref="M289:M294"/>
    <mergeCell ref="N289:N294"/>
    <mergeCell ref="O289:O294"/>
    <mergeCell ref="P289:P294"/>
    <mergeCell ref="A283:A288"/>
    <mergeCell ref="B283:B288"/>
    <mergeCell ref="C283:C288"/>
    <mergeCell ref="D283:D288"/>
    <mergeCell ref="E283:E288"/>
    <mergeCell ref="F283:F288"/>
    <mergeCell ref="G283:G288"/>
    <mergeCell ref="H283:H288"/>
    <mergeCell ref="I283:I288"/>
    <mergeCell ref="J271:J276"/>
    <mergeCell ref="K271:K276"/>
    <mergeCell ref="L271:L276"/>
    <mergeCell ref="M271:M276"/>
    <mergeCell ref="N271:N276"/>
    <mergeCell ref="O271:O276"/>
    <mergeCell ref="P271:P276"/>
    <mergeCell ref="A277:A282"/>
    <mergeCell ref="B277:B282"/>
    <mergeCell ref="C277:C282"/>
    <mergeCell ref="D277:D282"/>
    <mergeCell ref="E277:E282"/>
    <mergeCell ref="F277:F282"/>
    <mergeCell ref="G277:G282"/>
    <mergeCell ref="H277:H282"/>
    <mergeCell ref="I277:I282"/>
    <mergeCell ref="J277:J282"/>
    <mergeCell ref="K277:K282"/>
    <mergeCell ref="L277:L282"/>
    <mergeCell ref="M277:M282"/>
    <mergeCell ref="N277:N282"/>
    <mergeCell ref="O277:O282"/>
    <mergeCell ref="P277:P282"/>
    <mergeCell ref="A271:A276"/>
    <mergeCell ref="B271:B276"/>
    <mergeCell ref="C271:C276"/>
    <mergeCell ref="D271:D276"/>
    <mergeCell ref="E271:E276"/>
    <mergeCell ref="F271:F276"/>
    <mergeCell ref="G271:G276"/>
    <mergeCell ref="H271:H276"/>
    <mergeCell ref="I271:I276"/>
    <mergeCell ref="J259:J264"/>
    <mergeCell ref="K259:K264"/>
    <mergeCell ref="L259:L264"/>
    <mergeCell ref="M259:M264"/>
    <mergeCell ref="N259:N264"/>
    <mergeCell ref="O259:O264"/>
    <mergeCell ref="P259:P264"/>
    <mergeCell ref="A265:A270"/>
    <mergeCell ref="B265:B270"/>
    <mergeCell ref="C265:C270"/>
    <mergeCell ref="D265:D270"/>
    <mergeCell ref="E265:E270"/>
    <mergeCell ref="F265:F270"/>
    <mergeCell ref="G265:G270"/>
    <mergeCell ref="H265:H270"/>
    <mergeCell ref="I265:I270"/>
    <mergeCell ref="J265:J270"/>
    <mergeCell ref="K265:K270"/>
    <mergeCell ref="L265:L270"/>
    <mergeCell ref="M265:M270"/>
    <mergeCell ref="N265:N270"/>
    <mergeCell ref="O265:O270"/>
    <mergeCell ref="P265:P270"/>
    <mergeCell ref="A259:A264"/>
    <mergeCell ref="B259:B264"/>
    <mergeCell ref="C259:C264"/>
    <mergeCell ref="D259:D264"/>
    <mergeCell ref="E259:E264"/>
    <mergeCell ref="F259:F264"/>
    <mergeCell ref="G259:G264"/>
    <mergeCell ref="H259:H264"/>
    <mergeCell ref="I259:I264"/>
    <mergeCell ref="J241:J246"/>
    <mergeCell ref="K241:K246"/>
    <mergeCell ref="L241:L246"/>
    <mergeCell ref="M241:M246"/>
    <mergeCell ref="N241:N246"/>
    <mergeCell ref="O241:O246"/>
    <mergeCell ref="P241:P246"/>
    <mergeCell ref="A253:A258"/>
    <mergeCell ref="B253:B258"/>
    <mergeCell ref="C253:C258"/>
    <mergeCell ref="D253:D258"/>
    <mergeCell ref="E253:E258"/>
    <mergeCell ref="F253:F258"/>
    <mergeCell ref="G253:G258"/>
    <mergeCell ref="H253:H258"/>
    <mergeCell ref="I253:I258"/>
    <mergeCell ref="J253:J258"/>
    <mergeCell ref="K253:K258"/>
    <mergeCell ref="L253:L258"/>
    <mergeCell ref="M253:M258"/>
    <mergeCell ref="N253:N258"/>
    <mergeCell ref="O253:O258"/>
    <mergeCell ref="P253:P258"/>
    <mergeCell ref="A241:A246"/>
    <mergeCell ref="B241:B246"/>
    <mergeCell ref="C241:C246"/>
    <mergeCell ref="D241:D246"/>
    <mergeCell ref="E241:E246"/>
    <mergeCell ref="F241:F246"/>
    <mergeCell ref="G241:G246"/>
    <mergeCell ref="H241:H246"/>
    <mergeCell ref="I241:I246"/>
    <mergeCell ref="J229:J234"/>
    <mergeCell ref="K229:K234"/>
    <mergeCell ref="L229:L234"/>
    <mergeCell ref="M229:M234"/>
    <mergeCell ref="N229:N234"/>
    <mergeCell ref="O229:O234"/>
    <mergeCell ref="P229:P234"/>
    <mergeCell ref="A235:A240"/>
    <mergeCell ref="B235:B240"/>
    <mergeCell ref="C235:C240"/>
    <mergeCell ref="D235:D240"/>
    <mergeCell ref="E235:E240"/>
    <mergeCell ref="F235:F240"/>
    <mergeCell ref="G235:G240"/>
    <mergeCell ref="H235:H240"/>
    <mergeCell ref="I235:I240"/>
    <mergeCell ref="J235:J240"/>
    <mergeCell ref="K235:K240"/>
    <mergeCell ref="L235:L240"/>
    <mergeCell ref="M235:M240"/>
    <mergeCell ref="N235:N240"/>
    <mergeCell ref="O235:O240"/>
    <mergeCell ref="P235:P240"/>
    <mergeCell ref="A229:A234"/>
    <mergeCell ref="B229:B234"/>
    <mergeCell ref="C229:C234"/>
    <mergeCell ref="D229:D234"/>
    <mergeCell ref="E229:E234"/>
    <mergeCell ref="F229:F234"/>
    <mergeCell ref="G229:G234"/>
    <mergeCell ref="H229:H234"/>
    <mergeCell ref="I229:I234"/>
    <mergeCell ref="J217:J222"/>
    <mergeCell ref="K217:K222"/>
    <mergeCell ref="L217:L222"/>
    <mergeCell ref="M217:M222"/>
    <mergeCell ref="N217:N222"/>
    <mergeCell ref="O217:O222"/>
    <mergeCell ref="P217:P222"/>
    <mergeCell ref="A223:A228"/>
    <mergeCell ref="B223:B228"/>
    <mergeCell ref="C223:C228"/>
    <mergeCell ref="D223:D228"/>
    <mergeCell ref="E223:E228"/>
    <mergeCell ref="F223:F228"/>
    <mergeCell ref="G223:G228"/>
    <mergeCell ref="H223:H228"/>
    <mergeCell ref="I223:I228"/>
    <mergeCell ref="J223:J228"/>
    <mergeCell ref="K223:K228"/>
    <mergeCell ref="L223:L228"/>
    <mergeCell ref="M223:M228"/>
    <mergeCell ref="N223:N228"/>
    <mergeCell ref="O223:O228"/>
    <mergeCell ref="P223:P228"/>
    <mergeCell ref="A217:A222"/>
    <mergeCell ref="B217:B222"/>
    <mergeCell ref="C217:C222"/>
    <mergeCell ref="D217:D222"/>
    <mergeCell ref="E217:E222"/>
    <mergeCell ref="F217:F222"/>
    <mergeCell ref="G217:G222"/>
    <mergeCell ref="H217:H222"/>
    <mergeCell ref="I217:I222"/>
    <mergeCell ref="J205:J210"/>
    <mergeCell ref="K205:K210"/>
    <mergeCell ref="L205:L210"/>
    <mergeCell ref="M205:M210"/>
    <mergeCell ref="N205:N210"/>
    <mergeCell ref="O205:O210"/>
    <mergeCell ref="P205:P210"/>
    <mergeCell ref="A211:A216"/>
    <mergeCell ref="B211:B216"/>
    <mergeCell ref="C211:C216"/>
    <mergeCell ref="D211:D216"/>
    <mergeCell ref="E211:E216"/>
    <mergeCell ref="F211:F216"/>
    <mergeCell ref="G211:G216"/>
    <mergeCell ref="H211:H216"/>
    <mergeCell ref="I211:I216"/>
    <mergeCell ref="J211:J216"/>
    <mergeCell ref="K211:K216"/>
    <mergeCell ref="L211:L216"/>
    <mergeCell ref="M211:M216"/>
    <mergeCell ref="N211:N216"/>
    <mergeCell ref="O211:O216"/>
    <mergeCell ref="P211:P216"/>
    <mergeCell ref="A205:A210"/>
    <mergeCell ref="B205:B210"/>
    <mergeCell ref="C205:C210"/>
    <mergeCell ref="D205:D210"/>
    <mergeCell ref="E205:E210"/>
    <mergeCell ref="F205:F210"/>
    <mergeCell ref="G205:G210"/>
    <mergeCell ref="H205:H210"/>
    <mergeCell ref="I205:I210"/>
    <mergeCell ref="J193:J198"/>
    <mergeCell ref="K193:K198"/>
    <mergeCell ref="L193:L198"/>
    <mergeCell ref="M193:M198"/>
    <mergeCell ref="N193:N198"/>
    <mergeCell ref="O193:O198"/>
    <mergeCell ref="P193:P198"/>
    <mergeCell ref="A199:A204"/>
    <mergeCell ref="B199:B204"/>
    <mergeCell ref="C199:C204"/>
    <mergeCell ref="D199:D204"/>
    <mergeCell ref="E199:E204"/>
    <mergeCell ref="F199:F204"/>
    <mergeCell ref="G199:G204"/>
    <mergeCell ref="H199:H204"/>
    <mergeCell ref="I199:I204"/>
    <mergeCell ref="J199:J204"/>
    <mergeCell ref="K199:K204"/>
    <mergeCell ref="L199:L204"/>
    <mergeCell ref="M199:M204"/>
    <mergeCell ref="N199:N204"/>
    <mergeCell ref="O199:O204"/>
    <mergeCell ref="P199:P204"/>
    <mergeCell ref="A193:A198"/>
    <mergeCell ref="B193:B198"/>
    <mergeCell ref="C193:C198"/>
    <mergeCell ref="D193:D198"/>
    <mergeCell ref="E193:E198"/>
    <mergeCell ref="F193:F198"/>
    <mergeCell ref="G193:G198"/>
    <mergeCell ref="H193:H198"/>
    <mergeCell ref="I193:I198"/>
    <mergeCell ref="J181:J186"/>
    <mergeCell ref="K181:K186"/>
    <mergeCell ref="L181:L186"/>
    <mergeCell ref="M181:M186"/>
    <mergeCell ref="N181:N186"/>
    <mergeCell ref="O181:O186"/>
    <mergeCell ref="P181:P186"/>
    <mergeCell ref="A187:A192"/>
    <mergeCell ref="B187:B192"/>
    <mergeCell ref="C187:C192"/>
    <mergeCell ref="D187:D192"/>
    <mergeCell ref="E187:E192"/>
    <mergeCell ref="F187:F192"/>
    <mergeCell ref="G187:G192"/>
    <mergeCell ref="H187:H192"/>
    <mergeCell ref="I187:I192"/>
    <mergeCell ref="J187:J192"/>
    <mergeCell ref="K187:K192"/>
    <mergeCell ref="L187:L192"/>
    <mergeCell ref="M187:M192"/>
    <mergeCell ref="N187:N192"/>
    <mergeCell ref="O187:O192"/>
    <mergeCell ref="P187:P192"/>
    <mergeCell ref="A181:A186"/>
    <mergeCell ref="B181:B186"/>
    <mergeCell ref="C181:C186"/>
    <mergeCell ref="D181:D186"/>
    <mergeCell ref="E181:E186"/>
    <mergeCell ref="F181:F186"/>
    <mergeCell ref="G181:G186"/>
    <mergeCell ref="H181:H186"/>
    <mergeCell ref="I181:I186"/>
    <mergeCell ref="J169:J174"/>
    <mergeCell ref="K169:K174"/>
    <mergeCell ref="L169:L174"/>
    <mergeCell ref="M169:M174"/>
    <mergeCell ref="N169:N174"/>
    <mergeCell ref="O169:O174"/>
    <mergeCell ref="P169:P174"/>
    <mergeCell ref="A175:A180"/>
    <mergeCell ref="B175:B180"/>
    <mergeCell ref="C175:C180"/>
    <mergeCell ref="D175:D180"/>
    <mergeCell ref="E175:E180"/>
    <mergeCell ref="F175:F180"/>
    <mergeCell ref="G175:G180"/>
    <mergeCell ref="H175:H180"/>
    <mergeCell ref="I175:I180"/>
    <mergeCell ref="J175:J180"/>
    <mergeCell ref="K175:K180"/>
    <mergeCell ref="L175:L180"/>
    <mergeCell ref="M175:M180"/>
    <mergeCell ref="N175:N180"/>
    <mergeCell ref="O175:O180"/>
    <mergeCell ref="P175:P180"/>
    <mergeCell ref="A169:A174"/>
    <mergeCell ref="B169:B174"/>
    <mergeCell ref="C169:C174"/>
    <mergeCell ref="D169:D174"/>
    <mergeCell ref="E169:E174"/>
    <mergeCell ref="F169:F174"/>
    <mergeCell ref="G169:G174"/>
    <mergeCell ref="H169:H174"/>
    <mergeCell ref="I169:I174"/>
    <mergeCell ref="J157:J162"/>
    <mergeCell ref="K157:K162"/>
    <mergeCell ref="L157:L162"/>
    <mergeCell ref="M157:M162"/>
    <mergeCell ref="N157:N162"/>
    <mergeCell ref="O157:O162"/>
    <mergeCell ref="P157:P162"/>
    <mergeCell ref="A163:A168"/>
    <mergeCell ref="B163:B168"/>
    <mergeCell ref="C163:C168"/>
    <mergeCell ref="D163:D168"/>
    <mergeCell ref="E163:E168"/>
    <mergeCell ref="F163:F168"/>
    <mergeCell ref="G163:G168"/>
    <mergeCell ref="H163:H168"/>
    <mergeCell ref="I163:I168"/>
    <mergeCell ref="J163:J168"/>
    <mergeCell ref="K163:K168"/>
    <mergeCell ref="L163:L168"/>
    <mergeCell ref="M163:M168"/>
    <mergeCell ref="N163:N168"/>
    <mergeCell ref="O163:O168"/>
    <mergeCell ref="P163:P168"/>
    <mergeCell ref="A157:A162"/>
    <mergeCell ref="B157:B162"/>
    <mergeCell ref="C157:C162"/>
    <mergeCell ref="D157:D162"/>
    <mergeCell ref="E157:E162"/>
    <mergeCell ref="F157:F162"/>
    <mergeCell ref="G157:G162"/>
    <mergeCell ref="H157:H162"/>
    <mergeCell ref="I157:I162"/>
    <mergeCell ref="J145:J150"/>
    <mergeCell ref="K145:K150"/>
    <mergeCell ref="L145:L150"/>
    <mergeCell ref="M145:M150"/>
    <mergeCell ref="N145:N150"/>
    <mergeCell ref="O145:O150"/>
    <mergeCell ref="P145:P150"/>
    <mergeCell ref="A151:A156"/>
    <mergeCell ref="B151:B156"/>
    <mergeCell ref="C151:C156"/>
    <mergeCell ref="D151:D156"/>
    <mergeCell ref="E151:E156"/>
    <mergeCell ref="F151:F156"/>
    <mergeCell ref="G151:G156"/>
    <mergeCell ref="H151:H156"/>
    <mergeCell ref="I151:I156"/>
    <mergeCell ref="J151:J156"/>
    <mergeCell ref="K151:K156"/>
    <mergeCell ref="L151:L156"/>
    <mergeCell ref="M151:M156"/>
    <mergeCell ref="N151:N156"/>
    <mergeCell ref="O151:O156"/>
    <mergeCell ref="P151:P156"/>
    <mergeCell ref="A145:A150"/>
    <mergeCell ref="B145:B150"/>
    <mergeCell ref="C145:C150"/>
    <mergeCell ref="D145:D150"/>
    <mergeCell ref="E145:E150"/>
    <mergeCell ref="F145:F150"/>
    <mergeCell ref="G145:G150"/>
    <mergeCell ref="H145:H150"/>
    <mergeCell ref="I145:I150"/>
    <mergeCell ref="J133:J138"/>
    <mergeCell ref="K133:K138"/>
    <mergeCell ref="L133:L138"/>
    <mergeCell ref="M133:M138"/>
    <mergeCell ref="N133:N138"/>
    <mergeCell ref="O133:O138"/>
    <mergeCell ref="P133:P138"/>
    <mergeCell ref="A139:A144"/>
    <mergeCell ref="B139:B144"/>
    <mergeCell ref="C139:C144"/>
    <mergeCell ref="D139:D144"/>
    <mergeCell ref="E139:E144"/>
    <mergeCell ref="F139:F144"/>
    <mergeCell ref="G139:G144"/>
    <mergeCell ref="H139:H144"/>
    <mergeCell ref="I139:I144"/>
    <mergeCell ref="J139:J144"/>
    <mergeCell ref="K139:K144"/>
    <mergeCell ref="L139:L144"/>
    <mergeCell ref="M139:M144"/>
    <mergeCell ref="N139:N144"/>
    <mergeCell ref="O139:O144"/>
    <mergeCell ref="P139:P144"/>
    <mergeCell ref="A133:A138"/>
    <mergeCell ref="B133:B138"/>
    <mergeCell ref="C133:C138"/>
    <mergeCell ref="D133:D138"/>
    <mergeCell ref="E133:E138"/>
    <mergeCell ref="F133:F138"/>
    <mergeCell ref="G133:G138"/>
    <mergeCell ref="H133:H138"/>
    <mergeCell ref="I133:I138"/>
    <mergeCell ref="J121:J126"/>
    <mergeCell ref="K121:K126"/>
    <mergeCell ref="L121:L126"/>
    <mergeCell ref="M121:M126"/>
    <mergeCell ref="N121:N126"/>
    <mergeCell ref="O121:O126"/>
    <mergeCell ref="P121:P126"/>
    <mergeCell ref="A127:A132"/>
    <mergeCell ref="B127:B132"/>
    <mergeCell ref="C127:C132"/>
    <mergeCell ref="D127:D132"/>
    <mergeCell ref="E127:E132"/>
    <mergeCell ref="F127:F132"/>
    <mergeCell ref="G127:G132"/>
    <mergeCell ref="H127:H132"/>
    <mergeCell ref="I127:I132"/>
    <mergeCell ref="J127:J132"/>
    <mergeCell ref="K127:K132"/>
    <mergeCell ref="L127:L132"/>
    <mergeCell ref="M127:M132"/>
    <mergeCell ref="N127:N132"/>
    <mergeCell ref="O127:O132"/>
    <mergeCell ref="P127:P132"/>
    <mergeCell ref="A121:A126"/>
    <mergeCell ref="B121:B126"/>
    <mergeCell ref="C121:C126"/>
    <mergeCell ref="D121:D126"/>
    <mergeCell ref="E121:E126"/>
    <mergeCell ref="F121:F126"/>
    <mergeCell ref="G121:G126"/>
    <mergeCell ref="H121:H126"/>
    <mergeCell ref="I121:I126"/>
    <mergeCell ref="J109:J114"/>
    <mergeCell ref="K109:K114"/>
    <mergeCell ref="L109:L114"/>
    <mergeCell ref="M109:M114"/>
    <mergeCell ref="N109:N114"/>
    <mergeCell ref="O109:O114"/>
    <mergeCell ref="P109:P114"/>
    <mergeCell ref="A115:A120"/>
    <mergeCell ref="B115:B120"/>
    <mergeCell ref="C115:C120"/>
    <mergeCell ref="D115:D120"/>
    <mergeCell ref="E115:E120"/>
    <mergeCell ref="F115:F120"/>
    <mergeCell ref="G115:G120"/>
    <mergeCell ref="H115:H120"/>
    <mergeCell ref="I115:I120"/>
    <mergeCell ref="J115:J120"/>
    <mergeCell ref="K115:K120"/>
    <mergeCell ref="L115:L120"/>
    <mergeCell ref="M115:M120"/>
    <mergeCell ref="N115:N120"/>
    <mergeCell ref="O115:O120"/>
    <mergeCell ref="P115:P120"/>
    <mergeCell ref="A109:A114"/>
    <mergeCell ref="B109:B114"/>
    <mergeCell ref="C109:C114"/>
    <mergeCell ref="D109:D114"/>
    <mergeCell ref="E109:E114"/>
    <mergeCell ref="F109:F114"/>
    <mergeCell ref="G109:G114"/>
    <mergeCell ref="H109:H114"/>
    <mergeCell ref="I109:I114"/>
    <mergeCell ref="J97:J102"/>
    <mergeCell ref="K97:K102"/>
    <mergeCell ref="L97:L102"/>
    <mergeCell ref="M97:M102"/>
    <mergeCell ref="N97:N102"/>
    <mergeCell ref="O97:O102"/>
    <mergeCell ref="P97:P102"/>
    <mergeCell ref="A103:A108"/>
    <mergeCell ref="B103:B108"/>
    <mergeCell ref="C103:C108"/>
    <mergeCell ref="D103:D108"/>
    <mergeCell ref="E103:E108"/>
    <mergeCell ref="F103:F108"/>
    <mergeCell ref="G103:G108"/>
    <mergeCell ref="H103:H108"/>
    <mergeCell ref="I103:I108"/>
    <mergeCell ref="J103:J108"/>
    <mergeCell ref="K103:K108"/>
    <mergeCell ref="L103:L108"/>
    <mergeCell ref="M103:M108"/>
    <mergeCell ref="N103:N108"/>
    <mergeCell ref="O103:O108"/>
    <mergeCell ref="P103:P108"/>
    <mergeCell ref="A97:A102"/>
    <mergeCell ref="B97:B102"/>
    <mergeCell ref="C97:C102"/>
    <mergeCell ref="D97:D102"/>
    <mergeCell ref="E97:E102"/>
    <mergeCell ref="F97:F102"/>
    <mergeCell ref="G97:G102"/>
    <mergeCell ref="H97:H102"/>
    <mergeCell ref="I97:I102"/>
    <mergeCell ref="J85:J90"/>
    <mergeCell ref="K85:K90"/>
    <mergeCell ref="L85:L90"/>
    <mergeCell ref="M85:M90"/>
    <mergeCell ref="N85:N90"/>
    <mergeCell ref="O85:O90"/>
    <mergeCell ref="P85:P90"/>
    <mergeCell ref="A91:A96"/>
    <mergeCell ref="B91:B96"/>
    <mergeCell ref="C91:C96"/>
    <mergeCell ref="D91:D96"/>
    <mergeCell ref="E91:E96"/>
    <mergeCell ref="F91:F96"/>
    <mergeCell ref="G91:G96"/>
    <mergeCell ref="H91:H96"/>
    <mergeCell ref="I91:I96"/>
    <mergeCell ref="J91:J96"/>
    <mergeCell ref="K91:K96"/>
    <mergeCell ref="L91:L96"/>
    <mergeCell ref="M91:M96"/>
    <mergeCell ref="N91:N96"/>
    <mergeCell ref="O91:O96"/>
    <mergeCell ref="P91:P96"/>
    <mergeCell ref="A85:A90"/>
    <mergeCell ref="B85:B90"/>
    <mergeCell ref="C85:C90"/>
    <mergeCell ref="D85:D90"/>
    <mergeCell ref="E85:E90"/>
    <mergeCell ref="F85:F90"/>
    <mergeCell ref="G85:G90"/>
    <mergeCell ref="H85:H90"/>
    <mergeCell ref="I85:I90"/>
    <mergeCell ref="J73:J78"/>
    <mergeCell ref="K73:K78"/>
    <mergeCell ref="L73:L78"/>
    <mergeCell ref="M73:M78"/>
    <mergeCell ref="N73:N78"/>
    <mergeCell ref="O73:O78"/>
    <mergeCell ref="P73:P78"/>
    <mergeCell ref="A79:A84"/>
    <mergeCell ref="B79:B84"/>
    <mergeCell ref="C79:C84"/>
    <mergeCell ref="D79:D84"/>
    <mergeCell ref="E79:E84"/>
    <mergeCell ref="F79:F84"/>
    <mergeCell ref="G79:G84"/>
    <mergeCell ref="H79:H84"/>
    <mergeCell ref="I79:I84"/>
    <mergeCell ref="J79:J84"/>
    <mergeCell ref="K79:K84"/>
    <mergeCell ref="L79:L84"/>
    <mergeCell ref="M79:M84"/>
    <mergeCell ref="N79:N84"/>
    <mergeCell ref="O79:O84"/>
    <mergeCell ref="P79:P84"/>
    <mergeCell ref="A73:A78"/>
    <mergeCell ref="B73:B78"/>
    <mergeCell ref="C73:C78"/>
    <mergeCell ref="D73:D78"/>
    <mergeCell ref="E73:E78"/>
    <mergeCell ref="F73:F78"/>
    <mergeCell ref="G73:G78"/>
    <mergeCell ref="H73:H78"/>
    <mergeCell ref="I73:I78"/>
    <mergeCell ref="J61:J66"/>
    <mergeCell ref="K61:K66"/>
    <mergeCell ref="L61:L66"/>
    <mergeCell ref="M61:M66"/>
    <mergeCell ref="N61:N66"/>
    <mergeCell ref="O61:O66"/>
    <mergeCell ref="P61:P66"/>
    <mergeCell ref="A67:A72"/>
    <mergeCell ref="B67:B72"/>
    <mergeCell ref="C67:C72"/>
    <mergeCell ref="D67:D72"/>
    <mergeCell ref="E67:E72"/>
    <mergeCell ref="F67:F72"/>
    <mergeCell ref="G67:G72"/>
    <mergeCell ref="H67:H72"/>
    <mergeCell ref="I67:I72"/>
    <mergeCell ref="J67:J72"/>
    <mergeCell ref="K67:K72"/>
    <mergeCell ref="L67:L72"/>
    <mergeCell ref="M67:M72"/>
    <mergeCell ref="N67:N72"/>
    <mergeCell ref="O67:O72"/>
    <mergeCell ref="P67:P72"/>
    <mergeCell ref="A61:A66"/>
    <mergeCell ref="B61:B66"/>
    <mergeCell ref="C61:C66"/>
    <mergeCell ref="D61:D66"/>
    <mergeCell ref="E61:E66"/>
    <mergeCell ref="F61:F66"/>
    <mergeCell ref="G61:G66"/>
    <mergeCell ref="H61:H66"/>
    <mergeCell ref="I61:I66"/>
    <mergeCell ref="J49:J54"/>
    <mergeCell ref="K49:K54"/>
    <mergeCell ref="L49:L54"/>
    <mergeCell ref="M49:M54"/>
    <mergeCell ref="N49:N54"/>
    <mergeCell ref="O49:O54"/>
    <mergeCell ref="P49:P54"/>
    <mergeCell ref="A55:A60"/>
    <mergeCell ref="B55:B60"/>
    <mergeCell ref="C55:C60"/>
    <mergeCell ref="D55:D60"/>
    <mergeCell ref="E55:E60"/>
    <mergeCell ref="F55:F60"/>
    <mergeCell ref="G55:G60"/>
    <mergeCell ref="H55:H60"/>
    <mergeCell ref="I55:I60"/>
    <mergeCell ref="J55:J60"/>
    <mergeCell ref="K55:K60"/>
    <mergeCell ref="L55:L60"/>
    <mergeCell ref="M55:M60"/>
    <mergeCell ref="N55:N60"/>
    <mergeCell ref="O55:O60"/>
    <mergeCell ref="P55:P60"/>
    <mergeCell ref="A49:A54"/>
    <mergeCell ref="B49:B54"/>
    <mergeCell ref="C49:C54"/>
    <mergeCell ref="D49:D54"/>
    <mergeCell ref="E49:E54"/>
    <mergeCell ref="F49:F54"/>
    <mergeCell ref="G49:G54"/>
    <mergeCell ref="H49:H54"/>
    <mergeCell ref="J37:J42"/>
    <mergeCell ref="K37:K42"/>
    <mergeCell ref="L37:L42"/>
    <mergeCell ref="M37:M42"/>
    <mergeCell ref="N37:N42"/>
    <mergeCell ref="O37:O42"/>
    <mergeCell ref="P37:P42"/>
    <mergeCell ref="A43:A48"/>
    <mergeCell ref="B43:B48"/>
    <mergeCell ref="C43:C48"/>
    <mergeCell ref="D43:D48"/>
    <mergeCell ref="E43:E48"/>
    <mergeCell ref="F43:F48"/>
    <mergeCell ref="G43:G48"/>
    <mergeCell ref="H43:H48"/>
    <mergeCell ref="I43:I48"/>
    <mergeCell ref="J43:J48"/>
    <mergeCell ref="K43:K48"/>
    <mergeCell ref="L43:L48"/>
    <mergeCell ref="M43:M48"/>
    <mergeCell ref="N43:N48"/>
    <mergeCell ref="O43:O48"/>
    <mergeCell ref="P43:P48"/>
    <mergeCell ref="A37:A42"/>
    <mergeCell ref="B37:B42"/>
    <mergeCell ref="C37:C42"/>
    <mergeCell ref="D37:D42"/>
    <mergeCell ref="E37:E42"/>
    <mergeCell ref="F37:F42"/>
    <mergeCell ref="G37:G42"/>
    <mergeCell ref="H37:H42"/>
    <mergeCell ref="A31:A36"/>
    <mergeCell ref="B31:B36"/>
    <mergeCell ref="C31:C36"/>
    <mergeCell ref="D31:D36"/>
    <mergeCell ref="E31:E36"/>
    <mergeCell ref="F31:F36"/>
    <mergeCell ref="G31:G36"/>
    <mergeCell ref="H31:H36"/>
    <mergeCell ref="I31:I36"/>
    <mergeCell ref="J31:J36"/>
    <mergeCell ref="K31:K36"/>
    <mergeCell ref="L31:L36"/>
    <mergeCell ref="M31:M36"/>
    <mergeCell ref="N31:N36"/>
    <mergeCell ref="O31:O36"/>
    <mergeCell ref="P31:P36"/>
    <mergeCell ref="A25:A30"/>
    <mergeCell ref="B25:B30"/>
    <mergeCell ref="C25:C30"/>
    <mergeCell ref="D25:D30"/>
    <mergeCell ref="E25:E30"/>
    <mergeCell ref="F25:F30"/>
    <mergeCell ref="G25:G30"/>
    <mergeCell ref="H25:H30"/>
    <mergeCell ref="AJ1:AL2"/>
    <mergeCell ref="AJ3:AL3"/>
    <mergeCell ref="AJ4:AL4"/>
    <mergeCell ref="AJ5:AL5"/>
    <mergeCell ref="G1:AI1"/>
    <mergeCell ref="G2:AI3"/>
    <mergeCell ref="G4:AI4"/>
    <mergeCell ref="G5:AI5"/>
    <mergeCell ref="A2:F5"/>
    <mergeCell ref="A1:F1"/>
    <mergeCell ref="A7:D7"/>
    <mergeCell ref="A8:D8"/>
    <mergeCell ref="A9:D9"/>
    <mergeCell ref="A11:A12"/>
    <mergeCell ref="E7:P7"/>
    <mergeCell ref="E8:P8"/>
    <mergeCell ref="E9:P9"/>
    <mergeCell ref="K11:K12"/>
    <mergeCell ref="N11:N12"/>
    <mergeCell ref="H11:H12"/>
    <mergeCell ref="G11:G12"/>
    <mergeCell ref="F11:F12"/>
    <mergeCell ref="Q7:S7"/>
    <mergeCell ref="A6:P6"/>
    <mergeCell ref="A19:A24"/>
    <mergeCell ref="B19:B24"/>
    <mergeCell ref="C19:C24"/>
    <mergeCell ref="D19:D24"/>
    <mergeCell ref="E19:E24"/>
    <mergeCell ref="AG11:AG12"/>
    <mergeCell ref="AL11:AL12"/>
    <mergeCell ref="AK11:AK12"/>
    <mergeCell ref="AJ11:AJ12"/>
    <mergeCell ref="AI11:AI12"/>
    <mergeCell ref="AH11:AH12"/>
    <mergeCell ref="AF11:AF12"/>
    <mergeCell ref="AB11:AB12"/>
    <mergeCell ref="O13:O18"/>
    <mergeCell ref="O19:O24"/>
    <mergeCell ref="F19:F24"/>
    <mergeCell ref="G19:G24"/>
    <mergeCell ref="H19:H24"/>
    <mergeCell ref="I19:I24"/>
    <mergeCell ref="M19:M24"/>
    <mergeCell ref="N19:N24"/>
    <mergeCell ref="P19:P24"/>
    <mergeCell ref="I13:I18"/>
    <mergeCell ref="J13:J18"/>
    <mergeCell ref="A13:A18"/>
    <mergeCell ref="D13:D18"/>
    <mergeCell ref="E13:E18"/>
    <mergeCell ref="S11:S12"/>
    <mergeCell ref="T11:Y11"/>
    <mergeCell ref="AC11:AC12"/>
    <mergeCell ref="AA11:AA12"/>
    <mergeCell ref="E11:E12"/>
    <mergeCell ref="AE11:AE12"/>
    <mergeCell ref="AD11:AD12"/>
    <mergeCell ref="Z11:Z12"/>
    <mergeCell ref="R11:R12"/>
    <mergeCell ref="D535:AL535"/>
    <mergeCell ref="I11:I12"/>
    <mergeCell ref="J11:J12"/>
    <mergeCell ref="B11:B12"/>
    <mergeCell ref="C11:C12"/>
    <mergeCell ref="B13:B18"/>
    <mergeCell ref="C13:C18"/>
    <mergeCell ref="P13:P18"/>
    <mergeCell ref="K13:K18"/>
    <mergeCell ref="L13:L18"/>
    <mergeCell ref="M13:M18"/>
    <mergeCell ref="N13:N18"/>
    <mergeCell ref="H13:H18"/>
    <mergeCell ref="I25:I30"/>
    <mergeCell ref="I37:I42"/>
    <mergeCell ref="J25:J30"/>
    <mergeCell ref="K25:K30"/>
    <mergeCell ref="L25:L30"/>
    <mergeCell ref="M25:M30"/>
    <mergeCell ref="N25:N30"/>
    <mergeCell ref="O25:O30"/>
    <mergeCell ref="P25:P30"/>
    <mergeCell ref="I49:I54"/>
    <mergeCell ref="Z10:AF10"/>
    <mergeCell ref="A10:I10"/>
    <mergeCell ref="J10:P10"/>
    <mergeCell ref="Q10:Y10"/>
    <mergeCell ref="AG10:AL10"/>
    <mergeCell ref="J19:J24"/>
    <mergeCell ref="K19:K24"/>
    <mergeCell ref="L19:L24"/>
    <mergeCell ref="A247:A252"/>
    <mergeCell ref="B247:B252"/>
    <mergeCell ref="C247:C252"/>
    <mergeCell ref="D247:D252"/>
    <mergeCell ref="M247:M252"/>
    <mergeCell ref="L247:L252"/>
    <mergeCell ref="N247:N252"/>
    <mergeCell ref="O247:O252"/>
    <mergeCell ref="P247:P252"/>
    <mergeCell ref="I247:I252"/>
    <mergeCell ref="J247:J252"/>
    <mergeCell ref="K247:K252"/>
    <mergeCell ref="H247:H252"/>
    <mergeCell ref="E247:E252"/>
    <mergeCell ref="F247:F252"/>
    <mergeCell ref="G247:G252"/>
    <mergeCell ref="F13:F18"/>
    <mergeCell ref="G13:G18"/>
    <mergeCell ref="O11:O12"/>
    <mergeCell ref="Q11:Q12"/>
    <mergeCell ref="D11:D12"/>
    <mergeCell ref="P11:P12"/>
    <mergeCell ref="L11:L12"/>
    <mergeCell ref="M11:M12"/>
  </mergeCells>
  <conditionalFormatting sqref="J19 J25 J37 J49 J61 J73 J85 J97 J109 J121 J133 J145 J157 J169 J181 J193 J205 J217 J229 J241 J259 J271 J283 J295 J307 J331 J343 J355 J367 J379 J391 J403 J415 J427 J439 J451 J463 J475 J487 J499 J511 J523 J31 J43 J55 J67 J79 J91 J103 J115 J127 J139 J151 J163 J175 J187 J199 J211 J223 J235 J253 J265 J277 J289 J301 J313 J325 J337 J349 J361 J373 J385 J397 J409 J421 J433 J445 J457 J469 J481 J493 J505 J517 J529 J247">
    <cfRule type="cellIs" dxfId="131" priority="488" stopIfTrue="1" operator="equal">
      <formula>"Muy Alta"</formula>
    </cfRule>
    <cfRule type="cellIs" dxfId="130" priority="489" stopIfTrue="1" operator="equal">
      <formula>"Alta"</formula>
    </cfRule>
    <cfRule type="cellIs" dxfId="129" priority="490" stopIfTrue="1" operator="equal">
      <formula>"Media"</formula>
    </cfRule>
    <cfRule type="cellIs" dxfId="128" priority="491" stopIfTrue="1" operator="equal">
      <formula>"Baja"</formula>
    </cfRule>
    <cfRule type="cellIs" dxfId="127" priority="492" stopIfTrue="1" operator="equal">
      <formula>"Muy Baja"</formula>
    </cfRule>
  </conditionalFormatting>
  <conditionalFormatting sqref="N19 N25 N37 N49 N61 N73 N85 N97 N109 N121 N133 N145 N157 N169 N181 N193 N205 N217 N229 N241 N259 N271 N283 N295 N307 N331 N343 N355 N367 N379 N391 N403 N415 N427 N439 N451 N463 N475 N487 N499 N511 N523 N31 N43 N55 N67 N79 N91 N103 N115 N127 N139 N151 N163 N175 N187 N199 N211 N223 N235 N253 N265 N277 N289 N301 N313 N325 N337 N349 N361 N373 N385 N397 N409 N421 N433 N445 N457 N469 N481 N493 N505 N517 N529 N247">
    <cfRule type="cellIs" dxfId="126" priority="483" stopIfTrue="1" operator="equal">
      <formula>"Catastrófico"</formula>
    </cfRule>
    <cfRule type="cellIs" dxfId="125" priority="484" stopIfTrue="1" operator="equal">
      <formula>"Mayor"</formula>
    </cfRule>
    <cfRule type="cellIs" dxfId="124" priority="485" stopIfTrue="1" operator="equal">
      <formula>"Moderado"</formula>
    </cfRule>
    <cfRule type="cellIs" dxfId="123" priority="486" stopIfTrue="1" operator="equal">
      <formula>"Menor"</formula>
    </cfRule>
    <cfRule type="cellIs" dxfId="122" priority="487" stopIfTrue="1" operator="equal">
      <formula>"Leve"</formula>
    </cfRule>
  </conditionalFormatting>
  <conditionalFormatting sqref="P19 P25 P37 P49 P61 P73 P85 P97 P109 P121 P133 P145 P157 P169 P181 P193 P205 P217 P229 P241 P259 P271 P283 P295 P307 P331 P343 P355 P367 P379 P391 P403 P415 P427 P439 P451 P463 P475 P487 P499 P511 P523 P31 P43 P55 P67 P79 P91 P103 P115 P127 P139 P151 P163 P175 P187 P199 P211 P223 P235 P253 P265 P277 P289 P301 P313 P325 P337 P349 P361 P373 P385 P397 P409 P421 P433 P445 P457 P469 P481 P493 P505 P517 P529 P247">
    <cfRule type="cellIs" dxfId="121" priority="479" stopIfTrue="1" operator="equal">
      <formula>"Extremo"</formula>
    </cfRule>
    <cfRule type="cellIs" dxfId="120" priority="480" stopIfTrue="1" operator="equal">
      <formula>"Alto"</formula>
    </cfRule>
    <cfRule type="cellIs" dxfId="119" priority="481" stopIfTrue="1" operator="equal">
      <formula>"Moderado"</formula>
    </cfRule>
    <cfRule type="cellIs" dxfId="118" priority="482" stopIfTrue="1" operator="equal">
      <formula>"Bajo"</formula>
    </cfRule>
  </conditionalFormatting>
  <conditionalFormatting sqref="AA15:AA108 AA133:AA534">
    <cfRule type="cellIs" dxfId="117" priority="474" stopIfTrue="1" operator="equal">
      <formula>"Muy Alta"</formula>
    </cfRule>
    <cfRule type="cellIs" dxfId="116" priority="475" stopIfTrue="1" operator="equal">
      <formula>"Alta"</formula>
    </cfRule>
    <cfRule type="cellIs" dxfId="115" priority="476" stopIfTrue="1" operator="equal">
      <formula>"Media"</formula>
    </cfRule>
    <cfRule type="cellIs" dxfId="114" priority="477" stopIfTrue="1" operator="equal">
      <formula>"Baja"</formula>
    </cfRule>
    <cfRule type="cellIs" dxfId="113" priority="478" stopIfTrue="1" operator="equal">
      <formula>"Muy Baja"</formula>
    </cfRule>
  </conditionalFormatting>
  <conditionalFormatting sqref="AC15:AC108 AC133:AC534">
    <cfRule type="cellIs" dxfId="112" priority="469" stopIfTrue="1" operator="equal">
      <formula>"Catastrófico"</formula>
    </cfRule>
    <cfRule type="cellIs" dxfId="111" priority="470" stopIfTrue="1" operator="equal">
      <formula>"Mayor"</formula>
    </cfRule>
    <cfRule type="cellIs" dxfId="110" priority="471" stopIfTrue="1" operator="equal">
      <formula>"Moderado"</formula>
    </cfRule>
    <cfRule type="cellIs" dxfId="109" priority="472" stopIfTrue="1" operator="equal">
      <formula>"Menor"</formula>
    </cfRule>
    <cfRule type="cellIs" dxfId="108" priority="473" stopIfTrue="1" operator="equal">
      <formula>"Leve"</formula>
    </cfRule>
  </conditionalFormatting>
  <conditionalFormatting sqref="AE15:AE108 AE133:AE534">
    <cfRule type="cellIs" dxfId="107" priority="465" stopIfTrue="1" operator="equal">
      <formula>"Extremo"</formula>
    </cfRule>
    <cfRule type="cellIs" dxfId="106" priority="466" stopIfTrue="1" operator="equal">
      <formula>"Alto"</formula>
    </cfRule>
    <cfRule type="cellIs" dxfId="105" priority="467" stopIfTrue="1" operator="equal">
      <formula>"Moderado"</formula>
    </cfRule>
    <cfRule type="cellIs" dxfId="104" priority="468" stopIfTrue="1" operator="equal">
      <formula>"Bajo"</formula>
    </cfRule>
  </conditionalFormatting>
  <conditionalFormatting sqref="M25:M247 M325:M534 M253:M318">
    <cfRule type="containsText" dxfId="103" priority="170" stopIfTrue="1" operator="containsText" text="❌">
      <formula>NOT(ISERROR(SEARCH("❌",M25)))</formula>
    </cfRule>
  </conditionalFormatting>
  <conditionalFormatting sqref="AA13:AA14">
    <cfRule type="cellIs" dxfId="102" priority="93" stopIfTrue="1" operator="equal">
      <formula>"Muy Alta"</formula>
    </cfRule>
    <cfRule type="cellIs" dxfId="101" priority="94" stopIfTrue="1" operator="equal">
      <formula>"Alta"</formula>
    </cfRule>
    <cfRule type="cellIs" dxfId="100" priority="95" stopIfTrue="1" operator="equal">
      <formula>"Media"</formula>
    </cfRule>
    <cfRule type="cellIs" dxfId="99" priority="96" stopIfTrue="1" operator="equal">
      <formula>"Baja"</formula>
    </cfRule>
    <cfRule type="cellIs" dxfId="98" priority="97" stopIfTrue="1" operator="equal">
      <formula>"Muy Baja"</formula>
    </cfRule>
  </conditionalFormatting>
  <conditionalFormatting sqref="AC13:AC14">
    <cfRule type="cellIs" dxfId="97" priority="88" stopIfTrue="1" operator="equal">
      <formula>"Catastrófico"</formula>
    </cfRule>
    <cfRule type="cellIs" dxfId="96" priority="89" stopIfTrue="1" operator="equal">
      <formula>"Mayor"</formula>
    </cfRule>
    <cfRule type="cellIs" dxfId="95" priority="90" stopIfTrue="1" operator="equal">
      <formula>"Moderado"</formula>
    </cfRule>
    <cfRule type="cellIs" dxfId="94" priority="91" stopIfTrue="1" operator="equal">
      <formula>"Menor"</formula>
    </cfRule>
    <cfRule type="cellIs" dxfId="93" priority="92" stopIfTrue="1" operator="equal">
      <formula>"Leve"</formula>
    </cfRule>
  </conditionalFormatting>
  <conditionalFormatting sqref="AE13:AE14">
    <cfRule type="cellIs" dxfId="92" priority="84" stopIfTrue="1" operator="equal">
      <formula>"Extremo"</formula>
    </cfRule>
    <cfRule type="cellIs" dxfId="91" priority="85" stopIfTrue="1" operator="equal">
      <formula>"Alto"</formula>
    </cfRule>
    <cfRule type="cellIs" dxfId="90" priority="86" stopIfTrue="1" operator="equal">
      <formula>"Moderado"</formula>
    </cfRule>
    <cfRule type="cellIs" dxfId="89" priority="87" stopIfTrue="1" operator="equal">
      <formula>"Bajo"</formula>
    </cfRule>
  </conditionalFormatting>
  <conditionalFormatting sqref="J13">
    <cfRule type="cellIs" dxfId="88" priority="78" stopIfTrue="1" operator="equal">
      <formula>"Muy Alta"</formula>
    </cfRule>
    <cfRule type="cellIs" dxfId="87" priority="79" stopIfTrue="1" operator="equal">
      <formula>"Alta"</formula>
    </cfRule>
    <cfRule type="cellIs" dxfId="86" priority="80" stopIfTrue="1" operator="equal">
      <formula>"Media"</formula>
    </cfRule>
    <cfRule type="cellIs" dxfId="85" priority="81" stopIfTrue="1" operator="equal">
      <formula>"Baja"</formula>
    </cfRule>
    <cfRule type="cellIs" dxfId="84" priority="82" stopIfTrue="1" operator="equal">
      <formula>"Muy Baja"</formula>
    </cfRule>
  </conditionalFormatting>
  <conditionalFormatting sqref="N13">
    <cfRule type="cellIs" dxfId="83" priority="73" stopIfTrue="1" operator="equal">
      <formula>"Catastrófico"</formula>
    </cfRule>
    <cfRule type="cellIs" dxfId="82" priority="74" stopIfTrue="1" operator="equal">
      <formula>"Mayor"</formula>
    </cfRule>
    <cfRule type="cellIs" dxfId="81" priority="75" stopIfTrue="1" operator="equal">
      <formula>"Moderado"</formula>
    </cfRule>
    <cfRule type="cellIs" dxfId="80" priority="76" stopIfTrue="1" operator="equal">
      <formula>"Menor"</formula>
    </cfRule>
    <cfRule type="cellIs" dxfId="79" priority="77" stopIfTrue="1" operator="equal">
      <formula>"Leve"</formula>
    </cfRule>
  </conditionalFormatting>
  <conditionalFormatting sqref="P13">
    <cfRule type="cellIs" dxfId="78" priority="69" stopIfTrue="1" operator="equal">
      <formula>"Extremo"</formula>
    </cfRule>
    <cfRule type="cellIs" dxfId="77" priority="70" stopIfTrue="1" operator="equal">
      <formula>"Alto"</formula>
    </cfRule>
    <cfRule type="cellIs" dxfId="76" priority="71" stopIfTrue="1" operator="equal">
      <formula>"Moderado"</formula>
    </cfRule>
    <cfRule type="cellIs" dxfId="75" priority="72" stopIfTrue="1" operator="equal">
      <formula>"Bajo"</formula>
    </cfRule>
  </conditionalFormatting>
  <conditionalFormatting sqref="M13:M24">
    <cfRule type="containsText" dxfId="74" priority="68" stopIfTrue="1" operator="containsText" text="❌">
      <formula>NOT(ISERROR(SEARCH("❌",M13)))</formula>
    </cfRule>
  </conditionalFormatting>
  <conditionalFormatting sqref="AA111:AA126">
    <cfRule type="cellIs" dxfId="73" priority="63" stopIfTrue="1" operator="equal">
      <formula>"Muy Alta"</formula>
    </cfRule>
    <cfRule type="cellIs" dxfId="72" priority="64" stopIfTrue="1" operator="equal">
      <formula>"Alta"</formula>
    </cfRule>
    <cfRule type="cellIs" dxfId="71" priority="65" stopIfTrue="1" operator="equal">
      <formula>"Media"</formula>
    </cfRule>
    <cfRule type="cellIs" dxfId="70" priority="66" stopIfTrue="1" operator="equal">
      <formula>"Baja"</formula>
    </cfRule>
    <cfRule type="cellIs" dxfId="69" priority="67" stopIfTrue="1" operator="equal">
      <formula>"Muy Baja"</formula>
    </cfRule>
  </conditionalFormatting>
  <conditionalFormatting sqref="AC111:AC132">
    <cfRule type="cellIs" dxfId="68" priority="58" stopIfTrue="1" operator="equal">
      <formula>"Catastrófico"</formula>
    </cfRule>
    <cfRule type="cellIs" dxfId="67" priority="59" stopIfTrue="1" operator="equal">
      <formula>"Mayor"</formula>
    </cfRule>
    <cfRule type="cellIs" dxfId="66" priority="60" stopIfTrue="1" operator="equal">
      <formula>"Moderado"</formula>
    </cfRule>
    <cfRule type="cellIs" dxfId="65" priority="61" stopIfTrue="1" operator="equal">
      <formula>"Menor"</formula>
    </cfRule>
    <cfRule type="cellIs" dxfId="64" priority="62" stopIfTrue="1" operator="equal">
      <formula>"Leve"</formula>
    </cfRule>
  </conditionalFormatting>
  <conditionalFormatting sqref="AE111:AE132">
    <cfRule type="cellIs" dxfId="63" priority="54" stopIfTrue="1" operator="equal">
      <formula>"Extremo"</formula>
    </cfRule>
    <cfRule type="cellIs" dxfId="62" priority="55" stopIfTrue="1" operator="equal">
      <formula>"Alto"</formula>
    </cfRule>
    <cfRule type="cellIs" dxfId="61" priority="56" stopIfTrue="1" operator="equal">
      <formula>"Moderado"</formula>
    </cfRule>
    <cfRule type="cellIs" dxfId="60" priority="57" stopIfTrue="1" operator="equal">
      <formula>"Bajo"</formula>
    </cfRule>
  </conditionalFormatting>
  <conditionalFormatting sqref="AA128:AA132">
    <cfRule type="cellIs" dxfId="59" priority="49" stopIfTrue="1" operator="equal">
      <formula>"Muy Alta"</formula>
    </cfRule>
    <cfRule type="cellIs" dxfId="58" priority="50" stopIfTrue="1" operator="equal">
      <formula>"Alta"</formula>
    </cfRule>
    <cfRule type="cellIs" dxfId="57" priority="51" stopIfTrue="1" operator="equal">
      <formula>"Media"</formula>
    </cfRule>
    <cfRule type="cellIs" dxfId="56" priority="52" stopIfTrue="1" operator="equal">
      <formula>"Baja"</formula>
    </cfRule>
    <cfRule type="cellIs" dxfId="55" priority="53" stopIfTrue="1" operator="equal">
      <formula>"Muy Baja"</formula>
    </cfRule>
  </conditionalFormatting>
  <conditionalFormatting sqref="AA109">
    <cfRule type="cellIs" dxfId="54" priority="44" stopIfTrue="1" operator="equal">
      <formula>"Muy Alta"</formula>
    </cfRule>
    <cfRule type="cellIs" dxfId="53" priority="45" stopIfTrue="1" operator="equal">
      <formula>"Alta"</formula>
    </cfRule>
    <cfRule type="cellIs" dxfId="52" priority="46" stopIfTrue="1" operator="equal">
      <formula>"Media"</formula>
    </cfRule>
    <cfRule type="cellIs" dxfId="51" priority="47" stopIfTrue="1" operator="equal">
      <formula>"Baja"</formula>
    </cfRule>
    <cfRule type="cellIs" dxfId="50" priority="48" stopIfTrue="1" operator="equal">
      <formula>"Muy Baja"</formula>
    </cfRule>
  </conditionalFormatting>
  <conditionalFormatting sqref="AC109">
    <cfRule type="cellIs" dxfId="49" priority="39" stopIfTrue="1" operator="equal">
      <formula>"Catastrófico"</formula>
    </cfRule>
    <cfRule type="cellIs" dxfId="48" priority="40" stopIfTrue="1" operator="equal">
      <formula>"Mayor"</formula>
    </cfRule>
    <cfRule type="cellIs" dxfId="47" priority="41" stopIfTrue="1" operator="equal">
      <formula>"Moderado"</formula>
    </cfRule>
    <cfRule type="cellIs" dxfId="46" priority="42" stopIfTrue="1" operator="equal">
      <formula>"Menor"</formula>
    </cfRule>
    <cfRule type="cellIs" dxfId="45" priority="43" stopIfTrue="1" operator="equal">
      <formula>"Leve"</formula>
    </cfRule>
  </conditionalFormatting>
  <conditionalFormatting sqref="AE109">
    <cfRule type="cellIs" dxfId="44" priority="35" stopIfTrue="1" operator="equal">
      <formula>"Extremo"</formula>
    </cfRule>
    <cfRule type="cellIs" dxfId="43" priority="36" stopIfTrue="1" operator="equal">
      <formula>"Alto"</formula>
    </cfRule>
    <cfRule type="cellIs" dxfId="42" priority="37" stopIfTrue="1" operator="equal">
      <formula>"Moderado"</formula>
    </cfRule>
    <cfRule type="cellIs" dxfId="41" priority="38" stopIfTrue="1" operator="equal">
      <formula>"Bajo"</formula>
    </cfRule>
  </conditionalFormatting>
  <conditionalFormatting sqref="AA110">
    <cfRule type="cellIs" dxfId="40" priority="30" stopIfTrue="1" operator="equal">
      <formula>"Muy Alta"</formula>
    </cfRule>
    <cfRule type="cellIs" dxfId="39" priority="31" stopIfTrue="1" operator="equal">
      <formula>"Alta"</formula>
    </cfRule>
    <cfRule type="cellIs" dxfId="38" priority="32" stopIfTrue="1" operator="equal">
      <formula>"Media"</formula>
    </cfRule>
    <cfRule type="cellIs" dxfId="37" priority="33" stopIfTrue="1" operator="equal">
      <formula>"Baja"</formula>
    </cfRule>
    <cfRule type="cellIs" dxfId="36" priority="34" stopIfTrue="1" operator="equal">
      <formula>"Muy Baja"</formula>
    </cfRule>
  </conditionalFormatting>
  <conditionalFormatting sqref="AC110">
    <cfRule type="cellIs" dxfId="35" priority="25" stopIfTrue="1" operator="equal">
      <formula>"Catastrófico"</formula>
    </cfRule>
    <cfRule type="cellIs" dxfId="34" priority="26" stopIfTrue="1" operator="equal">
      <formula>"Mayor"</formula>
    </cfRule>
    <cfRule type="cellIs" dxfId="33" priority="27" stopIfTrue="1" operator="equal">
      <formula>"Moderado"</formula>
    </cfRule>
    <cfRule type="cellIs" dxfId="32" priority="28" stopIfTrue="1" operator="equal">
      <formula>"Menor"</formula>
    </cfRule>
    <cfRule type="cellIs" dxfId="31" priority="29" stopIfTrue="1" operator="equal">
      <formula>"Leve"</formula>
    </cfRule>
  </conditionalFormatting>
  <conditionalFormatting sqref="AE110">
    <cfRule type="cellIs" dxfId="30" priority="21" stopIfTrue="1" operator="equal">
      <formula>"Extremo"</formula>
    </cfRule>
    <cfRule type="cellIs" dxfId="29" priority="22" stopIfTrue="1" operator="equal">
      <formula>"Alto"</formula>
    </cfRule>
    <cfRule type="cellIs" dxfId="28" priority="23" stopIfTrue="1" operator="equal">
      <formula>"Moderado"</formula>
    </cfRule>
    <cfRule type="cellIs" dxfId="27" priority="24" stopIfTrue="1" operator="equal">
      <formula>"Bajo"</formula>
    </cfRule>
  </conditionalFormatting>
  <conditionalFormatting sqref="AA127">
    <cfRule type="cellIs" dxfId="26" priority="16" stopIfTrue="1" operator="equal">
      <formula>"Muy Alta"</formula>
    </cfRule>
    <cfRule type="cellIs" dxfId="25" priority="17" stopIfTrue="1" operator="equal">
      <formula>"Alta"</formula>
    </cfRule>
    <cfRule type="cellIs" dxfId="24" priority="18" stopIfTrue="1" operator="equal">
      <formula>"Media"</formula>
    </cfRule>
    <cfRule type="cellIs" dxfId="23" priority="19" stopIfTrue="1" operator="equal">
      <formula>"Baja"</formula>
    </cfRule>
    <cfRule type="cellIs" dxfId="22" priority="20" stopIfTrue="1" operator="equal">
      <formula>"Muy Baja"</formula>
    </cfRule>
  </conditionalFormatting>
  <conditionalFormatting sqref="J319">
    <cfRule type="cellIs" dxfId="21" priority="11" stopIfTrue="1" operator="equal">
      <formula>"Muy Alta"</formula>
    </cfRule>
    <cfRule type="cellIs" dxfId="20" priority="12" stopIfTrue="1" operator="equal">
      <formula>"Alta"</formula>
    </cfRule>
    <cfRule type="cellIs" dxfId="19" priority="13" stopIfTrue="1" operator="equal">
      <formula>"Media"</formula>
    </cfRule>
    <cfRule type="cellIs" dxfId="18" priority="14" stopIfTrue="1" operator="equal">
      <formula>"Baja"</formula>
    </cfRule>
    <cfRule type="cellIs" dxfId="17" priority="15" stopIfTrue="1" operator="equal">
      <formula>"Muy Baja"</formula>
    </cfRule>
  </conditionalFormatting>
  <conditionalFormatting sqref="N319">
    <cfRule type="cellIs" dxfId="16" priority="6" stopIfTrue="1" operator="equal">
      <formula>"Catastrófico"</formula>
    </cfRule>
    <cfRule type="cellIs" dxfId="15" priority="7" stopIfTrue="1" operator="equal">
      <formula>"Mayor"</formula>
    </cfRule>
    <cfRule type="cellIs" dxfId="14" priority="8" stopIfTrue="1" operator="equal">
      <formula>"Moderado"</formula>
    </cfRule>
    <cfRule type="cellIs" dxfId="13" priority="9" stopIfTrue="1" operator="equal">
      <formula>"Menor"</formula>
    </cfRule>
    <cfRule type="cellIs" dxfId="12" priority="10" stopIfTrue="1" operator="equal">
      <formula>"Leve"</formula>
    </cfRule>
  </conditionalFormatting>
  <conditionalFormatting sqref="P319">
    <cfRule type="cellIs" dxfId="11" priority="2" stopIfTrue="1" operator="equal">
      <formula>"Extremo"</formula>
    </cfRule>
    <cfRule type="cellIs" dxfId="10" priority="3" stopIfTrue="1" operator="equal">
      <formula>"Alto"</formula>
    </cfRule>
    <cfRule type="cellIs" dxfId="9" priority="4" stopIfTrue="1" operator="equal">
      <formula>"Moderado"</formula>
    </cfRule>
    <cfRule type="cellIs" dxfId="8" priority="5" stopIfTrue="1" operator="equal">
      <formula>"Bajo"</formula>
    </cfRule>
  </conditionalFormatting>
  <conditionalFormatting sqref="M319:M324">
    <cfRule type="containsText" dxfId="7" priority="1" stopIfTrue="1" operator="containsText" text="❌">
      <formula>NOT(ISERROR(SEARCH("❌",M319)))</formula>
    </cfRule>
  </conditionalFormatting>
  <pageMargins left="0.7" right="0.7" top="0.75" bottom="0.75" header="0.3" footer="0.3"/>
  <pageSetup scale="10" orientation="portrait" r:id="rId1"/>
  <colBreaks count="1" manualBreakCount="1">
    <brk id="38" max="1048575" man="1"/>
  </colBreaks>
  <ignoredErrors>
    <ignoredError sqref="I187" unlockedFormula="1"/>
  </ignoredErrors>
  <drawing r:id="rId2"/>
  <legacyDrawing r:id="rId3"/>
  <extLst>
    <ext xmlns:x14="http://schemas.microsoft.com/office/spreadsheetml/2009/9/main" uri="{CCE6A557-97BC-4b89-ADB6-D9C93CAAB3DF}">
      <x14:dataValidations xmlns:xm="http://schemas.microsoft.com/office/excel/2006/main" count="16">
        <x14:dataValidation type="list" allowBlank="1" showInputMessage="1" showErrorMessage="1">
          <x14:formula1>
            <xm:f>'Opciones Tratamiento'!$B$27:$B$42</xm:f>
          </x14:formula1>
          <xm:sqref>B325:B534 B19:B318</xm:sqref>
        </x14:dataValidation>
        <x14:dataValidation type="list" allowBlank="1" showInputMessage="1" showErrorMessage="1">
          <x14:formula1>
            <xm:f>'Opciones Tratamiento'!$B$4:$B$7</xm:f>
          </x14:formula1>
          <xm:sqref>D325:D534 D19:D318</xm:sqref>
        </x14:dataValidation>
        <x14:dataValidation type="list" allowBlank="1" showInputMessage="1" showErrorMessage="1">
          <x14:formula1>
            <xm:f>'Opciones Tratamiento'!$C$4:$C$11</xm:f>
          </x14:formula1>
          <xm:sqref>H325:H534 H13:H318</xm:sqref>
        </x14:dataValidation>
        <x14:dataValidation type="list" allowBlank="1" showInputMessage="1" showErrorMessage="1">
          <x14:formula1>
            <xm:f>'Opciones Tratamiento'!$D$4:$D$17</xm:f>
          </x14:formula1>
          <xm:sqref>L325:L534 L19:L318</xm:sqref>
        </x14:dataValidation>
        <x14:dataValidation type="list" allowBlank="1" showInputMessage="1" showErrorMessage="1">
          <x14:formula1>
            <xm:f>'Tabla Valoración controles'!$D$4:$D$6</xm:f>
          </x14:formula1>
          <xm:sqref>T15:T108 T133:T534</xm:sqref>
        </x14:dataValidation>
        <x14:dataValidation type="list" allowBlank="1" showInputMessage="1" showErrorMessage="1">
          <x14:formula1>
            <xm:f>'Tabla Valoración controles'!$D$7:$D$8</xm:f>
          </x14:formula1>
          <xm:sqref>U15:U108 U133:U534</xm:sqref>
        </x14:dataValidation>
        <x14:dataValidation type="list" allowBlank="1" showInputMessage="1" showErrorMessage="1">
          <x14:formula1>
            <xm:f>'Tabla Valoración controles'!$D$9:$D$10</xm:f>
          </x14:formula1>
          <xm:sqref>W15:W108 W133:W534</xm:sqref>
        </x14:dataValidation>
        <x14:dataValidation type="list" allowBlank="1" showInputMessage="1" showErrorMessage="1">
          <x14:formula1>
            <xm:f>'Tabla Valoración controles'!$D$11:$D$12</xm:f>
          </x14:formula1>
          <xm:sqref>X15:X108 X133:X534</xm:sqref>
        </x14:dataValidation>
        <x14:dataValidation type="list" allowBlank="1" showInputMessage="1" showErrorMessage="1">
          <x14:formula1>
            <xm:f>'Tabla Valoración controles'!$D$13:$D$14</xm:f>
          </x14:formula1>
          <xm:sqref>Y15:Y108 Y133:Y534</xm:sqref>
        </x14:dataValidation>
        <x14:dataValidation type="list" allowBlank="1" showInputMessage="1" showErrorMessage="1">
          <x14:formula1>
            <xm:f>'Opciones Tratamiento'!$B$20:$B$24</xm:f>
          </x14:formula1>
          <xm:sqref>AF127 AF15:AF109 AF115 AF121 AF133:AF534</xm:sqref>
        </x14:dataValidation>
        <x14:dataValidation type="list" allowBlank="1" showInputMessage="1" showErrorMessage="1">
          <x14:formula1>
            <xm:f>'Opciones Tratamiento'!$C$20:$C$22</xm:f>
          </x14:formula1>
          <xm:sqref>AL15:AL534</xm:sqref>
        </x14:dataValidation>
        <x14:dataValidation type="list" allowBlank="1" showInputMessage="1" showErrorMessage="1">
          <x14:formula1>
            <xm:f>'G:\Riesgos 2022 - HOMIL\Mapa de Riesgos V 2022\[FT - Mapa de Riesgos Institucional - Gestión Ética y Buen Gobierno.xlsx]Opciones Tratamiento'!#REF!</xm:f>
          </x14:formula1>
          <xm:sqref>AL13:AL14 B13:B18 D13:D18 L13:L18 AF13:AF14</xm:sqref>
        </x14:dataValidation>
        <x14:dataValidation type="list" allowBlank="1" showInputMessage="1" showErrorMessage="1">
          <x14:formula1>
            <xm:f>'G:\Riesgos 2022 - HOMIL\Mapa de Riesgos V 2022\[FT - Mapa de Riesgos Institucional - Gestión Ética y Buen Gobierno.xlsx]Tabla Valoración controles'!#REF!</xm:f>
          </x14:formula1>
          <xm:sqref>T13:U14 W13:Y14</xm:sqref>
        </x14:dataValidation>
        <x14:dataValidation type="list" allowBlank="1" showInputMessage="1" showErrorMessage="1">
          <x14:formula1>
            <xm:f>'G:\Riesgos 2022 - HOMIL\Mapa de Riesgos V 2022\[FT - Mapa de Riesgos Institucional - Gestión de Apoyo Asistencial y Farmaceutico.xlsx]Opciones Tratamiento'!#REF!</xm:f>
          </x14:formula1>
          <xm:sqref>AF128:AF132 AF116:AF120 AF122:AF126 AF110:AF114</xm:sqref>
        </x14:dataValidation>
        <x14:dataValidation type="list" allowBlank="1" showInputMessage="1" showErrorMessage="1">
          <x14:formula1>
            <xm:f>'G:\Riesgos 2022 - HOMIL\Mapa de Riesgos V 2022\[FT - Mapa de Riesgos Institucional - Gestión de Apoyo Asistencial y Farmaceutico.xlsx]Tabla Valoración controles'!#REF!</xm:f>
          </x14:formula1>
          <xm:sqref>T109:U132 W109:Y132</xm:sqref>
        </x14:dataValidation>
        <x14:dataValidation type="list" allowBlank="1" showInputMessage="1" showErrorMessage="1">
          <x14:formula1>
            <xm:f>'G:\Riesgos 2022 - HOMIL\Mapa de Riesgos V 2022\[FT - Mapa de Riesgos Institucional - Gestión Jurídica.xlsx]Opciones Tratamiento'!#REF!</xm:f>
          </x14:formula1>
          <xm:sqref>H319:H324 B319:B324 D319:D324 L319:L324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91"/>
  <sheetViews>
    <sheetView zoomScale="40" zoomScaleNormal="40" workbookViewId="0"/>
  </sheetViews>
  <sheetFormatPr baseColWidth="10" defaultRowHeight="16.5" x14ac:dyDescent="0.3"/>
  <cols>
    <col min="1" max="1" width="40.7109375" style="1" customWidth="1"/>
    <col min="2" max="2" width="19.42578125" style="1" customWidth="1"/>
    <col min="3" max="3" width="37.28515625" style="1" bestFit="1" customWidth="1"/>
    <col min="4" max="6" width="48.7109375" style="1" customWidth="1"/>
    <col min="7" max="7" width="83.42578125" style="1" customWidth="1"/>
    <col min="8" max="9" width="45.140625" style="1" customWidth="1"/>
    <col min="10" max="13" width="62.28515625" style="1" customWidth="1"/>
    <col min="14" max="14" width="72.7109375" style="1" customWidth="1"/>
    <col min="15" max="15" width="3.28515625" style="1" customWidth="1"/>
    <col min="16" max="16" width="35.85546875" style="1" customWidth="1"/>
    <col min="17" max="16384" width="11.42578125" style="1"/>
  </cols>
  <sheetData>
    <row r="1" spans="1:71" s="174" customFormat="1" ht="24" thickBot="1" x14ac:dyDescent="0.4">
      <c r="A1" s="173"/>
      <c r="B1" s="173"/>
      <c r="C1" s="173"/>
      <c r="D1" s="173"/>
      <c r="E1" s="173"/>
      <c r="F1" s="173"/>
      <c r="G1" s="173"/>
      <c r="H1" s="173"/>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c r="AL1" s="173"/>
      <c r="AM1" s="173"/>
      <c r="AN1" s="173"/>
      <c r="AO1" s="173"/>
      <c r="AP1" s="173"/>
      <c r="AQ1" s="173"/>
      <c r="AR1" s="173"/>
      <c r="AS1" s="173"/>
      <c r="AT1" s="173"/>
      <c r="AU1" s="173"/>
      <c r="AV1" s="173"/>
      <c r="AW1" s="173"/>
      <c r="AX1" s="173"/>
      <c r="AY1" s="173"/>
      <c r="AZ1" s="173"/>
      <c r="BA1" s="173"/>
      <c r="BB1" s="173"/>
      <c r="BC1" s="173"/>
      <c r="BD1" s="173"/>
      <c r="BE1" s="173"/>
      <c r="BF1" s="173"/>
      <c r="BG1" s="173"/>
      <c r="BH1" s="173"/>
      <c r="BI1" s="173"/>
      <c r="BJ1" s="173"/>
      <c r="BK1" s="173"/>
      <c r="BL1" s="173"/>
      <c r="BM1" s="173"/>
      <c r="BN1" s="173"/>
      <c r="BO1" s="173"/>
      <c r="BP1" s="173"/>
      <c r="BQ1" s="173"/>
      <c r="BR1" s="173"/>
      <c r="BS1" s="173"/>
    </row>
    <row r="2" spans="1:71" s="174" customFormat="1" ht="36.75" customHeight="1" x14ac:dyDescent="0.35">
      <c r="A2" s="381" t="s">
        <v>405</v>
      </c>
      <c r="B2" s="382"/>
      <c r="C2" s="382"/>
      <c r="D2" s="382"/>
      <c r="E2" s="382"/>
      <c r="F2" s="319" t="s">
        <v>406</v>
      </c>
      <c r="G2" s="319"/>
      <c r="H2" s="319"/>
      <c r="I2" s="319"/>
      <c r="J2" s="319"/>
      <c r="K2" s="319"/>
      <c r="L2" s="319"/>
      <c r="M2" s="319"/>
      <c r="N2" s="383" t="s">
        <v>428</v>
      </c>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173"/>
      <c r="BK2" s="173"/>
      <c r="BL2" s="173"/>
      <c r="BM2" s="173"/>
      <c r="BN2" s="173"/>
      <c r="BO2" s="173"/>
      <c r="BP2" s="173"/>
      <c r="BQ2" s="173"/>
      <c r="BR2" s="173"/>
      <c r="BS2" s="173"/>
    </row>
    <row r="3" spans="1:71" s="174" customFormat="1" ht="27" customHeight="1" x14ac:dyDescent="0.35">
      <c r="A3" s="385"/>
      <c r="B3" s="386"/>
      <c r="C3" s="386"/>
      <c r="D3" s="386"/>
      <c r="E3" s="386"/>
      <c r="F3" s="387" t="s">
        <v>404</v>
      </c>
      <c r="G3" s="387"/>
      <c r="H3" s="387"/>
      <c r="I3" s="387"/>
      <c r="J3" s="387"/>
      <c r="K3" s="387"/>
      <c r="L3" s="387"/>
      <c r="M3" s="387"/>
      <c r="N3" s="384"/>
      <c r="O3" s="175"/>
      <c r="P3" s="175"/>
      <c r="Q3" s="175"/>
      <c r="R3" s="175"/>
      <c r="S3" s="175"/>
      <c r="T3" s="175"/>
      <c r="U3" s="175"/>
      <c r="V3" s="176"/>
      <c r="W3" s="176"/>
      <c r="X3" s="176"/>
      <c r="Y3" s="173"/>
      <c r="Z3" s="173"/>
      <c r="AA3" s="173"/>
      <c r="AB3" s="173"/>
      <c r="AC3" s="173"/>
      <c r="AD3" s="173"/>
      <c r="AE3" s="173"/>
      <c r="AF3" s="173"/>
      <c r="AG3" s="173"/>
      <c r="AH3" s="173"/>
      <c r="AI3" s="173"/>
      <c r="AJ3" s="173"/>
      <c r="AK3" s="173"/>
      <c r="AL3" s="173"/>
      <c r="AM3" s="1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c r="BM3" s="173"/>
      <c r="BN3" s="173"/>
      <c r="BO3" s="173"/>
      <c r="BP3" s="173"/>
      <c r="BQ3" s="173"/>
      <c r="BR3" s="173"/>
      <c r="BS3" s="173"/>
    </row>
    <row r="4" spans="1:71" s="174" customFormat="1" ht="27.75" customHeight="1" x14ac:dyDescent="0.35">
      <c r="A4" s="385"/>
      <c r="B4" s="386"/>
      <c r="C4" s="386"/>
      <c r="D4" s="386"/>
      <c r="E4" s="386"/>
      <c r="F4" s="387"/>
      <c r="G4" s="387"/>
      <c r="H4" s="387"/>
      <c r="I4" s="387"/>
      <c r="J4" s="387"/>
      <c r="K4" s="387"/>
      <c r="L4" s="387"/>
      <c r="M4" s="387"/>
      <c r="N4" s="190" t="s">
        <v>429</v>
      </c>
      <c r="O4" s="177"/>
      <c r="P4" s="176"/>
      <c r="Q4" s="178"/>
      <c r="R4" s="178"/>
      <c r="S4" s="178"/>
      <c r="T4" s="178"/>
      <c r="U4" s="178"/>
      <c r="V4" s="178"/>
      <c r="W4" s="178"/>
      <c r="X4" s="178"/>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173"/>
      <c r="BP4" s="173"/>
      <c r="BQ4" s="173"/>
      <c r="BR4" s="173"/>
      <c r="BS4" s="173"/>
    </row>
    <row r="5" spans="1:71" s="174" customFormat="1" ht="24.75" customHeight="1" x14ac:dyDescent="0.35">
      <c r="A5" s="385"/>
      <c r="B5" s="386"/>
      <c r="C5" s="386"/>
      <c r="D5" s="386"/>
      <c r="E5" s="386"/>
      <c r="F5" s="387" t="s">
        <v>407</v>
      </c>
      <c r="G5" s="387"/>
      <c r="H5" s="387"/>
      <c r="I5" s="387"/>
      <c r="J5" s="387"/>
      <c r="K5" s="387"/>
      <c r="L5" s="387"/>
      <c r="M5" s="387"/>
      <c r="N5" s="190" t="s">
        <v>430</v>
      </c>
      <c r="O5" s="177"/>
      <c r="P5" s="176"/>
      <c r="Q5" s="178"/>
      <c r="R5" s="178"/>
      <c r="S5" s="178"/>
      <c r="T5" s="178"/>
      <c r="U5" s="178"/>
      <c r="V5" s="178"/>
      <c r="W5" s="178"/>
      <c r="X5" s="178"/>
      <c r="Y5" s="173"/>
      <c r="Z5" s="173"/>
      <c r="AA5" s="173"/>
      <c r="AB5" s="173"/>
      <c r="AC5" s="173"/>
      <c r="AD5" s="173"/>
      <c r="AE5" s="173"/>
      <c r="AF5" s="173"/>
      <c r="AG5" s="173"/>
      <c r="AH5" s="173"/>
      <c r="AI5" s="173"/>
      <c r="AJ5" s="173"/>
      <c r="AK5" s="173"/>
      <c r="AL5" s="173"/>
      <c r="AM5" s="173"/>
      <c r="AN5" s="173"/>
      <c r="AO5" s="173"/>
      <c r="AP5" s="173"/>
      <c r="AQ5" s="173"/>
      <c r="AR5" s="173"/>
      <c r="AS5" s="173"/>
      <c r="AT5" s="173"/>
      <c r="AU5" s="173"/>
      <c r="AV5" s="173"/>
      <c r="AW5" s="173"/>
      <c r="AX5" s="173"/>
      <c r="AY5" s="173"/>
      <c r="AZ5" s="173"/>
      <c r="BA5" s="173"/>
      <c r="BB5" s="173"/>
      <c r="BC5" s="173"/>
      <c r="BD5" s="173"/>
      <c r="BE5" s="173"/>
      <c r="BF5" s="173"/>
      <c r="BG5" s="173"/>
      <c r="BH5" s="173"/>
      <c r="BI5" s="173"/>
      <c r="BJ5" s="173"/>
      <c r="BK5" s="173"/>
      <c r="BL5" s="173"/>
      <c r="BM5" s="173"/>
      <c r="BN5" s="173"/>
      <c r="BO5" s="173"/>
      <c r="BP5" s="173"/>
      <c r="BQ5" s="173"/>
      <c r="BR5" s="173"/>
      <c r="BS5" s="173"/>
    </row>
    <row r="6" spans="1:71" s="174" customFormat="1" ht="33" customHeight="1" x14ac:dyDescent="0.35">
      <c r="A6" s="385"/>
      <c r="B6" s="386"/>
      <c r="C6" s="386"/>
      <c r="D6" s="386"/>
      <c r="E6" s="386"/>
      <c r="F6" s="386" t="s">
        <v>408</v>
      </c>
      <c r="G6" s="386"/>
      <c r="H6" s="386"/>
      <c r="I6" s="386"/>
      <c r="J6" s="386"/>
      <c r="K6" s="386"/>
      <c r="L6" s="386"/>
      <c r="M6" s="386"/>
      <c r="N6" s="190" t="s">
        <v>409</v>
      </c>
      <c r="O6" s="177"/>
      <c r="P6" s="176"/>
      <c r="Q6" s="179"/>
      <c r="R6" s="179"/>
      <c r="S6" s="179"/>
      <c r="T6" s="179"/>
      <c r="U6" s="179"/>
      <c r="V6" s="179"/>
      <c r="W6" s="179"/>
      <c r="X6" s="179"/>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c r="AW6" s="173"/>
      <c r="AX6" s="173"/>
      <c r="AY6" s="173"/>
      <c r="AZ6" s="173"/>
      <c r="BA6" s="173"/>
      <c r="BB6" s="173"/>
      <c r="BC6" s="173"/>
      <c r="BD6" s="173"/>
      <c r="BE6" s="173"/>
      <c r="BF6" s="173"/>
      <c r="BG6" s="173"/>
      <c r="BH6" s="173"/>
      <c r="BI6" s="173"/>
      <c r="BJ6" s="173"/>
      <c r="BK6" s="173"/>
      <c r="BL6" s="173"/>
      <c r="BM6" s="173"/>
      <c r="BN6" s="173"/>
      <c r="BO6" s="173"/>
      <c r="BP6" s="173"/>
      <c r="BQ6" s="173"/>
      <c r="BR6" s="173"/>
      <c r="BS6" s="173"/>
    </row>
    <row r="7" spans="1:71" s="174" customFormat="1" ht="33" customHeight="1" thickBot="1" x14ac:dyDescent="0.4">
      <c r="A7" s="388"/>
      <c r="B7" s="389"/>
      <c r="C7" s="389"/>
      <c r="D7" s="389"/>
      <c r="E7" s="389"/>
      <c r="F7" s="389"/>
      <c r="G7" s="389"/>
      <c r="H7" s="389"/>
      <c r="I7" s="389"/>
      <c r="J7" s="389"/>
      <c r="K7" s="389"/>
      <c r="L7" s="389"/>
      <c r="M7" s="389"/>
      <c r="N7" s="390"/>
      <c r="O7" s="177"/>
      <c r="P7" s="179"/>
      <c r="Q7" s="179"/>
      <c r="R7" s="179"/>
      <c r="S7" s="179"/>
      <c r="T7" s="179"/>
      <c r="U7" s="179"/>
      <c r="V7" s="179"/>
      <c r="W7" s="179"/>
      <c r="X7" s="179"/>
      <c r="Y7" s="173"/>
      <c r="Z7" s="173"/>
      <c r="AA7" s="173"/>
      <c r="AB7" s="173"/>
      <c r="AC7" s="173"/>
      <c r="AD7" s="173"/>
      <c r="AE7" s="173"/>
      <c r="AF7" s="173"/>
      <c r="AG7" s="173"/>
      <c r="AH7" s="173"/>
      <c r="AI7" s="173"/>
      <c r="AJ7" s="173"/>
      <c r="AK7" s="173"/>
      <c r="AL7" s="173"/>
      <c r="AM7" s="173"/>
      <c r="AN7" s="173"/>
      <c r="AO7" s="173"/>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row>
    <row r="8" spans="1:71" s="174" customFormat="1" ht="29.25" customHeight="1" thickBot="1" x14ac:dyDescent="0.4">
      <c r="A8" s="170"/>
      <c r="B8" s="171"/>
      <c r="C8" s="171"/>
      <c r="D8" s="171"/>
      <c r="E8" s="172"/>
      <c r="F8" s="172"/>
      <c r="G8" s="172"/>
      <c r="H8" s="172"/>
      <c r="I8" s="172"/>
      <c r="J8" s="172"/>
      <c r="K8" s="172"/>
      <c r="L8" s="172"/>
      <c r="M8" s="172"/>
      <c r="N8" s="172"/>
      <c r="O8" s="177"/>
      <c r="P8" s="177"/>
      <c r="Q8" s="177"/>
      <c r="R8" s="177"/>
      <c r="S8" s="177"/>
      <c r="T8" s="177"/>
      <c r="U8" s="177"/>
      <c r="V8" s="177"/>
      <c r="W8" s="177"/>
      <c r="X8" s="177"/>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c r="AW8" s="173"/>
      <c r="AX8" s="173"/>
      <c r="AY8" s="173"/>
      <c r="AZ8" s="173"/>
      <c r="BA8" s="173"/>
      <c r="BB8" s="173"/>
      <c r="BC8" s="173"/>
      <c r="BD8" s="173"/>
      <c r="BE8" s="173"/>
      <c r="BF8" s="173"/>
      <c r="BG8" s="173"/>
      <c r="BH8" s="173"/>
      <c r="BI8" s="173"/>
      <c r="BJ8" s="173"/>
      <c r="BK8" s="173"/>
      <c r="BL8" s="173"/>
      <c r="BM8" s="173"/>
      <c r="BN8" s="173"/>
      <c r="BO8" s="173"/>
      <c r="BP8" s="173"/>
      <c r="BQ8" s="173"/>
      <c r="BR8" s="173"/>
      <c r="BS8" s="173"/>
    </row>
    <row r="9" spans="1:71" s="174" customFormat="1" ht="33.75" customHeight="1" thickBot="1" x14ac:dyDescent="0.4">
      <c r="A9" s="391" t="s">
        <v>410</v>
      </c>
      <c r="B9" s="392"/>
      <c r="C9" s="392"/>
      <c r="D9" s="392"/>
      <c r="E9" s="392"/>
      <c r="F9" s="392"/>
      <c r="G9" s="392"/>
      <c r="H9" s="392"/>
      <c r="I9" s="392"/>
      <c r="J9" s="392"/>
      <c r="K9" s="392"/>
      <c r="L9" s="392"/>
      <c r="M9" s="392"/>
      <c r="N9" s="393"/>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173"/>
      <c r="AO9" s="173"/>
      <c r="AP9" s="173"/>
      <c r="AQ9" s="173"/>
      <c r="AR9" s="173"/>
      <c r="AS9" s="173"/>
      <c r="AT9" s="173"/>
      <c r="AU9" s="173"/>
      <c r="AV9" s="173"/>
      <c r="AW9" s="173"/>
      <c r="AX9" s="173"/>
      <c r="AY9" s="173"/>
      <c r="AZ9" s="173"/>
      <c r="BA9" s="173"/>
      <c r="BB9" s="173"/>
      <c r="BC9" s="173"/>
      <c r="BD9" s="173"/>
      <c r="BE9" s="173"/>
      <c r="BF9" s="173"/>
      <c r="BG9" s="173"/>
      <c r="BH9" s="173"/>
      <c r="BI9" s="173"/>
      <c r="BJ9" s="173"/>
      <c r="BK9" s="173"/>
      <c r="BL9" s="173"/>
      <c r="BM9" s="173"/>
      <c r="BN9" s="173"/>
      <c r="BO9" s="173"/>
      <c r="BP9" s="173"/>
      <c r="BQ9" s="173"/>
      <c r="BR9" s="173"/>
      <c r="BS9" s="173"/>
    </row>
    <row r="10" spans="1:71" s="174" customFormat="1" ht="63" customHeight="1" thickBot="1" x14ac:dyDescent="0.4">
      <c r="A10" s="394" t="s">
        <v>411</v>
      </c>
      <c r="B10" s="396" t="s">
        <v>412</v>
      </c>
      <c r="C10" s="402"/>
      <c r="D10" s="397"/>
      <c r="E10" s="398"/>
      <c r="F10" s="394" t="s">
        <v>413</v>
      </c>
      <c r="G10" s="396" t="s">
        <v>414</v>
      </c>
      <c r="H10" s="397"/>
      <c r="I10" s="397"/>
      <c r="J10" s="397"/>
      <c r="K10" s="397"/>
      <c r="L10" s="397"/>
      <c r="M10" s="397"/>
      <c r="N10" s="398"/>
      <c r="O10" s="173"/>
      <c r="P10" s="173"/>
      <c r="Q10" s="173"/>
      <c r="R10" s="173"/>
      <c r="S10" s="173"/>
      <c r="T10" s="173"/>
      <c r="U10" s="173"/>
      <c r="V10" s="173"/>
      <c r="W10" s="173"/>
      <c r="X10" s="173"/>
      <c r="Y10" s="173"/>
      <c r="Z10" s="173"/>
      <c r="AA10" s="173"/>
      <c r="AB10" s="173"/>
      <c r="AC10" s="173"/>
      <c r="AD10" s="173"/>
      <c r="AE10" s="173"/>
      <c r="AF10" s="173"/>
      <c r="AG10" s="173"/>
      <c r="AH10" s="173"/>
      <c r="AI10" s="173"/>
      <c r="AJ10" s="173"/>
      <c r="AK10" s="173"/>
      <c r="AL10" s="173"/>
      <c r="AM10" s="173"/>
      <c r="AN10" s="173"/>
      <c r="AO10" s="173"/>
      <c r="AP10" s="173"/>
      <c r="AQ10" s="173"/>
      <c r="AR10" s="173"/>
      <c r="AS10" s="173"/>
      <c r="AT10" s="173"/>
      <c r="AU10" s="173"/>
      <c r="AV10" s="173"/>
      <c r="AW10" s="173"/>
      <c r="AX10" s="173"/>
      <c r="AY10" s="173"/>
      <c r="AZ10" s="173"/>
      <c r="BA10" s="173"/>
      <c r="BB10" s="173"/>
      <c r="BC10" s="173"/>
      <c r="BD10" s="173"/>
      <c r="BE10" s="173"/>
      <c r="BF10" s="173"/>
      <c r="BG10" s="173"/>
      <c r="BH10" s="173"/>
      <c r="BI10" s="173"/>
      <c r="BJ10" s="173"/>
      <c r="BK10" s="173"/>
      <c r="BL10" s="173"/>
      <c r="BM10" s="173"/>
      <c r="BN10" s="173"/>
      <c r="BO10" s="173"/>
      <c r="BP10" s="173"/>
      <c r="BQ10" s="173"/>
      <c r="BR10" s="173"/>
      <c r="BS10" s="173"/>
    </row>
    <row r="11" spans="1:71" s="174" customFormat="1" ht="144" customHeight="1" thickBot="1" x14ac:dyDescent="0.4">
      <c r="A11" s="395"/>
      <c r="B11" s="188" t="s">
        <v>415</v>
      </c>
      <c r="C11" s="188" t="s">
        <v>3</v>
      </c>
      <c r="D11" s="188" t="s">
        <v>42</v>
      </c>
      <c r="E11" s="188" t="s">
        <v>1</v>
      </c>
      <c r="F11" s="395"/>
      <c r="G11" s="189" t="s">
        <v>416</v>
      </c>
      <c r="H11" s="189" t="s">
        <v>417</v>
      </c>
      <c r="I11" s="188" t="s">
        <v>418</v>
      </c>
      <c r="J11" s="188" t="s">
        <v>419</v>
      </c>
      <c r="K11" s="188" t="s">
        <v>420</v>
      </c>
      <c r="L11" s="188" t="s">
        <v>35</v>
      </c>
      <c r="M11" s="188" t="s">
        <v>421</v>
      </c>
      <c r="N11" s="188" t="s">
        <v>422</v>
      </c>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c r="AW11" s="173"/>
      <c r="AX11" s="173"/>
      <c r="AY11" s="173"/>
      <c r="AZ11" s="173"/>
      <c r="BA11" s="173"/>
      <c r="BB11" s="173"/>
      <c r="BC11" s="173"/>
      <c r="BD11" s="173"/>
      <c r="BE11" s="173"/>
      <c r="BF11" s="173"/>
      <c r="BG11" s="173"/>
      <c r="BH11" s="173"/>
      <c r="BI11" s="173"/>
      <c r="BJ11" s="173"/>
      <c r="BK11" s="173"/>
      <c r="BL11" s="173"/>
      <c r="BM11" s="173"/>
      <c r="BN11" s="173"/>
      <c r="BO11" s="173"/>
      <c r="BP11" s="173"/>
      <c r="BQ11" s="173"/>
      <c r="BR11" s="173"/>
      <c r="BS11" s="173"/>
    </row>
    <row r="12" spans="1:71" s="181" customFormat="1" ht="45.75" customHeight="1" x14ac:dyDescent="0.3">
      <c r="A12" s="399" t="s">
        <v>410</v>
      </c>
      <c r="B12" s="380">
        <f>'Mapa final'!A13</f>
        <v>1</v>
      </c>
      <c r="C12" s="371" t="str">
        <f>'Mapa final'!E13</f>
        <v xml:space="preserve">Por pérdida de confianza y credibilidad por parte de la comunidad </v>
      </c>
      <c r="D12" s="376" t="str">
        <f>'Mapa final'!F13</f>
        <v>Incumplimiento de lineamientos de integridad, ética, bioética, humanización  y buen gobierno.</v>
      </c>
      <c r="E12" s="376" t="str">
        <f>'Mapa final'!G13</f>
        <v>Posibilidad de afectación reputacional por pérdida de confianza y credibilidad por parte de la comunidad, debido a Incumplimiento de lineamientos de integridad, ética, bioética, humanización  y buen gobierno.</v>
      </c>
      <c r="F12" s="378"/>
      <c r="G12" s="369" t="str">
        <f t="shared" ref="G12:N12" si="0">IFERROR(IF($F12="","No",IF($F12="No","No"," "))," ")</f>
        <v>No</v>
      </c>
      <c r="H12" s="369" t="str">
        <f t="shared" si="0"/>
        <v>No</v>
      </c>
      <c r="I12" s="369" t="str">
        <f t="shared" si="0"/>
        <v>No</v>
      </c>
      <c r="J12" s="369" t="str">
        <f t="shared" si="0"/>
        <v>No</v>
      </c>
      <c r="K12" s="369" t="str">
        <f t="shared" si="0"/>
        <v>No</v>
      </c>
      <c r="L12" s="369" t="str">
        <f t="shared" si="0"/>
        <v>No</v>
      </c>
      <c r="M12" s="369" t="str">
        <f t="shared" si="0"/>
        <v>No</v>
      </c>
      <c r="N12" s="369" t="str">
        <f t="shared" si="0"/>
        <v>No</v>
      </c>
      <c r="O12" s="180"/>
      <c r="P12" s="180"/>
      <c r="Q12" s="180"/>
      <c r="R12" s="180"/>
      <c r="S12" s="180"/>
      <c r="T12" s="180"/>
      <c r="U12" s="180"/>
      <c r="V12" s="180"/>
      <c r="W12" s="180"/>
      <c r="X12" s="180"/>
      <c r="Y12" s="180"/>
      <c r="Z12" s="180"/>
      <c r="AA12" s="180"/>
      <c r="AB12" s="180"/>
      <c r="AC12" s="180"/>
      <c r="AD12" s="180"/>
      <c r="AE12" s="180"/>
      <c r="AF12" s="180"/>
      <c r="AG12" s="180"/>
      <c r="AH12" s="180"/>
      <c r="AI12" s="180"/>
      <c r="AJ12" s="180"/>
      <c r="AK12" s="180"/>
      <c r="AL12" s="180"/>
      <c r="AM12" s="180"/>
      <c r="AN12" s="180"/>
      <c r="AO12" s="180"/>
      <c r="AP12" s="180"/>
      <c r="AQ12" s="180"/>
      <c r="AR12" s="180"/>
      <c r="AS12" s="180"/>
      <c r="AT12" s="180"/>
      <c r="AU12" s="180"/>
      <c r="AV12" s="180"/>
      <c r="AW12" s="180"/>
      <c r="AX12" s="180"/>
      <c r="AY12" s="180"/>
      <c r="AZ12" s="180"/>
      <c r="BA12" s="180"/>
      <c r="BB12" s="180"/>
      <c r="BC12" s="180"/>
      <c r="BD12" s="180"/>
      <c r="BE12" s="180"/>
      <c r="BF12" s="180"/>
      <c r="BG12" s="180"/>
      <c r="BH12" s="180"/>
      <c r="BI12" s="180"/>
      <c r="BJ12" s="180"/>
      <c r="BK12" s="180"/>
      <c r="BL12" s="180"/>
      <c r="BM12" s="180"/>
      <c r="BN12" s="180"/>
      <c r="BO12" s="180"/>
      <c r="BP12" s="180"/>
      <c r="BQ12" s="180"/>
      <c r="BR12" s="180"/>
      <c r="BS12" s="180"/>
    </row>
    <row r="13" spans="1:71" s="181" customFormat="1" ht="45.75" customHeight="1" x14ac:dyDescent="0.3">
      <c r="A13" s="400"/>
      <c r="B13" s="374"/>
      <c r="C13" s="372"/>
      <c r="D13" s="377"/>
      <c r="E13" s="377"/>
      <c r="F13" s="379"/>
      <c r="G13" s="370"/>
      <c r="H13" s="370"/>
      <c r="I13" s="370"/>
      <c r="J13" s="370"/>
      <c r="K13" s="370"/>
      <c r="L13" s="370"/>
      <c r="M13" s="370"/>
      <c r="N13" s="370"/>
      <c r="O13" s="180"/>
      <c r="P13" s="180"/>
      <c r="Q13" s="180"/>
      <c r="R13" s="180"/>
      <c r="S13" s="180"/>
      <c r="T13" s="180"/>
      <c r="U13" s="180"/>
      <c r="V13" s="180"/>
      <c r="W13" s="180"/>
      <c r="X13" s="180"/>
      <c r="Y13" s="180"/>
      <c r="Z13" s="180"/>
      <c r="AA13" s="180"/>
      <c r="AB13" s="180"/>
      <c r="AC13" s="180"/>
      <c r="AD13" s="180"/>
      <c r="AE13" s="180"/>
      <c r="AF13" s="180"/>
      <c r="AG13" s="180"/>
      <c r="AH13" s="180"/>
      <c r="AI13" s="180"/>
      <c r="AJ13" s="180"/>
      <c r="AK13" s="180"/>
      <c r="AL13" s="180"/>
      <c r="AM13" s="180"/>
      <c r="AN13" s="180"/>
      <c r="AO13" s="180"/>
      <c r="AP13" s="180"/>
      <c r="AQ13" s="180"/>
      <c r="AR13" s="180"/>
      <c r="AS13" s="180"/>
      <c r="AT13" s="180"/>
      <c r="AU13" s="180"/>
      <c r="AV13" s="180"/>
      <c r="AW13" s="180"/>
      <c r="AX13" s="180"/>
      <c r="AY13" s="180"/>
      <c r="AZ13" s="180"/>
      <c r="BA13" s="180"/>
      <c r="BB13" s="180"/>
      <c r="BC13" s="180"/>
      <c r="BD13" s="180"/>
      <c r="BE13" s="180"/>
      <c r="BF13" s="180"/>
      <c r="BG13" s="180"/>
      <c r="BH13" s="180"/>
      <c r="BI13" s="180"/>
      <c r="BJ13" s="180"/>
      <c r="BK13" s="180"/>
      <c r="BL13" s="180"/>
      <c r="BM13" s="180"/>
      <c r="BN13" s="180"/>
      <c r="BO13" s="180"/>
      <c r="BP13" s="180"/>
      <c r="BQ13" s="180"/>
      <c r="BR13" s="180"/>
      <c r="BS13" s="180"/>
    </row>
    <row r="14" spans="1:71" s="181" customFormat="1" ht="45.75" customHeight="1" thickBot="1" x14ac:dyDescent="0.35">
      <c r="A14" s="400"/>
      <c r="B14" s="374"/>
      <c r="C14" s="373"/>
      <c r="D14" s="377"/>
      <c r="E14" s="377"/>
      <c r="F14" s="379"/>
      <c r="G14" s="370"/>
      <c r="H14" s="370"/>
      <c r="I14" s="370"/>
      <c r="J14" s="370"/>
      <c r="K14" s="370"/>
      <c r="L14" s="370"/>
      <c r="M14" s="370"/>
      <c r="N14" s="370"/>
      <c r="O14" s="180"/>
      <c r="P14" s="180"/>
      <c r="Q14" s="180"/>
      <c r="R14" s="180"/>
      <c r="S14" s="180"/>
      <c r="T14" s="180"/>
      <c r="U14" s="180"/>
      <c r="V14" s="180"/>
      <c r="W14" s="180"/>
      <c r="X14" s="180"/>
      <c r="Y14" s="180"/>
      <c r="Z14" s="180"/>
      <c r="AA14" s="180"/>
      <c r="AB14" s="180"/>
      <c r="AC14" s="180"/>
      <c r="AD14" s="180"/>
      <c r="AE14" s="180"/>
      <c r="AF14" s="180"/>
      <c r="AG14" s="180"/>
      <c r="AH14" s="180"/>
      <c r="AI14" s="180"/>
      <c r="AJ14" s="180"/>
      <c r="AK14" s="180"/>
      <c r="AL14" s="180"/>
      <c r="AM14" s="180"/>
      <c r="AN14" s="180"/>
      <c r="AO14" s="180"/>
      <c r="AP14" s="180"/>
      <c r="AQ14" s="180"/>
      <c r="AR14" s="180"/>
      <c r="AS14" s="180"/>
      <c r="AT14" s="180"/>
      <c r="AU14" s="180"/>
      <c r="AV14" s="180"/>
      <c r="AW14" s="180"/>
      <c r="AX14" s="180"/>
      <c r="AY14" s="180"/>
      <c r="AZ14" s="180"/>
      <c r="BA14" s="180"/>
      <c r="BB14" s="180"/>
      <c r="BC14" s="180"/>
      <c r="BD14" s="180"/>
      <c r="BE14" s="180"/>
      <c r="BF14" s="180"/>
      <c r="BG14" s="180"/>
      <c r="BH14" s="180"/>
      <c r="BI14" s="180"/>
      <c r="BJ14" s="180"/>
      <c r="BK14" s="180"/>
      <c r="BL14" s="180"/>
      <c r="BM14" s="180"/>
      <c r="BN14" s="180"/>
      <c r="BO14" s="180"/>
      <c r="BP14" s="180"/>
      <c r="BQ14" s="180"/>
      <c r="BR14" s="180"/>
      <c r="BS14" s="180"/>
    </row>
    <row r="15" spans="1:71" s="181" customFormat="1" ht="45.75" customHeight="1" x14ac:dyDescent="0.3">
      <c r="A15" s="400"/>
      <c r="B15" s="380" t="e">
        <f>'Mapa final'!#REF!</f>
        <v>#REF!</v>
      </c>
      <c r="C15" s="371" t="e">
        <f>'Mapa final'!#REF!</f>
        <v>#REF!</v>
      </c>
      <c r="D15" s="376" t="e">
        <f>'Mapa final'!#REF!</f>
        <v>#REF!</v>
      </c>
      <c r="E15" s="376" t="e">
        <f>'Mapa final'!#REF!</f>
        <v>#REF!</v>
      </c>
      <c r="F15" s="378"/>
      <c r="G15" s="369" t="str">
        <f t="shared" ref="G15:N39" si="1">IFERROR(IF($F15="","No",IF($F15="No","No"," "))," ")</f>
        <v>No</v>
      </c>
      <c r="H15" s="369" t="str">
        <f t="shared" si="1"/>
        <v>No</v>
      </c>
      <c r="I15" s="369" t="str">
        <f t="shared" si="1"/>
        <v>No</v>
      </c>
      <c r="J15" s="369" t="str">
        <f t="shared" si="1"/>
        <v>No</v>
      </c>
      <c r="K15" s="369" t="str">
        <f t="shared" si="1"/>
        <v>No</v>
      </c>
      <c r="L15" s="369" t="str">
        <f t="shared" si="1"/>
        <v>No</v>
      </c>
      <c r="M15" s="369" t="str">
        <f t="shared" si="1"/>
        <v>No</v>
      </c>
      <c r="N15" s="369" t="str">
        <f t="shared" si="1"/>
        <v>No</v>
      </c>
      <c r="O15" s="180"/>
      <c r="P15" s="180"/>
      <c r="Q15" s="180"/>
      <c r="R15" s="180"/>
      <c r="S15" s="180"/>
      <c r="T15" s="180"/>
      <c r="U15" s="180"/>
      <c r="V15" s="180"/>
      <c r="W15" s="180"/>
      <c r="X15" s="180"/>
      <c r="Y15" s="180"/>
      <c r="Z15" s="180"/>
      <c r="AA15" s="180"/>
      <c r="AB15" s="180"/>
      <c r="AC15" s="180"/>
      <c r="AD15" s="180"/>
      <c r="AE15" s="180"/>
      <c r="AF15" s="180"/>
      <c r="AG15" s="180"/>
      <c r="AH15" s="180"/>
      <c r="AI15" s="180"/>
      <c r="AJ15" s="180"/>
      <c r="AK15" s="180"/>
      <c r="AL15" s="180"/>
      <c r="AM15" s="180"/>
      <c r="AN15" s="180"/>
      <c r="AO15" s="180"/>
      <c r="AP15" s="180"/>
      <c r="AQ15" s="180"/>
      <c r="AR15" s="180"/>
      <c r="AS15" s="180"/>
      <c r="AT15" s="180"/>
      <c r="AU15" s="180"/>
      <c r="AV15" s="180"/>
      <c r="AW15" s="180"/>
      <c r="AX15" s="180"/>
      <c r="AY15" s="180"/>
      <c r="AZ15" s="180"/>
      <c r="BA15" s="180"/>
      <c r="BB15" s="180"/>
      <c r="BC15" s="180"/>
      <c r="BD15" s="180"/>
      <c r="BE15" s="180"/>
      <c r="BF15" s="180"/>
      <c r="BG15" s="180"/>
      <c r="BH15" s="180"/>
      <c r="BI15" s="180"/>
      <c r="BJ15" s="180"/>
      <c r="BK15" s="180"/>
      <c r="BL15" s="180"/>
      <c r="BM15" s="180"/>
      <c r="BN15" s="180"/>
      <c r="BO15" s="180"/>
      <c r="BP15" s="180"/>
      <c r="BQ15" s="180"/>
      <c r="BR15" s="180"/>
      <c r="BS15" s="180"/>
    </row>
    <row r="16" spans="1:71" s="181" customFormat="1" ht="45.75" customHeight="1" x14ac:dyDescent="0.3">
      <c r="A16" s="400"/>
      <c r="B16" s="374"/>
      <c r="C16" s="372"/>
      <c r="D16" s="377"/>
      <c r="E16" s="377"/>
      <c r="F16" s="379"/>
      <c r="G16" s="370"/>
      <c r="H16" s="370"/>
      <c r="I16" s="370"/>
      <c r="J16" s="370"/>
      <c r="K16" s="370"/>
      <c r="L16" s="370"/>
      <c r="M16" s="370"/>
      <c r="N16" s="370"/>
      <c r="O16" s="180"/>
      <c r="P16" s="180"/>
      <c r="Q16" s="180"/>
      <c r="R16" s="180"/>
      <c r="S16" s="180"/>
      <c r="T16" s="180"/>
      <c r="U16" s="180"/>
      <c r="V16" s="180"/>
      <c r="W16" s="180"/>
      <c r="X16" s="180"/>
      <c r="Y16" s="180"/>
      <c r="Z16" s="180"/>
      <c r="AA16" s="180"/>
      <c r="AB16" s="180"/>
      <c r="AC16" s="180"/>
      <c r="AD16" s="180"/>
      <c r="AE16" s="180"/>
      <c r="AF16" s="180"/>
      <c r="AG16" s="180"/>
      <c r="AH16" s="180"/>
      <c r="AI16" s="180"/>
      <c r="AJ16" s="180"/>
      <c r="AK16" s="180"/>
      <c r="AL16" s="180"/>
      <c r="AM16" s="180"/>
      <c r="AN16" s="180"/>
      <c r="AO16" s="180"/>
      <c r="AP16" s="180"/>
      <c r="AQ16" s="180"/>
      <c r="AR16" s="180"/>
      <c r="AS16" s="180"/>
      <c r="AT16" s="180"/>
      <c r="AU16" s="180"/>
      <c r="AV16" s="180"/>
      <c r="AW16" s="180"/>
      <c r="AX16" s="180"/>
      <c r="AY16" s="180"/>
      <c r="AZ16" s="180"/>
      <c r="BA16" s="180"/>
      <c r="BB16" s="180"/>
      <c r="BC16" s="180"/>
      <c r="BD16" s="180"/>
      <c r="BE16" s="180"/>
      <c r="BF16" s="180"/>
      <c r="BG16" s="180"/>
      <c r="BH16" s="180"/>
      <c r="BI16" s="180"/>
      <c r="BJ16" s="180"/>
      <c r="BK16" s="180"/>
      <c r="BL16" s="180"/>
      <c r="BM16" s="180"/>
      <c r="BN16" s="180"/>
      <c r="BO16" s="180"/>
      <c r="BP16" s="180"/>
      <c r="BQ16" s="180"/>
      <c r="BR16" s="180"/>
      <c r="BS16" s="180"/>
    </row>
    <row r="17" spans="1:71" s="181" customFormat="1" ht="45.75" customHeight="1" thickBot="1" x14ac:dyDescent="0.35">
      <c r="A17" s="400"/>
      <c r="B17" s="374"/>
      <c r="C17" s="373"/>
      <c r="D17" s="377"/>
      <c r="E17" s="377"/>
      <c r="F17" s="379"/>
      <c r="G17" s="370"/>
      <c r="H17" s="370"/>
      <c r="I17" s="370"/>
      <c r="J17" s="370"/>
      <c r="K17" s="370"/>
      <c r="L17" s="370"/>
      <c r="M17" s="370"/>
      <c r="N17" s="370"/>
      <c r="O17" s="180"/>
      <c r="P17" s="180"/>
      <c r="Q17" s="180"/>
      <c r="R17" s="180"/>
      <c r="S17" s="180"/>
      <c r="T17" s="180"/>
      <c r="U17" s="180"/>
      <c r="V17" s="180"/>
      <c r="W17" s="180"/>
      <c r="X17" s="180"/>
      <c r="Y17" s="180"/>
      <c r="Z17" s="180"/>
      <c r="AA17" s="180"/>
      <c r="AB17" s="180"/>
      <c r="AC17" s="180"/>
      <c r="AD17" s="180"/>
      <c r="AE17" s="180"/>
      <c r="AF17" s="180"/>
      <c r="AG17" s="180"/>
      <c r="AH17" s="180"/>
      <c r="AI17" s="180"/>
      <c r="AJ17" s="180"/>
      <c r="AK17" s="180"/>
      <c r="AL17" s="180"/>
      <c r="AM17" s="180"/>
      <c r="AN17" s="180"/>
      <c r="AO17" s="180"/>
      <c r="AP17" s="180"/>
      <c r="AQ17" s="180"/>
      <c r="AR17" s="180"/>
      <c r="AS17" s="180"/>
      <c r="AT17" s="180"/>
      <c r="AU17" s="180"/>
      <c r="AV17" s="180"/>
      <c r="AW17" s="180"/>
      <c r="AX17" s="180"/>
      <c r="AY17" s="180"/>
      <c r="AZ17" s="180"/>
      <c r="BA17" s="180"/>
      <c r="BB17" s="180"/>
      <c r="BC17" s="180"/>
      <c r="BD17" s="180"/>
      <c r="BE17" s="180"/>
      <c r="BF17" s="180"/>
      <c r="BG17" s="180"/>
      <c r="BH17" s="180"/>
      <c r="BI17" s="180"/>
      <c r="BJ17" s="180"/>
      <c r="BK17" s="180"/>
      <c r="BL17" s="180"/>
      <c r="BM17" s="180"/>
      <c r="BN17" s="180"/>
      <c r="BO17" s="180"/>
      <c r="BP17" s="180"/>
      <c r="BQ17" s="180"/>
      <c r="BR17" s="180"/>
      <c r="BS17" s="180"/>
    </row>
    <row r="18" spans="1:71" s="181" customFormat="1" ht="45.75" customHeight="1" x14ac:dyDescent="0.3">
      <c r="A18" s="400"/>
      <c r="B18" s="380" t="e">
        <f>'Mapa final'!#REF!</f>
        <v>#REF!</v>
      </c>
      <c r="C18" s="371" t="e">
        <f>'Mapa final'!#REF!</f>
        <v>#REF!</v>
      </c>
      <c r="D18" s="376" t="e">
        <f>'Mapa final'!#REF!</f>
        <v>#REF!</v>
      </c>
      <c r="E18" s="376" t="e">
        <f>'Mapa final'!#REF!</f>
        <v>#REF!</v>
      </c>
      <c r="F18" s="378"/>
      <c r="G18" s="369" t="str">
        <f t="shared" si="1"/>
        <v>No</v>
      </c>
      <c r="H18" s="369" t="str">
        <f t="shared" si="1"/>
        <v>No</v>
      </c>
      <c r="I18" s="369" t="str">
        <f t="shared" si="1"/>
        <v>No</v>
      </c>
      <c r="J18" s="369" t="str">
        <f t="shared" si="1"/>
        <v>No</v>
      </c>
      <c r="K18" s="369" t="str">
        <f t="shared" si="1"/>
        <v>No</v>
      </c>
      <c r="L18" s="369" t="str">
        <f t="shared" si="1"/>
        <v>No</v>
      </c>
      <c r="M18" s="369" t="str">
        <f t="shared" si="1"/>
        <v>No</v>
      </c>
      <c r="N18" s="369" t="str">
        <f t="shared" si="1"/>
        <v>No</v>
      </c>
      <c r="O18" s="180"/>
      <c r="P18" s="180"/>
      <c r="Q18" s="180"/>
      <c r="R18" s="180"/>
      <c r="S18" s="180"/>
      <c r="T18" s="180"/>
      <c r="U18" s="180"/>
      <c r="V18" s="180"/>
      <c r="W18" s="180"/>
      <c r="X18" s="180"/>
      <c r="Y18" s="180"/>
      <c r="Z18" s="180"/>
      <c r="AA18" s="180"/>
      <c r="AB18" s="180"/>
      <c r="AC18" s="180"/>
      <c r="AD18" s="180"/>
      <c r="AE18" s="180"/>
      <c r="AF18" s="180"/>
      <c r="AG18" s="180"/>
      <c r="AH18" s="180"/>
      <c r="AI18" s="180"/>
      <c r="AJ18" s="180"/>
      <c r="AK18" s="180"/>
      <c r="AL18" s="180"/>
      <c r="AM18" s="180"/>
      <c r="AN18" s="180"/>
      <c r="AO18" s="180"/>
      <c r="AP18" s="180"/>
      <c r="AQ18" s="180"/>
      <c r="AR18" s="180"/>
      <c r="AS18" s="180"/>
      <c r="AT18" s="180"/>
      <c r="AU18" s="180"/>
      <c r="AV18" s="180"/>
      <c r="AW18" s="180"/>
      <c r="AX18" s="180"/>
      <c r="AY18" s="180"/>
      <c r="AZ18" s="180"/>
      <c r="BA18" s="180"/>
      <c r="BB18" s="180"/>
      <c r="BC18" s="180"/>
      <c r="BD18" s="180"/>
      <c r="BE18" s="180"/>
      <c r="BF18" s="180"/>
      <c r="BG18" s="180"/>
      <c r="BH18" s="180"/>
      <c r="BI18" s="180"/>
      <c r="BJ18" s="180"/>
      <c r="BK18" s="180"/>
      <c r="BL18" s="180"/>
      <c r="BM18" s="180"/>
      <c r="BN18" s="180"/>
      <c r="BO18" s="180"/>
      <c r="BP18" s="180"/>
      <c r="BQ18" s="180"/>
      <c r="BR18" s="180"/>
      <c r="BS18" s="180"/>
    </row>
    <row r="19" spans="1:71" s="181" customFormat="1" ht="45.75" customHeight="1" x14ac:dyDescent="0.3">
      <c r="A19" s="400"/>
      <c r="B19" s="374"/>
      <c r="C19" s="372"/>
      <c r="D19" s="377"/>
      <c r="E19" s="377"/>
      <c r="F19" s="379"/>
      <c r="G19" s="370"/>
      <c r="H19" s="370"/>
      <c r="I19" s="370"/>
      <c r="J19" s="370"/>
      <c r="K19" s="370"/>
      <c r="L19" s="370"/>
      <c r="M19" s="370"/>
      <c r="N19" s="370"/>
      <c r="O19" s="180"/>
      <c r="P19" s="180"/>
      <c r="Q19" s="180"/>
      <c r="R19" s="180"/>
      <c r="S19" s="180"/>
      <c r="T19" s="180"/>
      <c r="U19" s="180"/>
      <c r="V19" s="180"/>
      <c r="W19" s="180"/>
      <c r="X19" s="180"/>
      <c r="Y19" s="180"/>
      <c r="Z19" s="180"/>
      <c r="AA19" s="180"/>
      <c r="AB19" s="180"/>
      <c r="AC19" s="180"/>
      <c r="AD19" s="180"/>
      <c r="AE19" s="180"/>
      <c r="AF19" s="180"/>
      <c r="AG19" s="180"/>
      <c r="AH19" s="180"/>
      <c r="AI19" s="180"/>
      <c r="AJ19" s="180"/>
      <c r="AK19" s="180"/>
      <c r="AL19" s="180"/>
      <c r="AM19" s="180"/>
      <c r="AN19" s="180"/>
      <c r="AO19" s="180"/>
      <c r="AP19" s="180"/>
      <c r="AQ19" s="180"/>
      <c r="AR19" s="180"/>
      <c r="AS19" s="180"/>
      <c r="AT19" s="180"/>
      <c r="AU19" s="180"/>
      <c r="AV19" s="180"/>
      <c r="AW19" s="180"/>
      <c r="AX19" s="180"/>
      <c r="AY19" s="180"/>
      <c r="AZ19" s="180"/>
      <c r="BA19" s="180"/>
      <c r="BB19" s="180"/>
      <c r="BC19" s="180"/>
      <c r="BD19" s="180"/>
      <c r="BE19" s="180"/>
      <c r="BF19" s="180"/>
      <c r="BG19" s="180"/>
      <c r="BH19" s="180"/>
      <c r="BI19" s="180"/>
      <c r="BJ19" s="180"/>
      <c r="BK19" s="180"/>
      <c r="BL19" s="180"/>
      <c r="BM19" s="180"/>
      <c r="BN19" s="180"/>
      <c r="BO19" s="180"/>
      <c r="BP19" s="180"/>
      <c r="BQ19" s="180"/>
      <c r="BR19" s="180"/>
      <c r="BS19" s="180"/>
    </row>
    <row r="20" spans="1:71" s="181" customFormat="1" ht="45.75" customHeight="1" thickBot="1" x14ac:dyDescent="0.35">
      <c r="A20" s="400"/>
      <c r="B20" s="374"/>
      <c r="C20" s="373"/>
      <c r="D20" s="377"/>
      <c r="E20" s="377"/>
      <c r="F20" s="379"/>
      <c r="G20" s="370"/>
      <c r="H20" s="370"/>
      <c r="I20" s="370"/>
      <c r="J20" s="370"/>
      <c r="K20" s="370"/>
      <c r="L20" s="370"/>
      <c r="M20" s="370"/>
      <c r="N20" s="370"/>
      <c r="O20" s="180"/>
      <c r="P20" s="180"/>
      <c r="Q20" s="180"/>
      <c r="R20" s="180"/>
      <c r="S20" s="180"/>
      <c r="T20" s="180"/>
      <c r="U20" s="180"/>
      <c r="V20" s="180"/>
      <c r="W20" s="180"/>
      <c r="X20" s="180"/>
      <c r="Y20" s="180"/>
      <c r="Z20" s="180"/>
      <c r="AA20" s="180"/>
      <c r="AB20" s="180"/>
      <c r="AC20" s="180"/>
      <c r="AD20" s="180"/>
      <c r="AE20" s="180"/>
      <c r="AF20" s="180"/>
      <c r="AG20" s="180"/>
      <c r="AH20" s="180"/>
      <c r="AI20" s="180"/>
      <c r="AJ20" s="180"/>
      <c r="AK20" s="180"/>
      <c r="AL20" s="180"/>
      <c r="AM20" s="180"/>
      <c r="AN20" s="180"/>
      <c r="AO20" s="180"/>
      <c r="AP20" s="180"/>
      <c r="AQ20" s="180"/>
      <c r="AR20" s="180"/>
      <c r="AS20" s="180"/>
      <c r="AT20" s="180"/>
      <c r="AU20" s="180"/>
      <c r="AV20" s="180"/>
      <c r="AW20" s="180"/>
      <c r="AX20" s="180"/>
      <c r="AY20" s="180"/>
      <c r="AZ20" s="180"/>
      <c r="BA20" s="180"/>
      <c r="BB20" s="180"/>
      <c r="BC20" s="180"/>
      <c r="BD20" s="180"/>
      <c r="BE20" s="180"/>
      <c r="BF20" s="180"/>
      <c r="BG20" s="180"/>
      <c r="BH20" s="180"/>
      <c r="BI20" s="180"/>
      <c r="BJ20" s="180"/>
      <c r="BK20" s="180"/>
      <c r="BL20" s="180"/>
      <c r="BM20" s="180"/>
      <c r="BN20" s="180"/>
      <c r="BO20" s="180"/>
      <c r="BP20" s="180"/>
      <c r="BQ20" s="180"/>
      <c r="BR20" s="180"/>
      <c r="BS20" s="180"/>
    </row>
    <row r="21" spans="1:71" s="181" customFormat="1" ht="45.75" customHeight="1" x14ac:dyDescent="0.3">
      <c r="A21" s="400"/>
      <c r="B21" s="380" t="e">
        <f>'Mapa final'!#REF!</f>
        <v>#REF!</v>
      </c>
      <c r="C21" s="371" t="e">
        <f>'Mapa final'!#REF!</f>
        <v>#REF!</v>
      </c>
      <c r="D21" s="376" t="e">
        <f>'Mapa final'!#REF!</f>
        <v>#REF!</v>
      </c>
      <c r="E21" s="376" t="e">
        <f>'Mapa final'!#REF!</f>
        <v>#REF!</v>
      </c>
      <c r="F21" s="378"/>
      <c r="G21" s="369" t="str">
        <f t="shared" si="1"/>
        <v>No</v>
      </c>
      <c r="H21" s="369" t="str">
        <f t="shared" si="1"/>
        <v>No</v>
      </c>
      <c r="I21" s="369" t="str">
        <f t="shared" si="1"/>
        <v>No</v>
      </c>
      <c r="J21" s="369" t="str">
        <f t="shared" si="1"/>
        <v>No</v>
      </c>
      <c r="K21" s="369" t="str">
        <f t="shared" si="1"/>
        <v>No</v>
      </c>
      <c r="L21" s="369" t="str">
        <f t="shared" si="1"/>
        <v>No</v>
      </c>
      <c r="M21" s="369" t="str">
        <f t="shared" si="1"/>
        <v>No</v>
      </c>
      <c r="N21" s="369" t="str">
        <f t="shared" si="1"/>
        <v>No</v>
      </c>
      <c r="O21" s="180"/>
      <c r="P21" s="180"/>
      <c r="Q21" s="180"/>
      <c r="R21" s="180"/>
      <c r="S21" s="180"/>
      <c r="T21" s="180"/>
      <c r="U21" s="180"/>
      <c r="V21" s="180"/>
      <c r="W21" s="180"/>
      <c r="X21" s="180"/>
      <c r="Y21" s="180"/>
      <c r="Z21" s="180"/>
      <c r="AA21" s="180"/>
      <c r="AB21" s="180"/>
      <c r="AC21" s="180"/>
      <c r="AD21" s="180"/>
      <c r="AE21" s="180"/>
      <c r="AF21" s="180"/>
      <c r="AG21" s="180"/>
      <c r="AH21" s="180"/>
      <c r="AI21" s="180"/>
      <c r="AJ21" s="180"/>
      <c r="AK21" s="180"/>
      <c r="AL21" s="180"/>
      <c r="AM21" s="180"/>
      <c r="AN21" s="180"/>
      <c r="AO21" s="180"/>
      <c r="AP21" s="180"/>
      <c r="AQ21" s="180"/>
      <c r="AR21" s="180"/>
      <c r="AS21" s="180"/>
      <c r="AT21" s="180"/>
      <c r="AU21" s="180"/>
      <c r="AV21" s="180"/>
      <c r="AW21" s="180"/>
      <c r="AX21" s="180"/>
      <c r="AY21" s="180"/>
      <c r="AZ21" s="180"/>
      <c r="BA21" s="180"/>
      <c r="BB21" s="180"/>
      <c r="BC21" s="180"/>
      <c r="BD21" s="180"/>
      <c r="BE21" s="180"/>
      <c r="BF21" s="180"/>
      <c r="BG21" s="180"/>
      <c r="BH21" s="180"/>
      <c r="BI21" s="180"/>
      <c r="BJ21" s="180"/>
      <c r="BK21" s="180"/>
      <c r="BL21" s="180"/>
      <c r="BM21" s="180"/>
      <c r="BN21" s="180"/>
      <c r="BO21" s="180"/>
      <c r="BP21" s="180"/>
      <c r="BQ21" s="180"/>
      <c r="BR21" s="180"/>
      <c r="BS21" s="180"/>
    </row>
    <row r="22" spans="1:71" s="181" customFormat="1" ht="45.75" customHeight="1" x14ac:dyDescent="0.3">
      <c r="A22" s="400"/>
      <c r="B22" s="374"/>
      <c r="C22" s="372"/>
      <c r="D22" s="377"/>
      <c r="E22" s="377"/>
      <c r="F22" s="379"/>
      <c r="G22" s="370"/>
      <c r="H22" s="370"/>
      <c r="I22" s="370"/>
      <c r="J22" s="370"/>
      <c r="K22" s="370"/>
      <c r="L22" s="370"/>
      <c r="M22" s="370"/>
      <c r="N22" s="370"/>
      <c r="O22" s="180"/>
      <c r="P22" s="180"/>
      <c r="Q22" s="180"/>
      <c r="R22" s="180"/>
      <c r="S22" s="180"/>
      <c r="T22" s="180"/>
      <c r="U22" s="180"/>
      <c r="V22" s="180"/>
      <c r="W22" s="180"/>
      <c r="X22" s="180"/>
      <c r="Y22" s="180"/>
      <c r="Z22" s="180"/>
      <c r="AA22" s="180"/>
      <c r="AB22" s="180"/>
      <c r="AC22" s="180"/>
      <c r="AD22" s="180"/>
      <c r="AE22" s="180"/>
      <c r="AF22" s="180"/>
      <c r="AG22" s="180"/>
      <c r="AH22" s="180"/>
      <c r="AI22" s="180"/>
      <c r="AJ22" s="180"/>
      <c r="AK22" s="180"/>
      <c r="AL22" s="180"/>
      <c r="AM22" s="180"/>
      <c r="AN22" s="180"/>
      <c r="AO22" s="180"/>
      <c r="AP22" s="180"/>
      <c r="AQ22" s="180"/>
      <c r="AR22" s="180"/>
      <c r="AS22" s="180"/>
      <c r="AT22" s="180"/>
      <c r="AU22" s="180"/>
      <c r="AV22" s="180"/>
      <c r="AW22" s="180"/>
      <c r="AX22" s="180"/>
      <c r="AY22" s="180"/>
      <c r="AZ22" s="180"/>
      <c r="BA22" s="180"/>
      <c r="BB22" s="180"/>
      <c r="BC22" s="180"/>
      <c r="BD22" s="180"/>
      <c r="BE22" s="180"/>
      <c r="BF22" s="180"/>
      <c r="BG22" s="180"/>
      <c r="BH22" s="180"/>
      <c r="BI22" s="180"/>
      <c r="BJ22" s="180"/>
      <c r="BK22" s="180"/>
      <c r="BL22" s="180"/>
      <c r="BM22" s="180"/>
      <c r="BN22" s="180"/>
      <c r="BO22" s="180"/>
      <c r="BP22" s="180"/>
      <c r="BQ22" s="180"/>
      <c r="BR22" s="180"/>
      <c r="BS22" s="180"/>
    </row>
    <row r="23" spans="1:71" s="181" customFormat="1" ht="45.75" customHeight="1" thickBot="1" x14ac:dyDescent="0.35">
      <c r="A23" s="400"/>
      <c r="B23" s="374"/>
      <c r="C23" s="373"/>
      <c r="D23" s="377"/>
      <c r="E23" s="377"/>
      <c r="F23" s="379"/>
      <c r="G23" s="370"/>
      <c r="H23" s="370"/>
      <c r="I23" s="370"/>
      <c r="J23" s="370"/>
      <c r="K23" s="370"/>
      <c r="L23" s="370"/>
      <c r="M23" s="370"/>
      <c r="N23" s="370"/>
      <c r="O23" s="180"/>
      <c r="P23" s="180"/>
      <c r="Q23" s="180"/>
      <c r="R23" s="180"/>
      <c r="S23" s="180"/>
      <c r="T23" s="180"/>
      <c r="U23" s="180"/>
      <c r="V23" s="180"/>
      <c r="W23" s="180"/>
      <c r="X23" s="180"/>
      <c r="Y23" s="180"/>
      <c r="Z23" s="180"/>
      <c r="AA23" s="180"/>
      <c r="AB23" s="180"/>
      <c r="AC23" s="180"/>
      <c r="AD23" s="180"/>
      <c r="AE23" s="180"/>
      <c r="AF23" s="180"/>
      <c r="AG23" s="180"/>
      <c r="AH23" s="180"/>
      <c r="AI23" s="180"/>
      <c r="AJ23" s="180"/>
      <c r="AK23" s="180"/>
      <c r="AL23" s="180"/>
      <c r="AM23" s="180"/>
      <c r="AN23" s="180"/>
      <c r="AO23" s="180"/>
      <c r="AP23" s="180"/>
      <c r="AQ23" s="180"/>
      <c r="AR23" s="180"/>
      <c r="AS23" s="180"/>
      <c r="AT23" s="180"/>
      <c r="AU23" s="180"/>
      <c r="AV23" s="180"/>
      <c r="AW23" s="180"/>
      <c r="AX23" s="180"/>
      <c r="AY23" s="180"/>
      <c r="AZ23" s="180"/>
      <c r="BA23" s="180"/>
      <c r="BB23" s="180"/>
      <c r="BC23" s="180"/>
      <c r="BD23" s="180"/>
      <c r="BE23" s="180"/>
      <c r="BF23" s="180"/>
      <c r="BG23" s="180"/>
      <c r="BH23" s="180"/>
      <c r="BI23" s="180"/>
      <c r="BJ23" s="180"/>
      <c r="BK23" s="180"/>
      <c r="BL23" s="180"/>
      <c r="BM23" s="180"/>
      <c r="BN23" s="180"/>
      <c r="BO23" s="180"/>
      <c r="BP23" s="180"/>
      <c r="BQ23" s="180"/>
      <c r="BR23" s="180"/>
      <c r="BS23" s="180"/>
    </row>
    <row r="24" spans="1:71" s="181" customFormat="1" ht="45.75" customHeight="1" x14ac:dyDescent="0.3">
      <c r="A24" s="400"/>
      <c r="B24" s="380" t="e">
        <f>'Mapa final'!#REF!</f>
        <v>#REF!</v>
      </c>
      <c r="C24" s="371" t="e">
        <f>'Mapa final'!#REF!</f>
        <v>#REF!</v>
      </c>
      <c r="D24" s="376" t="e">
        <f>'Mapa final'!#REF!</f>
        <v>#REF!</v>
      </c>
      <c r="E24" s="376" t="e">
        <f>'Mapa final'!#REF!</f>
        <v>#REF!</v>
      </c>
      <c r="F24" s="378"/>
      <c r="G24" s="369" t="str">
        <f t="shared" si="1"/>
        <v>No</v>
      </c>
      <c r="H24" s="369" t="str">
        <f t="shared" si="1"/>
        <v>No</v>
      </c>
      <c r="I24" s="369" t="str">
        <f t="shared" si="1"/>
        <v>No</v>
      </c>
      <c r="J24" s="369" t="str">
        <f t="shared" si="1"/>
        <v>No</v>
      </c>
      <c r="K24" s="369" t="str">
        <f t="shared" si="1"/>
        <v>No</v>
      </c>
      <c r="L24" s="369" t="str">
        <f t="shared" si="1"/>
        <v>No</v>
      </c>
      <c r="M24" s="369" t="str">
        <f t="shared" si="1"/>
        <v>No</v>
      </c>
      <c r="N24" s="369" t="str">
        <f t="shared" si="1"/>
        <v>No</v>
      </c>
      <c r="O24" s="180"/>
      <c r="P24" s="180"/>
      <c r="Q24" s="180"/>
      <c r="R24" s="180"/>
      <c r="S24" s="180"/>
      <c r="T24" s="180"/>
      <c r="U24" s="180"/>
      <c r="V24" s="180"/>
      <c r="W24" s="180"/>
      <c r="X24" s="180"/>
      <c r="Y24" s="180"/>
      <c r="Z24" s="180"/>
      <c r="AA24" s="180"/>
      <c r="AB24" s="180"/>
      <c r="AC24" s="180"/>
      <c r="AD24" s="180"/>
      <c r="AE24" s="180"/>
      <c r="AF24" s="180"/>
      <c r="AG24" s="180"/>
      <c r="AH24" s="180"/>
      <c r="AI24" s="180"/>
      <c r="AJ24" s="180"/>
      <c r="AK24" s="180"/>
      <c r="AL24" s="180"/>
      <c r="AM24" s="180"/>
      <c r="AN24" s="180"/>
      <c r="AO24" s="180"/>
      <c r="AP24" s="180"/>
      <c r="AQ24" s="180"/>
      <c r="AR24" s="180"/>
      <c r="AS24" s="180"/>
      <c r="AT24" s="180"/>
      <c r="AU24" s="180"/>
      <c r="AV24" s="180"/>
      <c r="AW24" s="180"/>
      <c r="AX24" s="180"/>
      <c r="AY24" s="180"/>
      <c r="AZ24" s="180"/>
      <c r="BA24" s="180"/>
      <c r="BB24" s="180"/>
      <c r="BC24" s="180"/>
      <c r="BD24" s="180"/>
      <c r="BE24" s="180"/>
      <c r="BF24" s="180"/>
      <c r="BG24" s="180"/>
      <c r="BH24" s="180"/>
      <c r="BI24" s="180"/>
      <c r="BJ24" s="180"/>
      <c r="BK24" s="180"/>
      <c r="BL24" s="180"/>
      <c r="BM24" s="180"/>
      <c r="BN24" s="180"/>
      <c r="BO24" s="180"/>
      <c r="BP24" s="180"/>
      <c r="BQ24" s="180"/>
      <c r="BR24" s="180"/>
      <c r="BS24" s="180"/>
    </row>
    <row r="25" spans="1:71" s="181" customFormat="1" ht="45.75" customHeight="1" x14ac:dyDescent="0.3">
      <c r="A25" s="400"/>
      <c r="B25" s="374"/>
      <c r="C25" s="372"/>
      <c r="D25" s="377"/>
      <c r="E25" s="377"/>
      <c r="F25" s="379"/>
      <c r="G25" s="370"/>
      <c r="H25" s="370"/>
      <c r="I25" s="370"/>
      <c r="J25" s="370"/>
      <c r="K25" s="370"/>
      <c r="L25" s="370"/>
      <c r="M25" s="370"/>
      <c r="N25" s="370"/>
      <c r="O25" s="180"/>
      <c r="P25" s="180"/>
      <c r="Q25" s="180"/>
      <c r="R25" s="180"/>
      <c r="S25" s="180"/>
      <c r="T25" s="180"/>
      <c r="U25" s="180"/>
      <c r="V25" s="180"/>
      <c r="W25" s="180"/>
      <c r="X25" s="180"/>
      <c r="Y25" s="180"/>
      <c r="Z25" s="180"/>
      <c r="AA25" s="180"/>
      <c r="AB25" s="180"/>
      <c r="AC25" s="180"/>
      <c r="AD25" s="180"/>
      <c r="AE25" s="180"/>
      <c r="AF25" s="180"/>
      <c r="AG25" s="180"/>
      <c r="AH25" s="180"/>
      <c r="AI25" s="180"/>
      <c r="AJ25" s="180"/>
      <c r="AK25" s="180"/>
      <c r="AL25" s="180"/>
      <c r="AM25" s="180"/>
      <c r="AN25" s="180"/>
      <c r="AO25" s="180"/>
      <c r="AP25" s="180"/>
      <c r="AQ25" s="180"/>
      <c r="AR25" s="180"/>
      <c r="AS25" s="180"/>
      <c r="AT25" s="180"/>
      <c r="AU25" s="180"/>
      <c r="AV25" s="180"/>
      <c r="AW25" s="180"/>
      <c r="AX25" s="180"/>
      <c r="AY25" s="180"/>
      <c r="AZ25" s="180"/>
      <c r="BA25" s="180"/>
      <c r="BB25" s="180"/>
      <c r="BC25" s="180"/>
      <c r="BD25" s="180"/>
      <c r="BE25" s="180"/>
      <c r="BF25" s="180"/>
      <c r="BG25" s="180"/>
      <c r="BH25" s="180"/>
      <c r="BI25" s="180"/>
      <c r="BJ25" s="180"/>
      <c r="BK25" s="180"/>
      <c r="BL25" s="180"/>
      <c r="BM25" s="180"/>
      <c r="BN25" s="180"/>
      <c r="BO25" s="180"/>
      <c r="BP25" s="180"/>
      <c r="BQ25" s="180"/>
      <c r="BR25" s="180"/>
      <c r="BS25" s="180"/>
    </row>
    <row r="26" spans="1:71" s="181" customFormat="1" ht="45.75" customHeight="1" thickBot="1" x14ac:dyDescent="0.35">
      <c r="A26" s="400"/>
      <c r="B26" s="374"/>
      <c r="C26" s="373"/>
      <c r="D26" s="377"/>
      <c r="E26" s="377"/>
      <c r="F26" s="379"/>
      <c r="G26" s="370"/>
      <c r="H26" s="370"/>
      <c r="I26" s="370"/>
      <c r="J26" s="370"/>
      <c r="K26" s="370"/>
      <c r="L26" s="370"/>
      <c r="M26" s="370"/>
      <c r="N26" s="370"/>
      <c r="O26" s="180"/>
      <c r="P26" s="180"/>
      <c r="Q26" s="180"/>
      <c r="R26" s="180"/>
      <c r="S26" s="180"/>
      <c r="T26" s="180"/>
      <c r="U26" s="180"/>
      <c r="V26" s="180"/>
      <c r="W26" s="180"/>
      <c r="X26" s="180"/>
      <c r="Y26" s="180"/>
      <c r="Z26" s="180"/>
      <c r="AA26" s="180"/>
      <c r="AB26" s="180"/>
      <c r="AC26" s="180"/>
      <c r="AD26" s="180"/>
      <c r="AE26" s="180"/>
      <c r="AF26" s="180"/>
      <c r="AG26" s="180"/>
      <c r="AH26" s="180"/>
      <c r="AI26" s="180"/>
      <c r="AJ26" s="180"/>
      <c r="AK26" s="180"/>
      <c r="AL26" s="180"/>
      <c r="AM26" s="180"/>
      <c r="AN26" s="180"/>
      <c r="AO26" s="180"/>
      <c r="AP26" s="180"/>
      <c r="AQ26" s="180"/>
      <c r="AR26" s="180"/>
      <c r="AS26" s="180"/>
      <c r="AT26" s="180"/>
      <c r="AU26" s="180"/>
      <c r="AV26" s="180"/>
      <c r="AW26" s="180"/>
      <c r="AX26" s="180"/>
      <c r="AY26" s="180"/>
      <c r="AZ26" s="180"/>
      <c r="BA26" s="180"/>
      <c r="BB26" s="180"/>
      <c r="BC26" s="180"/>
      <c r="BD26" s="180"/>
      <c r="BE26" s="180"/>
      <c r="BF26" s="180"/>
      <c r="BG26" s="180"/>
      <c r="BH26" s="180"/>
      <c r="BI26" s="180"/>
      <c r="BJ26" s="180"/>
      <c r="BK26" s="180"/>
      <c r="BL26" s="180"/>
      <c r="BM26" s="180"/>
      <c r="BN26" s="180"/>
      <c r="BO26" s="180"/>
      <c r="BP26" s="180"/>
      <c r="BQ26" s="180"/>
      <c r="BR26" s="180"/>
      <c r="BS26" s="180"/>
    </row>
    <row r="27" spans="1:71" s="181" customFormat="1" ht="45.75" customHeight="1" x14ac:dyDescent="0.3">
      <c r="A27" s="400"/>
      <c r="B27" s="380" t="e">
        <f>'Mapa final'!#REF!</f>
        <v>#REF!</v>
      </c>
      <c r="C27" s="371" t="e">
        <f>'Mapa final'!#REF!</f>
        <v>#REF!</v>
      </c>
      <c r="D27" s="376" t="e">
        <f>'Mapa final'!#REF!</f>
        <v>#REF!</v>
      </c>
      <c r="E27" s="376" t="e">
        <f>'Mapa final'!#REF!</f>
        <v>#REF!</v>
      </c>
      <c r="F27" s="378"/>
      <c r="G27" s="369" t="str">
        <f t="shared" si="1"/>
        <v>No</v>
      </c>
      <c r="H27" s="369" t="str">
        <f t="shared" si="1"/>
        <v>No</v>
      </c>
      <c r="I27" s="369" t="str">
        <f t="shared" si="1"/>
        <v>No</v>
      </c>
      <c r="J27" s="369" t="str">
        <f t="shared" si="1"/>
        <v>No</v>
      </c>
      <c r="K27" s="369" t="str">
        <f t="shared" si="1"/>
        <v>No</v>
      </c>
      <c r="L27" s="369" t="str">
        <f t="shared" si="1"/>
        <v>No</v>
      </c>
      <c r="M27" s="369" t="str">
        <f t="shared" si="1"/>
        <v>No</v>
      </c>
      <c r="N27" s="369" t="str">
        <f t="shared" si="1"/>
        <v>No</v>
      </c>
      <c r="O27" s="180"/>
      <c r="P27" s="180"/>
      <c r="Q27" s="180"/>
      <c r="R27" s="180"/>
      <c r="S27" s="180"/>
      <c r="T27" s="180"/>
      <c r="U27" s="180"/>
      <c r="V27" s="180"/>
      <c r="W27" s="180"/>
      <c r="X27" s="180"/>
      <c r="Y27" s="180"/>
      <c r="Z27" s="180"/>
      <c r="AA27" s="180"/>
      <c r="AB27" s="180"/>
      <c r="AC27" s="180"/>
      <c r="AD27" s="180"/>
      <c r="AE27" s="180"/>
      <c r="AF27" s="180"/>
      <c r="AG27" s="180"/>
      <c r="AH27" s="180"/>
      <c r="AI27" s="180"/>
      <c r="AJ27" s="180"/>
      <c r="AK27" s="180"/>
      <c r="AL27" s="180"/>
      <c r="AM27" s="180"/>
      <c r="AN27" s="180"/>
      <c r="AO27" s="180"/>
      <c r="AP27" s="180"/>
      <c r="AQ27" s="180"/>
      <c r="AR27" s="180"/>
      <c r="AS27" s="180"/>
      <c r="AT27" s="180"/>
      <c r="AU27" s="180"/>
      <c r="AV27" s="180"/>
      <c r="AW27" s="180"/>
      <c r="AX27" s="180"/>
      <c r="AY27" s="180"/>
      <c r="AZ27" s="180"/>
      <c r="BA27" s="180"/>
      <c r="BB27" s="180"/>
      <c r="BC27" s="180"/>
      <c r="BD27" s="180"/>
      <c r="BE27" s="180"/>
      <c r="BF27" s="180"/>
      <c r="BG27" s="180"/>
      <c r="BH27" s="180"/>
      <c r="BI27" s="180"/>
      <c r="BJ27" s="180"/>
      <c r="BK27" s="180"/>
      <c r="BL27" s="180"/>
      <c r="BM27" s="180"/>
      <c r="BN27" s="180"/>
      <c r="BO27" s="180"/>
      <c r="BP27" s="180"/>
      <c r="BQ27" s="180"/>
      <c r="BR27" s="180"/>
      <c r="BS27" s="180"/>
    </row>
    <row r="28" spans="1:71" s="181" customFormat="1" ht="45.75" customHeight="1" x14ac:dyDescent="0.3">
      <c r="A28" s="400"/>
      <c r="B28" s="374"/>
      <c r="C28" s="372"/>
      <c r="D28" s="377"/>
      <c r="E28" s="377"/>
      <c r="F28" s="379"/>
      <c r="G28" s="370"/>
      <c r="H28" s="370"/>
      <c r="I28" s="370"/>
      <c r="J28" s="370"/>
      <c r="K28" s="370"/>
      <c r="L28" s="370"/>
      <c r="M28" s="370"/>
      <c r="N28" s="370"/>
      <c r="O28" s="180"/>
      <c r="P28" s="180"/>
      <c r="Q28" s="180"/>
      <c r="R28" s="180"/>
      <c r="S28" s="180"/>
      <c r="T28" s="180"/>
      <c r="U28" s="180"/>
      <c r="V28" s="180"/>
      <c r="W28" s="180"/>
      <c r="X28" s="180"/>
      <c r="Y28" s="180"/>
      <c r="Z28" s="180"/>
      <c r="AA28" s="180"/>
      <c r="AB28" s="180"/>
      <c r="AC28" s="180"/>
      <c r="AD28" s="180"/>
      <c r="AE28" s="180"/>
      <c r="AF28" s="180"/>
      <c r="AG28" s="180"/>
      <c r="AH28" s="180"/>
      <c r="AI28" s="180"/>
      <c r="AJ28" s="180"/>
      <c r="AK28" s="180"/>
      <c r="AL28" s="180"/>
      <c r="AM28" s="180"/>
      <c r="AN28" s="180"/>
      <c r="AO28" s="180"/>
      <c r="AP28" s="180"/>
      <c r="AQ28" s="180"/>
      <c r="AR28" s="180"/>
      <c r="AS28" s="180"/>
      <c r="AT28" s="180"/>
      <c r="AU28" s="180"/>
      <c r="AV28" s="180"/>
      <c r="AW28" s="180"/>
      <c r="AX28" s="180"/>
      <c r="AY28" s="180"/>
      <c r="AZ28" s="180"/>
      <c r="BA28" s="180"/>
      <c r="BB28" s="180"/>
      <c r="BC28" s="180"/>
      <c r="BD28" s="180"/>
      <c r="BE28" s="180"/>
      <c r="BF28" s="180"/>
      <c r="BG28" s="180"/>
      <c r="BH28" s="180"/>
      <c r="BI28" s="180"/>
      <c r="BJ28" s="180"/>
      <c r="BK28" s="180"/>
      <c r="BL28" s="180"/>
      <c r="BM28" s="180"/>
      <c r="BN28" s="180"/>
      <c r="BO28" s="180"/>
      <c r="BP28" s="180"/>
      <c r="BQ28" s="180"/>
      <c r="BR28" s="180"/>
      <c r="BS28" s="180"/>
    </row>
    <row r="29" spans="1:71" s="181" customFormat="1" ht="45.75" customHeight="1" thickBot="1" x14ac:dyDescent="0.35">
      <c r="A29" s="400"/>
      <c r="B29" s="374"/>
      <c r="C29" s="373"/>
      <c r="D29" s="377"/>
      <c r="E29" s="377"/>
      <c r="F29" s="379"/>
      <c r="G29" s="370"/>
      <c r="H29" s="370"/>
      <c r="I29" s="370"/>
      <c r="J29" s="370"/>
      <c r="K29" s="370"/>
      <c r="L29" s="370"/>
      <c r="M29" s="370"/>
      <c r="N29" s="370"/>
      <c r="O29" s="180"/>
      <c r="P29" s="180"/>
      <c r="Q29" s="180"/>
      <c r="R29" s="180"/>
      <c r="S29" s="180"/>
      <c r="T29" s="180"/>
      <c r="U29" s="180"/>
      <c r="V29" s="180"/>
      <c r="W29" s="180"/>
      <c r="X29" s="180"/>
      <c r="Y29" s="180"/>
      <c r="Z29" s="180"/>
      <c r="AA29" s="180"/>
      <c r="AB29" s="180"/>
      <c r="AC29" s="180"/>
      <c r="AD29" s="180"/>
      <c r="AE29" s="180"/>
      <c r="AF29" s="180"/>
      <c r="AG29" s="180"/>
      <c r="AH29" s="180"/>
      <c r="AI29" s="180"/>
      <c r="AJ29" s="180"/>
      <c r="AK29" s="180"/>
      <c r="AL29" s="180"/>
      <c r="AM29" s="180"/>
      <c r="AN29" s="180"/>
      <c r="AO29" s="180"/>
      <c r="AP29" s="180"/>
      <c r="AQ29" s="180"/>
      <c r="AR29" s="180"/>
      <c r="AS29" s="180"/>
      <c r="AT29" s="180"/>
      <c r="AU29" s="180"/>
      <c r="AV29" s="180"/>
      <c r="AW29" s="180"/>
      <c r="AX29" s="180"/>
      <c r="AY29" s="180"/>
      <c r="AZ29" s="180"/>
      <c r="BA29" s="180"/>
      <c r="BB29" s="180"/>
      <c r="BC29" s="180"/>
      <c r="BD29" s="180"/>
      <c r="BE29" s="180"/>
      <c r="BF29" s="180"/>
      <c r="BG29" s="180"/>
      <c r="BH29" s="180"/>
      <c r="BI29" s="180"/>
      <c r="BJ29" s="180"/>
      <c r="BK29" s="180"/>
      <c r="BL29" s="180"/>
      <c r="BM29" s="180"/>
      <c r="BN29" s="180"/>
      <c r="BO29" s="180"/>
      <c r="BP29" s="180"/>
      <c r="BQ29" s="180"/>
      <c r="BR29" s="180"/>
      <c r="BS29" s="180"/>
    </row>
    <row r="30" spans="1:71" s="181" customFormat="1" ht="45.75" customHeight="1" x14ac:dyDescent="0.3">
      <c r="A30" s="400"/>
      <c r="B30" s="380" t="e">
        <f>'Mapa final'!#REF!</f>
        <v>#REF!</v>
      </c>
      <c r="C30" s="371" t="e">
        <f>'Mapa final'!#REF!</f>
        <v>#REF!</v>
      </c>
      <c r="D30" s="376" t="e">
        <f>'Mapa final'!#REF!</f>
        <v>#REF!</v>
      </c>
      <c r="E30" s="376" t="e">
        <f>'Mapa final'!#REF!</f>
        <v>#REF!</v>
      </c>
      <c r="F30" s="378"/>
      <c r="G30" s="369" t="str">
        <f t="shared" si="1"/>
        <v>No</v>
      </c>
      <c r="H30" s="369" t="str">
        <f t="shared" si="1"/>
        <v>No</v>
      </c>
      <c r="I30" s="369" t="str">
        <f t="shared" si="1"/>
        <v>No</v>
      </c>
      <c r="J30" s="369" t="str">
        <f t="shared" si="1"/>
        <v>No</v>
      </c>
      <c r="K30" s="369" t="str">
        <f t="shared" si="1"/>
        <v>No</v>
      </c>
      <c r="L30" s="369" t="str">
        <f t="shared" si="1"/>
        <v>No</v>
      </c>
      <c r="M30" s="369" t="str">
        <f t="shared" si="1"/>
        <v>No</v>
      </c>
      <c r="N30" s="369" t="str">
        <f t="shared" si="1"/>
        <v>No</v>
      </c>
      <c r="O30" s="180"/>
      <c r="P30" s="180"/>
      <c r="Q30" s="180"/>
      <c r="R30" s="180"/>
      <c r="S30" s="180"/>
      <c r="T30" s="180"/>
      <c r="U30" s="180"/>
      <c r="V30" s="180"/>
      <c r="W30" s="180"/>
      <c r="X30" s="180"/>
      <c r="Y30" s="180"/>
      <c r="Z30" s="180"/>
      <c r="AA30" s="180"/>
      <c r="AB30" s="180"/>
      <c r="AC30" s="180"/>
      <c r="AD30" s="180"/>
      <c r="AE30" s="180"/>
      <c r="AF30" s="180"/>
      <c r="AG30" s="180"/>
      <c r="AH30" s="180"/>
      <c r="AI30" s="180"/>
      <c r="AJ30" s="180"/>
      <c r="AK30" s="180"/>
      <c r="AL30" s="180"/>
      <c r="AM30" s="180"/>
      <c r="AN30" s="180"/>
      <c r="AO30" s="180"/>
      <c r="AP30" s="180"/>
      <c r="AQ30" s="180"/>
      <c r="AR30" s="180"/>
      <c r="AS30" s="180"/>
      <c r="AT30" s="180"/>
      <c r="AU30" s="180"/>
      <c r="AV30" s="180"/>
      <c r="AW30" s="180"/>
      <c r="AX30" s="180"/>
      <c r="AY30" s="180"/>
      <c r="AZ30" s="180"/>
      <c r="BA30" s="180"/>
      <c r="BB30" s="180"/>
      <c r="BC30" s="180"/>
      <c r="BD30" s="180"/>
      <c r="BE30" s="180"/>
      <c r="BF30" s="180"/>
      <c r="BG30" s="180"/>
      <c r="BH30" s="180"/>
      <c r="BI30" s="180"/>
      <c r="BJ30" s="180"/>
      <c r="BK30" s="180"/>
      <c r="BL30" s="180"/>
      <c r="BM30" s="180"/>
      <c r="BN30" s="180"/>
      <c r="BO30" s="180"/>
      <c r="BP30" s="180"/>
      <c r="BQ30" s="180"/>
      <c r="BR30" s="180"/>
      <c r="BS30" s="180"/>
    </row>
    <row r="31" spans="1:71" s="181" customFormat="1" ht="45.75" customHeight="1" x14ac:dyDescent="0.3">
      <c r="A31" s="400"/>
      <c r="B31" s="374"/>
      <c r="C31" s="372"/>
      <c r="D31" s="377"/>
      <c r="E31" s="377"/>
      <c r="F31" s="379"/>
      <c r="G31" s="370"/>
      <c r="H31" s="370"/>
      <c r="I31" s="370"/>
      <c r="J31" s="370"/>
      <c r="K31" s="370"/>
      <c r="L31" s="370"/>
      <c r="M31" s="370"/>
      <c r="N31" s="370"/>
      <c r="O31" s="180"/>
      <c r="P31" s="180"/>
      <c r="Q31" s="180"/>
      <c r="R31" s="180"/>
      <c r="S31" s="180"/>
      <c r="T31" s="180"/>
      <c r="U31" s="180"/>
      <c r="V31" s="180"/>
      <c r="W31" s="180"/>
      <c r="X31" s="180"/>
      <c r="Y31" s="180"/>
      <c r="Z31" s="180"/>
      <c r="AA31" s="180"/>
      <c r="AB31" s="180"/>
      <c r="AC31" s="180"/>
      <c r="AD31" s="180"/>
      <c r="AE31" s="180"/>
      <c r="AF31" s="180"/>
      <c r="AG31" s="180"/>
      <c r="AH31" s="180"/>
      <c r="AI31" s="180"/>
      <c r="AJ31" s="180"/>
      <c r="AK31" s="180"/>
      <c r="AL31" s="180"/>
      <c r="AM31" s="180"/>
      <c r="AN31" s="180"/>
      <c r="AO31" s="180"/>
      <c r="AP31" s="180"/>
      <c r="AQ31" s="180"/>
      <c r="AR31" s="180"/>
      <c r="AS31" s="180"/>
      <c r="AT31" s="180"/>
      <c r="AU31" s="180"/>
      <c r="AV31" s="180"/>
      <c r="AW31" s="180"/>
      <c r="AX31" s="180"/>
      <c r="AY31" s="180"/>
      <c r="AZ31" s="180"/>
      <c r="BA31" s="180"/>
      <c r="BB31" s="180"/>
      <c r="BC31" s="180"/>
      <c r="BD31" s="180"/>
      <c r="BE31" s="180"/>
      <c r="BF31" s="180"/>
      <c r="BG31" s="180"/>
      <c r="BH31" s="180"/>
      <c r="BI31" s="180"/>
      <c r="BJ31" s="180"/>
      <c r="BK31" s="180"/>
      <c r="BL31" s="180"/>
      <c r="BM31" s="180"/>
      <c r="BN31" s="180"/>
      <c r="BO31" s="180"/>
      <c r="BP31" s="180"/>
      <c r="BQ31" s="180"/>
      <c r="BR31" s="180"/>
      <c r="BS31" s="180"/>
    </row>
    <row r="32" spans="1:71" s="181" customFormat="1" ht="45.75" customHeight="1" thickBot="1" x14ac:dyDescent="0.35">
      <c r="A32" s="400"/>
      <c r="B32" s="374"/>
      <c r="C32" s="373"/>
      <c r="D32" s="377"/>
      <c r="E32" s="377"/>
      <c r="F32" s="379"/>
      <c r="G32" s="370"/>
      <c r="H32" s="370"/>
      <c r="I32" s="370"/>
      <c r="J32" s="370"/>
      <c r="K32" s="370"/>
      <c r="L32" s="370"/>
      <c r="M32" s="370"/>
      <c r="N32" s="370"/>
      <c r="O32" s="180"/>
      <c r="P32" s="180"/>
      <c r="Q32" s="180"/>
      <c r="R32" s="180"/>
      <c r="S32" s="180"/>
      <c r="T32" s="180"/>
      <c r="U32" s="180"/>
      <c r="V32" s="180"/>
      <c r="W32" s="180"/>
      <c r="X32" s="180"/>
      <c r="Y32" s="180"/>
      <c r="Z32" s="180"/>
      <c r="AA32" s="180"/>
      <c r="AB32" s="180"/>
      <c r="AC32" s="180"/>
      <c r="AD32" s="180"/>
      <c r="AE32" s="180"/>
      <c r="AF32" s="180"/>
      <c r="AG32" s="180"/>
      <c r="AH32" s="180"/>
      <c r="AI32" s="180"/>
      <c r="AJ32" s="180"/>
      <c r="AK32" s="180"/>
      <c r="AL32" s="180"/>
      <c r="AM32" s="180"/>
      <c r="AN32" s="180"/>
      <c r="AO32" s="180"/>
      <c r="AP32" s="180"/>
      <c r="AQ32" s="180"/>
      <c r="AR32" s="180"/>
      <c r="AS32" s="180"/>
      <c r="AT32" s="180"/>
      <c r="AU32" s="180"/>
      <c r="AV32" s="180"/>
      <c r="AW32" s="180"/>
      <c r="AX32" s="180"/>
      <c r="AY32" s="180"/>
      <c r="AZ32" s="180"/>
      <c r="BA32" s="180"/>
      <c r="BB32" s="180"/>
      <c r="BC32" s="180"/>
      <c r="BD32" s="180"/>
      <c r="BE32" s="180"/>
      <c r="BF32" s="180"/>
      <c r="BG32" s="180"/>
      <c r="BH32" s="180"/>
      <c r="BI32" s="180"/>
      <c r="BJ32" s="180"/>
      <c r="BK32" s="180"/>
      <c r="BL32" s="180"/>
      <c r="BM32" s="180"/>
      <c r="BN32" s="180"/>
      <c r="BO32" s="180"/>
      <c r="BP32" s="180"/>
      <c r="BQ32" s="180"/>
      <c r="BR32" s="180"/>
      <c r="BS32" s="180"/>
    </row>
    <row r="33" spans="1:71" s="181" customFormat="1" ht="45.75" customHeight="1" x14ac:dyDescent="0.3">
      <c r="A33" s="400"/>
      <c r="B33" s="374" t="e">
        <f>'Mapa final'!#REF!</f>
        <v>#REF!</v>
      </c>
      <c r="C33" s="371" t="e">
        <f>'Mapa final'!#REF!</f>
        <v>#REF!</v>
      </c>
      <c r="D33" s="376" t="e">
        <f>'Mapa final'!#REF!</f>
        <v>#REF!</v>
      </c>
      <c r="E33" s="376" t="e">
        <f>'Mapa final'!#REF!</f>
        <v>#REF!</v>
      </c>
      <c r="F33" s="378"/>
      <c r="G33" s="369" t="str">
        <f t="shared" si="1"/>
        <v>No</v>
      </c>
      <c r="H33" s="369" t="str">
        <f t="shared" si="1"/>
        <v>No</v>
      </c>
      <c r="I33" s="369" t="str">
        <f t="shared" si="1"/>
        <v>No</v>
      </c>
      <c r="J33" s="369" t="str">
        <f t="shared" si="1"/>
        <v>No</v>
      </c>
      <c r="K33" s="369" t="str">
        <f t="shared" si="1"/>
        <v>No</v>
      </c>
      <c r="L33" s="369" t="str">
        <f t="shared" si="1"/>
        <v>No</v>
      </c>
      <c r="M33" s="369" t="str">
        <f t="shared" si="1"/>
        <v>No</v>
      </c>
      <c r="N33" s="369" t="str">
        <f t="shared" si="1"/>
        <v>No</v>
      </c>
      <c r="O33" s="180"/>
      <c r="P33" s="180"/>
      <c r="Q33" s="180"/>
      <c r="R33" s="180"/>
      <c r="S33" s="180"/>
      <c r="T33" s="180"/>
      <c r="U33" s="180"/>
      <c r="V33" s="180"/>
      <c r="W33" s="180"/>
      <c r="X33" s="180"/>
      <c r="Y33" s="180"/>
      <c r="Z33" s="180"/>
      <c r="AA33" s="180"/>
      <c r="AB33" s="180"/>
      <c r="AC33" s="180"/>
      <c r="AD33" s="180"/>
      <c r="AE33" s="180"/>
      <c r="AF33" s="180"/>
      <c r="AG33" s="180"/>
      <c r="AH33" s="180"/>
      <c r="AI33" s="180"/>
      <c r="AJ33" s="180"/>
      <c r="AK33" s="180"/>
      <c r="AL33" s="180"/>
      <c r="AM33" s="180"/>
      <c r="AN33" s="180"/>
      <c r="AO33" s="180"/>
      <c r="AP33" s="180"/>
      <c r="AQ33" s="180"/>
      <c r="AR33" s="180"/>
      <c r="AS33" s="180"/>
      <c r="AT33" s="180"/>
      <c r="AU33" s="180"/>
      <c r="AV33" s="180"/>
      <c r="AW33" s="180"/>
      <c r="AX33" s="180"/>
      <c r="AY33" s="180"/>
      <c r="AZ33" s="180"/>
      <c r="BA33" s="180"/>
      <c r="BB33" s="180"/>
      <c r="BC33" s="180"/>
      <c r="BD33" s="180"/>
      <c r="BE33" s="180"/>
      <c r="BF33" s="180"/>
      <c r="BG33" s="180"/>
      <c r="BH33" s="180"/>
      <c r="BI33" s="180"/>
      <c r="BJ33" s="180"/>
      <c r="BK33" s="180"/>
      <c r="BL33" s="180"/>
      <c r="BM33" s="180"/>
      <c r="BN33" s="180"/>
      <c r="BO33" s="180"/>
      <c r="BP33" s="180"/>
      <c r="BQ33" s="180"/>
      <c r="BR33" s="180"/>
      <c r="BS33" s="180"/>
    </row>
    <row r="34" spans="1:71" s="181" customFormat="1" ht="45.75" customHeight="1" x14ac:dyDescent="0.3">
      <c r="A34" s="400"/>
      <c r="B34" s="374"/>
      <c r="C34" s="372"/>
      <c r="D34" s="377"/>
      <c r="E34" s="377"/>
      <c r="F34" s="379"/>
      <c r="G34" s="370"/>
      <c r="H34" s="370"/>
      <c r="I34" s="370"/>
      <c r="J34" s="370"/>
      <c r="K34" s="370"/>
      <c r="L34" s="370"/>
      <c r="M34" s="370"/>
      <c r="N34" s="370"/>
      <c r="O34" s="180"/>
      <c r="P34" s="180"/>
      <c r="Q34" s="180"/>
      <c r="R34" s="180"/>
      <c r="S34" s="180"/>
      <c r="T34" s="180"/>
      <c r="U34" s="180"/>
      <c r="V34" s="180"/>
      <c r="W34" s="180"/>
      <c r="X34" s="180"/>
      <c r="Y34" s="180"/>
      <c r="Z34" s="180"/>
      <c r="AA34" s="180"/>
      <c r="AB34" s="180"/>
      <c r="AC34" s="180"/>
      <c r="AD34" s="180"/>
      <c r="AE34" s="180"/>
      <c r="AF34" s="180"/>
      <c r="AG34" s="180"/>
      <c r="AH34" s="180"/>
      <c r="AI34" s="180"/>
      <c r="AJ34" s="180"/>
      <c r="AK34" s="180"/>
      <c r="AL34" s="180"/>
      <c r="AM34" s="180"/>
      <c r="AN34" s="180"/>
      <c r="AO34" s="180"/>
      <c r="AP34" s="180"/>
      <c r="AQ34" s="180"/>
      <c r="AR34" s="180"/>
      <c r="AS34" s="180"/>
      <c r="AT34" s="180"/>
      <c r="AU34" s="180"/>
      <c r="AV34" s="180"/>
      <c r="AW34" s="180"/>
      <c r="AX34" s="180"/>
      <c r="AY34" s="180"/>
      <c r="AZ34" s="180"/>
      <c r="BA34" s="180"/>
      <c r="BB34" s="180"/>
      <c r="BC34" s="180"/>
      <c r="BD34" s="180"/>
      <c r="BE34" s="180"/>
      <c r="BF34" s="180"/>
      <c r="BG34" s="180"/>
      <c r="BH34" s="180"/>
      <c r="BI34" s="180"/>
      <c r="BJ34" s="180"/>
      <c r="BK34" s="180"/>
      <c r="BL34" s="180"/>
      <c r="BM34" s="180"/>
      <c r="BN34" s="180"/>
      <c r="BO34" s="180"/>
      <c r="BP34" s="180"/>
      <c r="BQ34" s="180"/>
      <c r="BR34" s="180"/>
      <c r="BS34" s="180"/>
    </row>
    <row r="35" spans="1:71" s="181" customFormat="1" ht="45.75" customHeight="1" thickBot="1" x14ac:dyDescent="0.35">
      <c r="A35" s="400"/>
      <c r="B35" s="374"/>
      <c r="C35" s="373"/>
      <c r="D35" s="377"/>
      <c r="E35" s="377"/>
      <c r="F35" s="379"/>
      <c r="G35" s="370"/>
      <c r="H35" s="370"/>
      <c r="I35" s="370"/>
      <c r="J35" s="370"/>
      <c r="K35" s="370"/>
      <c r="L35" s="370"/>
      <c r="M35" s="370"/>
      <c r="N35" s="370"/>
      <c r="O35" s="180"/>
      <c r="P35" s="180"/>
      <c r="Q35" s="180"/>
      <c r="R35" s="180"/>
      <c r="S35" s="180"/>
      <c r="T35" s="180"/>
      <c r="U35" s="180"/>
      <c r="V35" s="180"/>
      <c r="W35" s="180"/>
      <c r="X35" s="180"/>
      <c r="Y35" s="180"/>
      <c r="Z35" s="180"/>
      <c r="AA35" s="180"/>
      <c r="AB35" s="180"/>
      <c r="AC35" s="180"/>
      <c r="AD35" s="180"/>
      <c r="AE35" s="180"/>
      <c r="AF35" s="180"/>
      <c r="AG35" s="180"/>
      <c r="AH35" s="180"/>
      <c r="AI35" s="180"/>
      <c r="AJ35" s="180"/>
      <c r="AK35" s="180"/>
      <c r="AL35" s="180"/>
      <c r="AM35" s="180"/>
      <c r="AN35" s="180"/>
      <c r="AO35" s="180"/>
      <c r="AP35" s="180"/>
      <c r="AQ35" s="180"/>
      <c r="AR35" s="180"/>
      <c r="AS35" s="180"/>
      <c r="AT35" s="180"/>
      <c r="AU35" s="180"/>
      <c r="AV35" s="180"/>
      <c r="AW35" s="180"/>
      <c r="AX35" s="180"/>
      <c r="AY35" s="180"/>
      <c r="AZ35" s="180"/>
      <c r="BA35" s="180"/>
      <c r="BB35" s="180"/>
      <c r="BC35" s="180"/>
      <c r="BD35" s="180"/>
      <c r="BE35" s="180"/>
      <c r="BF35" s="180"/>
      <c r="BG35" s="180"/>
      <c r="BH35" s="180"/>
      <c r="BI35" s="180"/>
      <c r="BJ35" s="180"/>
      <c r="BK35" s="180"/>
      <c r="BL35" s="180"/>
      <c r="BM35" s="180"/>
      <c r="BN35" s="180"/>
      <c r="BO35" s="180"/>
      <c r="BP35" s="180"/>
      <c r="BQ35" s="180"/>
      <c r="BR35" s="180"/>
      <c r="BS35" s="180"/>
    </row>
    <row r="36" spans="1:71" s="181" customFormat="1" ht="45.75" customHeight="1" x14ac:dyDescent="0.3">
      <c r="A36" s="400"/>
      <c r="B36" s="374" t="e">
        <f>'Mapa final'!#REF!</f>
        <v>#REF!</v>
      </c>
      <c r="C36" s="371" t="e">
        <f>'Mapa final'!#REF!</f>
        <v>#REF!</v>
      </c>
      <c r="D36" s="376" t="e">
        <f>'Mapa final'!#REF!</f>
        <v>#REF!</v>
      </c>
      <c r="E36" s="376" t="e">
        <f>'Mapa final'!#REF!</f>
        <v>#REF!</v>
      </c>
      <c r="F36" s="378"/>
      <c r="G36" s="369" t="str">
        <f t="shared" si="1"/>
        <v>No</v>
      </c>
      <c r="H36" s="369" t="str">
        <f t="shared" si="1"/>
        <v>No</v>
      </c>
      <c r="I36" s="369" t="str">
        <f t="shared" si="1"/>
        <v>No</v>
      </c>
      <c r="J36" s="369" t="str">
        <f t="shared" si="1"/>
        <v>No</v>
      </c>
      <c r="K36" s="369" t="str">
        <f t="shared" si="1"/>
        <v>No</v>
      </c>
      <c r="L36" s="369" t="str">
        <f t="shared" si="1"/>
        <v>No</v>
      </c>
      <c r="M36" s="369" t="str">
        <f t="shared" si="1"/>
        <v>No</v>
      </c>
      <c r="N36" s="369" t="str">
        <f t="shared" si="1"/>
        <v>No</v>
      </c>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180"/>
      <c r="AP36" s="180"/>
      <c r="AQ36" s="180"/>
      <c r="AR36" s="180"/>
      <c r="AS36" s="180"/>
      <c r="AT36" s="180"/>
      <c r="AU36" s="180"/>
      <c r="AV36" s="180"/>
      <c r="AW36" s="180"/>
      <c r="AX36" s="180"/>
      <c r="AY36" s="180"/>
      <c r="AZ36" s="180"/>
      <c r="BA36" s="180"/>
      <c r="BB36" s="180"/>
      <c r="BC36" s="180"/>
      <c r="BD36" s="180"/>
      <c r="BE36" s="180"/>
      <c r="BF36" s="180"/>
      <c r="BG36" s="180"/>
      <c r="BH36" s="180"/>
      <c r="BI36" s="180"/>
      <c r="BJ36" s="180"/>
      <c r="BK36" s="180"/>
      <c r="BL36" s="180"/>
      <c r="BM36" s="180"/>
      <c r="BN36" s="180"/>
      <c r="BO36" s="180"/>
      <c r="BP36" s="180"/>
      <c r="BQ36" s="180"/>
      <c r="BR36" s="180"/>
      <c r="BS36" s="180"/>
    </row>
    <row r="37" spans="1:71" s="181" customFormat="1" ht="45.75" customHeight="1" x14ac:dyDescent="0.3">
      <c r="A37" s="400"/>
      <c r="B37" s="374"/>
      <c r="C37" s="372"/>
      <c r="D37" s="377"/>
      <c r="E37" s="377"/>
      <c r="F37" s="379"/>
      <c r="G37" s="370"/>
      <c r="H37" s="370"/>
      <c r="I37" s="370"/>
      <c r="J37" s="370"/>
      <c r="K37" s="370"/>
      <c r="L37" s="370"/>
      <c r="M37" s="370"/>
      <c r="N37" s="370"/>
      <c r="O37" s="180"/>
      <c r="P37" s="180"/>
      <c r="Q37" s="180"/>
      <c r="R37" s="180"/>
      <c r="S37" s="180"/>
      <c r="T37" s="180"/>
      <c r="U37" s="180"/>
      <c r="V37" s="180"/>
      <c r="W37" s="180"/>
      <c r="X37" s="180"/>
      <c r="Y37" s="180"/>
      <c r="Z37" s="180"/>
      <c r="AA37" s="180"/>
      <c r="AB37" s="180"/>
      <c r="AC37" s="180"/>
      <c r="AD37" s="180"/>
      <c r="AE37" s="180"/>
      <c r="AF37" s="180"/>
      <c r="AG37" s="180"/>
      <c r="AH37" s="180"/>
      <c r="AI37" s="180"/>
      <c r="AJ37" s="180"/>
      <c r="AK37" s="180"/>
      <c r="AL37" s="180"/>
      <c r="AM37" s="180"/>
      <c r="AN37" s="180"/>
      <c r="AO37" s="180"/>
      <c r="AP37" s="180"/>
      <c r="AQ37" s="180"/>
      <c r="AR37" s="180"/>
      <c r="AS37" s="180"/>
      <c r="AT37" s="180"/>
      <c r="AU37" s="180"/>
      <c r="AV37" s="180"/>
      <c r="AW37" s="180"/>
      <c r="AX37" s="180"/>
      <c r="AY37" s="180"/>
      <c r="AZ37" s="180"/>
      <c r="BA37" s="180"/>
      <c r="BB37" s="180"/>
      <c r="BC37" s="180"/>
      <c r="BD37" s="180"/>
      <c r="BE37" s="180"/>
      <c r="BF37" s="180"/>
      <c r="BG37" s="180"/>
      <c r="BH37" s="180"/>
      <c r="BI37" s="180"/>
      <c r="BJ37" s="180"/>
      <c r="BK37" s="180"/>
      <c r="BL37" s="180"/>
      <c r="BM37" s="180"/>
      <c r="BN37" s="180"/>
      <c r="BO37" s="180"/>
      <c r="BP37" s="180"/>
      <c r="BQ37" s="180"/>
      <c r="BR37" s="180"/>
      <c r="BS37" s="180"/>
    </row>
    <row r="38" spans="1:71" s="181" customFormat="1" ht="45.75" customHeight="1" thickBot="1" x14ac:dyDescent="0.35">
      <c r="A38" s="400"/>
      <c r="B38" s="374"/>
      <c r="C38" s="373"/>
      <c r="D38" s="377"/>
      <c r="E38" s="377"/>
      <c r="F38" s="379"/>
      <c r="G38" s="370"/>
      <c r="H38" s="370"/>
      <c r="I38" s="370"/>
      <c r="J38" s="370"/>
      <c r="K38" s="370"/>
      <c r="L38" s="370"/>
      <c r="M38" s="370"/>
      <c r="N38" s="370"/>
      <c r="O38" s="180"/>
      <c r="P38" s="180"/>
      <c r="Q38" s="180"/>
      <c r="R38" s="180"/>
      <c r="S38" s="180"/>
      <c r="T38" s="180"/>
      <c r="U38" s="180"/>
      <c r="V38" s="180"/>
      <c r="W38" s="180"/>
      <c r="X38" s="180"/>
      <c r="Y38" s="180"/>
      <c r="Z38" s="180"/>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0"/>
      <c r="AX38" s="180"/>
      <c r="AY38" s="180"/>
      <c r="AZ38" s="180"/>
      <c r="BA38" s="180"/>
      <c r="BB38" s="180"/>
      <c r="BC38" s="180"/>
      <c r="BD38" s="180"/>
      <c r="BE38" s="180"/>
      <c r="BF38" s="180"/>
      <c r="BG38" s="180"/>
      <c r="BH38" s="180"/>
      <c r="BI38" s="180"/>
      <c r="BJ38" s="180"/>
      <c r="BK38" s="180"/>
      <c r="BL38" s="180"/>
      <c r="BM38" s="180"/>
      <c r="BN38" s="180"/>
      <c r="BO38" s="180"/>
      <c r="BP38" s="180"/>
      <c r="BQ38" s="180"/>
      <c r="BR38" s="180"/>
      <c r="BS38" s="180"/>
    </row>
    <row r="39" spans="1:71" s="181" customFormat="1" ht="45.75" customHeight="1" x14ac:dyDescent="0.3">
      <c r="A39" s="400"/>
      <c r="B39" s="374" t="e">
        <f>'Mapa final'!#REF!</f>
        <v>#REF!</v>
      </c>
      <c r="C39" s="371" t="e">
        <f>'Mapa final'!#REF!</f>
        <v>#REF!</v>
      </c>
      <c r="D39" s="376" t="e">
        <f>'Mapa final'!#REF!</f>
        <v>#REF!</v>
      </c>
      <c r="E39" s="376" t="e">
        <f>'Mapa final'!#REF!</f>
        <v>#REF!</v>
      </c>
      <c r="F39" s="378"/>
      <c r="G39" s="369" t="str">
        <f t="shared" si="1"/>
        <v>No</v>
      </c>
      <c r="H39" s="369" t="str">
        <f t="shared" si="1"/>
        <v>No</v>
      </c>
      <c r="I39" s="369" t="str">
        <f t="shared" si="1"/>
        <v>No</v>
      </c>
      <c r="J39" s="369" t="str">
        <f t="shared" si="1"/>
        <v>No</v>
      </c>
      <c r="K39" s="369" t="str">
        <f t="shared" si="1"/>
        <v>No</v>
      </c>
      <c r="L39" s="369" t="str">
        <f t="shared" si="1"/>
        <v>No</v>
      </c>
      <c r="M39" s="369" t="str">
        <f t="shared" si="1"/>
        <v>No</v>
      </c>
      <c r="N39" s="369" t="str">
        <f t="shared" si="1"/>
        <v>No</v>
      </c>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0"/>
      <c r="AX39" s="180"/>
      <c r="AY39" s="180"/>
      <c r="AZ39" s="180"/>
      <c r="BA39" s="180"/>
      <c r="BB39" s="180"/>
      <c r="BC39" s="180"/>
      <c r="BD39" s="180"/>
      <c r="BE39" s="180"/>
      <c r="BF39" s="180"/>
      <c r="BG39" s="180"/>
      <c r="BH39" s="180"/>
      <c r="BI39" s="180"/>
      <c r="BJ39" s="180"/>
      <c r="BK39" s="180"/>
      <c r="BL39" s="180"/>
      <c r="BM39" s="180"/>
      <c r="BN39" s="180"/>
      <c r="BO39" s="180"/>
      <c r="BP39" s="180"/>
      <c r="BQ39" s="180"/>
      <c r="BR39" s="180"/>
      <c r="BS39" s="180"/>
    </row>
    <row r="40" spans="1:71" s="181" customFormat="1" ht="45.75" customHeight="1" x14ac:dyDescent="0.3">
      <c r="A40" s="400"/>
      <c r="B40" s="374"/>
      <c r="C40" s="372"/>
      <c r="D40" s="377"/>
      <c r="E40" s="377"/>
      <c r="F40" s="379"/>
      <c r="G40" s="370"/>
      <c r="H40" s="370"/>
      <c r="I40" s="370"/>
      <c r="J40" s="370"/>
      <c r="K40" s="370"/>
      <c r="L40" s="370"/>
      <c r="M40" s="370"/>
      <c r="N40" s="370"/>
      <c r="O40" s="180"/>
      <c r="P40" s="180"/>
      <c r="Q40" s="180"/>
      <c r="R40" s="180"/>
      <c r="S40" s="180"/>
      <c r="T40" s="180"/>
      <c r="U40" s="180"/>
      <c r="V40" s="180"/>
      <c r="W40" s="180"/>
      <c r="X40" s="180"/>
      <c r="Y40" s="180"/>
      <c r="Z40" s="180"/>
      <c r="AA40" s="180"/>
      <c r="AB40" s="180"/>
      <c r="AC40" s="180"/>
      <c r="AD40" s="180"/>
      <c r="AE40" s="180"/>
      <c r="AF40" s="180"/>
      <c r="AG40" s="180"/>
      <c r="AH40" s="180"/>
      <c r="AI40" s="180"/>
      <c r="AJ40" s="180"/>
      <c r="AK40" s="180"/>
      <c r="AL40" s="180"/>
      <c r="AM40" s="180"/>
      <c r="AN40" s="180"/>
      <c r="AO40" s="180"/>
      <c r="AP40" s="180"/>
      <c r="AQ40" s="180"/>
      <c r="AR40" s="180"/>
      <c r="AS40" s="180"/>
      <c r="AT40" s="180"/>
      <c r="AU40" s="180"/>
      <c r="AV40" s="180"/>
      <c r="AW40" s="180"/>
      <c r="AX40" s="180"/>
      <c r="AY40" s="180"/>
      <c r="AZ40" s="180"/>
      <c r="BA40" s="180"/>
      <c r="BB40" s="180"/>
      <c r="BC40" s="180"/>
      <c r="BD40" s="180"/>
      <c r="BE40" s="180"/>
      <c r="BF40" s="180"/>
      <c r="BG40" s="180"/>
      <c r="BH40" s="180"/>
      <c r="BI40" s="180"/>
      <c r="BJ40" s="180"/>
      <c r="BK40" s="180"/>
      <c r="BL40" s="180"/>
      <c r="BM40" s="180"/>
      <c r="BN40" s="180"/>
      <c r="BO40" s="180"/>
      <c r="BP40" s="180"/>
      <c r="BQ40" s="180"/>
      <c r="BR40" s="180"/>
      <c r="BS40" s="180"/>
    </row>
    <row r="41" spans="1:71" s="181" customFormat="1" ht="45.75" customHeight="1" thickBot="1" x14ac:dyDescent="0.35">
      <c r="A41" s="401"/>
      <c r="B41" s="375"/>
      <c r="C41" s="373"/>
      <c r="D41" s="377"/>
      <c r="E41" s="377"/>
      <c r="F41" s="379"/>
      <c r="G41" s="370"/>
      <c r="H41" s="370"/>
      <c r="I41" s="370"/>
      <c r="J41" s="370"/>
      <c r="K41" s="370"/>
      <c r="L41" s="370"/>
      <c r="M41" s="370"/>
      <c r="N41" s="370"/>
      <c r="O41" s="180"/>
      <c r="P41" s="180"/>
      <c r="Q41" s="180"/>
      <c r="R41" s="180"/>
      <c r="S41" s="180"/>
      <c r="T41" s="180"/>
      <c r="U41" s="180"/>
      <c r="V41" s="180"/>
      <c r="W41" s="180"/>
      <c r="X41" s="180"/>
      <c r="Y41" s="180"/>
      <c r="Z41" s="180"/>
      <c r="AA41" s="180"/>
      <c r="AB41" s="180"/>
      <c r="AC41" s="180"/>
      <c r="AD41" s="180"/>
      <c r="AE41" s="180"/>
      <c r="AF41" s="180"/>
      <c r="AG41" s="180"/>
      <c r="AH41" s="180"/>
      <c r="AI41" s="180"/>
      <c r="AJ41" s="180"/>
      <c r="AK41" s="180"/>
      <c r="AL41" s="180"/>
      <c r="AM41" s="180"/>
      <c r="AN41" s="180"/>
      <c r="AO41" s="180"/>
      <c r="AP41" s="180"/>
      <c r="AQ41" s="180"/>
      <c r="AR41" s="180"/>
      <c r="AS41" s="180"/>
      <c r="AT41" s="180"/>
      <c r="AU41" s="180"/>
      <c r="AV41" s="180"/>
      <c r="AW41" s="180"/>
      <c r="AX41" s="180"/>
      <c r="AY41" s="180"/>
      <c r="AZ41" s="180"/>
      <c r="BA41" s="180"/>
      <c r="BB41" s="180"/>
      <c r="BC41" s="180"/>
      <c r="BD41" s="180"/>
      <c r="BE41" s="180"/>
      <c r="BF41" s="180"/>
      <c r="BG41" s="180"/>
      <c r="BH41" s="180"/>
      <c r="BI41" s="180"/>
      <c r="BJ41" s="180"/>
      <c r="BK41" s="180"/>
      <c r="BL41" s="180"/>
      <c r="BM41" s="180"/>
      <c r="BN41" s="180"/>
      <c r="BO41" s="180"/>
      <c r="BP41" s="180"/>
      <c r="BQ41" s="180"/>
      <c r="BR41" s="180"/>
      <c r="BS41" s="180"/>
    </row>
    <row r="42" spans="1:71" x14ac:dyDescent="0.3">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row>
    <row r="43" spans="1:71" x14ac:dyDescent="0.3">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row>
    <row r="44" spans="1:71" x14ac:dyDescent="0.3">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row>
    <row r="45" spans="1:71" x14ac:dyDescent="0.3">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row>
    <row r="46" spans="1:71" x14ac:dyDescent="0.3">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row>
    <row r="47" spans="1:71" x14ac:dyDescent="0.3">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row>
    <row r="48" spans="1:71" x14ac:dyDescent="0.3">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row>
    <row r="49" spans="1:71" x14ac:dyDescent="0.3">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row>
    <row r="50" spans="1:71" x14ac:dyDescent="0.3">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row>
    <row r="51" spans="1:71" x14ac:dyDescent="0.3">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row>
    <row r="52" spans="1:71" x14ac:dyDescent="0.3">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row>
    <row r="53" spans="1:71" x14ac:dyDescent="0.3">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row>
    <row r="54" spans="1:71" x14ac:dyDescent="0.3">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row>
    <row r="55" spans="1:71" x14ac:dyDescent="0.3">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row>
    <row r="56" spans="1:71" x14ac:dyDescent="0.3">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row>
    <row r="57" spans="1:71" x14ac:dyDescent="0.3">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row>
    <row r="58" spans="1:71" x14ac:dyDescent="0.3">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row>
    <row r="59" spans="1:71" x14ac:dyDescent="0.3">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row>
    <row r="60" spans="1:71" x14ac:dyDescent="0.3">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row>
    <row r="61" spans="1:71" x14ac:dyDescent="0.3">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row>
    <row r="62" spans="1:71" x14ac:dyDescent="0.3">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row>
    <row r="63" spans="1:71" x14ac:dyDescent="0.3">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row>
    <row r="64" spans="1:71" x14ac:dyDescent="0.3">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row>
    <row r="65" spans="1:71" x14ac:dyDescent="0.3">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row>
    <row r="66" spans="1:71" x14ac:dyDescent="0.3">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row>
    <row r="67" spans="1:71" x14ac:dyDescent="0.3">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row>
    <row r="68" spans="1:71" x14ac:dyDescent="0.3">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row>
    <row r="69" spans="1:71" x14ac:dyDescent="0.3">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row>
    <row r="70" spans="1:71" x14ac:dyDescent="0.3">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row>
    <row r="71" spans="1:71" x14ac:dyDescent="0.3">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row>
    <row r="72" spans="1:71" x14ac:dyDescent="0.3">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row>
    <row r="73" spans="1:71" x14ac:dyDescent="0.3">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row>
    <row r="74" spans="1:71" x14ac:dyDescent="0.3">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row>
    <row r="75" spans="1:71" x14ac:dyDescent="0.3">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row>
    <row r="76" spans="1:71" x14ac:dyDescent="0.3">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row>
    <row r="77" spans="1:71" x14ac:dyDescent="0.3">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row>
    <row r="78" spans="1:71" x14ac:dyDescent="0.3">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row>
    <row r="79" spans="1:71" x14ac:dyDescent="0.3">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row>
    <row r="80" spans="1:71" x14ac:dyDescent="0.3">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row>
    <row r="81" spans="1:30" x14ac:dyDescent="0.3">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row>
    <row r="82" spans="1:30" x14ac:dyDescent="0.3">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row>
    <row r="83" spans="1:30" x14ac:dyDescent="0.3">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row>
    <row r="84" spans="1:30" x14ac:dyDescent="0.3">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row>
    <row r="85" spans="1:30" x14ac:dyDescent="0.3">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row>
    <row r="86" spans="1:30" x14ac:dyDescent="0.3">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row>
    <row r="87" spans="1:30" x14ac:dyDescent="0.3">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row>
    <row r="88" spans="1:30" x14ac:dyDescent="0.3">
      <c r="A88" s="127"/>
      <c r="B88" s="127"/>
      <c r="C88" s="127"/>
      <c r="D88" s="2"/>
      <c r="E88" s="2"/>
      <c r="F88" s="2"/>
      <c r="G88" s="2"/>
      <c r="H88" s="2"/>
      <c r="I88" s="2"/>
      <c r="J88" s="2"/>
      <c r="K88" s="2"/>
      <c r="L88" s="2"/>
      <c r="M88" s="2"/>
      <c r="N88" s="2"/>
      <c r="O88" s="2"/>
      <c r="P88" s="2"/>
      <c r="Q88" s="2"/>
      <c r="R88" s="2"/>
      <c r="S88" s="2"/>
      <c r="T88" s="2"/>
      <c r="U88" s="2"/>
      <c r="V88" s="2"/>
      <c r="W88" s="2"/>
      <c r="X88" s="2"/>
      <c r="Y88" s="2"/>
      <c r="Z88" s="2"/>
      <c r="AA88" s="2"/>
      <c r="AB88" s="2"/>
      <c r="AC88" s="2"/>
      <c r="AD88" s="2"/>
    </row>
    <row r="89" spans="1:30" x14ac:dyDescent="0.3">
      <c r="A89" s="127"/>
      <c r="B89" s="127"/>
      <c r="C89" s="127"/>
      <c r="D89" s="2"/>
      <c r="E89" s="2"/>
      <c r="F89" s="2"/>
      <c r="G89" s="2"/>
      <c r="H89" s="2"/>
      <c r="I89" s="2"/>
      <c r="J89" s="2"/>
      <c r="K89" s="2"/>
      <c r="L89" s="2"/>
      <c r="M89" s="2"/>
      <c r="N89" s="2"/>
      <c r="O89" s="2"/>
      <c r="P89" s="2"/>
      <c r="Q89" s="2"/>
      <c r="R89" s="2"/>
      <c r="S89" s="2"/>
      <c r="T89" s="2"/>
      <c r="U89" s="2"/>
      <c r="V89" s="2"/>
      <c r="W89" s="2"/>
      <c r="X89" s="2"/>
      <c r="Y89" s="2"/>
      <c r="Z89" s="2"/>
      <c r="AA89" s="2"/>
      <c r="AB89" s="2"/>
      <c r="AC89" s="2"/>
      <c r="AD89" s="2"/>
    </row>
    <row r="90" spans="1:30" x14ac:dyDescent="0.3">
      <c r="A90" s="127"/>
      <c r="B90" s="127"/>
      <c r="C90" s="127"/>
      <c r="D90" s="2"/>
      <c r="E90" s="2"/>
      <c r="F90" s="2"/>
      <c r="G90" s="2"/>
      <c r="H90" s="2"/>
      <c r="I90" s="2"/>
      <c r="J90" s="2"/>
      <c r="K90" s="2"/>
      <c r="L90" s="2"/>
      <c r="M90" s="2"/>
      <c r="N90" s="2"/>
      <c r="O90" s="2"/>
      <c r="P90" s="2"/>
      <c r="Q90" s="2"/>
      <c r="R90" s="2"/>
      <c r="S90" s="2"/>
      <c r="T90" s="2"/>
      <c r="U90" s="2"/>
      <c r="V90" s="2"/>
      <c r="W90" s="2"/>
      <c r="X90" s="2"/>
      <c r="Y90" s="2"/>
      <c r="Z90" s="2"/>
      <c r="AA90" s="2"/>
      <c r="AB90" s="2"/>
      <c r="AC90" s="2"/>
      <c r="AD90" s="2"/>
    </row>
    <row r="91" spans="1:30" x14ac:dyDescent="0.3">
      <c r="A91" s="2"/>
      <c r="B91" s="2"/>
      <c r="C91" s="2"/>
      <c r="D91" s="2"/>
      <c r="E91" s="2"/>
      <c r="F91" s="2"/>
      <c r="G91" s="2"/>
      <c r="H91" s="2"/>
      <c r="I91" s="2"/>
      <c r="J91" s="2"/>
      <c r="K91" s="2"/>
      <c r="L91" s="2"/>
      <c r="M91" s="2"/>
      <c r="N91" s="2"/>
    </row>
  </sheetData>
  <sheetProtection algorithmName="SHA-512" hashValue="Qua6tRaT0+6nMcMurdNkgEqs7XQB8dhFTmQIO0wMYg8f70/2o+TflkgFo61HNf5Ba6xad185feHwRl+539HTbQ==" saltValue="0ZNtMxXIq2csRpMY/BKJPg==" spinCount="100000" sheet="1" objects="1" scenarios="1"/>
  <mergeCells count="144">
    <mergeCell ref="A12:A41"/>
    <mergeCell ref="B12:B14"/>
    <mergeCell ref="B10:E10"/>
    <mergeCell ref="F5:M5"/>
    <mergeCell ref="C30:C32"/>
    <mergeCell ref="C33:C35"/>
    <mergeCell ref="C36:C38"/>
    <mergeCell ref="C39:C41"/>
    <mergeCell ref="L39:L41"/>
    <mergeCell ref="M39:M41"/>
    <mergeCell ref="H27:H29"/>
    <mergeCell ref="I27:I29"/>
    <mergeCell ref="J27:J29"/>
    <mergeCell ref="K27:K29"/>
    <mergeCell ref="J18:J20"/>
    <mergeCell ref="K18:K20"/>
    <mergeCell ref="L18:L20"/>
    <mergeCell ref="M18:M20"/>
    <mergeCell ref="B18:B20"/>
    <mergeCell ref="D18:D20"/>
    <mergeCell ref="E18:E20"/>
    <mergeCell ref="F18:F20"/>
    <mergeCell ref="G18:G20"/>
    <mergeCell ref="H18:H20"/>
    <mergeCell ref="A2:E2"/>
    <mergeCell ref="F2:M2"/>
    <mergeCell ref="N2:N3"/>
    <mergeCell ref="A3:E6"/>
    <mergeCell ref="F3:M4"/>
    <mergeCell ref="F6:M6"/>
    <mergeCell ref="A7:N7"/>
    <mergeCell ref="A9:N9"/>
    <mergeCell ref="A10:A11"/>
    <mergeCell ref="F10:F11"/>
    <mergeCell ref="G10:N10"/>
    <mergeCell ref="N12:N14"/>
    <mergeCell ref="B15:B17"/>
    <mergeCell ref="D15:D17"/>
    <mergeCell ref="E15:E17"/>
    <mergeCell ref="F15:F17"/>
    <mergeCell ref="G15:G17"/>
    <mergeCell ref="H15:H17"/>
    <mergeCell ref="I15:I17"/>
    <mergeCell ref="J15:J17"/>
    <mergeCell ref="K15:K17"/>
    <mergeCell ref="D12:D14"/>
    <mergeCell ref="E12:E14"/>
    <mergeCell ref="F12:F14"/>
    <mergeCell ref="G12:G14"/>
    <mergeCell ref="H12:H14"/>
    <mergeCell ref="I12:I14"/>
    <mergeCell ref="J12:J14"/>
    <mergeCell ref="K12:K14"/>
    <mergeCell ref="L12:L14"/>
    <mergeCell ref="M12:M14"/>
    <mergeCell ref="L15:L17"/>
    <mergeCell ref="M15:M17"/>
    <mergeCell ref="N15:N17"/>
    <mergeCell ref="I18:I20"/>
    <mergeCell ref="N18:N20"/>
    <mergeCell ref="B21:B23"/>
    <mergeCell ref="D21:D23"/>
    <mergeCell ref="E21:E23"/>
    <mergeCell ref="F21:F23"/>
    <mergeCell ref="G21:G23"/>
    <mergeCell ref="H21:H23"/>
    <mergeCell ref="I21:I23"/>
    <mergeCell ref="J21:J23"/>
    <mergeCell ref="K21:K23"/>
    <mergeCell ref="L21:L23"/>
    <mergeCell ref="M21:M23"/>
    <mergeCell ref="N21:N23"/>
    <mergeCell ref="H30:H32"/>
    <mergeCell ref="I30:I32"/>
    <mergeCell ref="J30:J32"/>
    <mergeCell ref="K30:K32"/>
    <mergeCell ref="L24:L26"/>
    <mergeCell ref="M24:M26"/>
    <mergeCell ref="N24:N26"/>
    <mergeCell ref="B27:B29"/>
    <mergeCell ref="D27:D29"/>
    <mergeCell ref="E27:E29"/>
    <mergeCell ref="F27:F29"/>
    <mergeCell ref="G27:G29"/>
    <mergeCell ref="L27:L29"/>
    <mergeCell ref="M27:M29"/>
    <mergeCell ref="N27:N29"/>
    <mergeCell ref="B24:B26"/>
    <mergeCell ref="D24:D26"/>
    <mergeCell ref="E24:E26"/>
    <mergeCell ref="F24:F26"/>
    <mergeCell ref="G24:G26"/>
    <mergeCell ref="H24:H26"/>
    <mergeCell ref="I24:I26"/>
    <mergeCell ref="J24:J26"/>
    <mergeCell ref="K24:K26"/>
    <mergeCell ref="L30:L32"/>
    <mergeCell ref="M30:M32"/>
    <mergeCell ref="N30:N32"/>
    <mergeCell ref="B33:B35"/>
    <mergeCell ref="D33:D35"/>
    <mergeCell ref="E33:E35"/>
    <mergeCell ref="F33:F35"/>
    <mergeCell ref="G33:G35"/>
    <mergeCell ref="I36:I38"/>
    <mergeCell ref="J36:J38"/>
    <mergeCell ref="K36:K38"/>
    <mergeCell ref="H33:H35"/>
    <mergeCell ref="I33:I35"/>
    <mergeCell ref="J33:J35"/>
    <mergeCell ref="K33:K35"/>
    <mergeCell ref="L33:L35"/>
    <mergeCell ref="M33:M35"/>
    <mergeCell ref="L36:L38"/>
    <mergeCell ref="M36:M38"/>
    <mergeCell ref="B30:B32"/>
    <mergeCell ref="D30:D32"/>
    <mergeCell ref="E30:E32"/>
    <mergeCell ref="F30:F32"/>
    <mergeCell ref="G30:G32"/>
    <mergeCell ref="N39:N41"/>
    <mergeCell ref="C12:C14"/>
    <mergeCell ref="C15:C17"/>
    <mergeCell ref="C18:C20"/>
    <mergeCell ref="C21:C23"/>
    <mergeCell ref="C24:C26"/>
    <mergeCell ref="C27:C29"/>
    <mergeCell ref="N36:N38"/>
    <mergeCell ref="B39:B41"/>
    <mergeCell ref="D39:D41"/>
    <mergeCell ref="E39:E41"/>
    <mergeCell ref="F39:F41"/>
    <mergeCell ref="G39:G41"/>
    <mergeCell ref="H39:H41"/>
    <mergeCell ref="I39:I41"/>
    <mergeCell ref="J39:J41"/>
    <mergeCell ref="K39:K41"/>
    <mergeCell ref="N33:N35"/>
    <mergeCell ref="B36:B38"/>
    <mergeCell ref="D36:D38"/>
    <mergeCell ref="E36:E38"/>
    <mergeCell ref="F36:F38"/>
    <mergeCell ref="G36:G38"/>
    <mergeCell ref="H36:H38"/>
  </mergeCells>
  <conditionalFormatting sqref="G12:N41">
    <cfRule type="containsText" dxfId="6" priority="1" operator="containsText" text="No">
      <formula>NOT(ISERROR(SEARCH("No",G12)))</formula>
    </cfRule>
  </conditionalFormatting>
  <pageMargins left="0.7" right="0.7" top="0.75" bottom="0.75" header="0.3" footer="0.3"/>
  <pageSetup paperSize="14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'Opciones Tratamiento'!$D$20:$D$22</xm:f>
          </x14:formula1>
          <xm:sqref>F12:F41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91"/>
  <sheetViews>
    <sheetView zoomScale="40" zoomScaleNormal="40" workbookViewId="0">
      <selection sqref="A1:E1048576"/>
    </sheetView>
  </sheetViews>
  <sheetFormatPr baseColWidth="10" defaultRowHeight="16.5" x14ac:dyDescent="0.3"/>
  <cols>
    <col min="1" max="1" width="40.7109375" style="1" customWidth="1"/>
    <col min="2" max="2" width="19.42578125" style="1" customWidth="1"/>
    <col min="3" max="6" width="48.7109375" style="1" customWidth="1"/>
    <col min="7" max="7" width="83.42578125" style="1" customWidth="1"/>
    <col min="8" max="9" width="45.140625" style="1" customWidth="1"/>
    <col min="10" max="13" width="62.28515625" style="1" customWidth="1"/>
    <col min="14" max="14" width="72.7109375" style="1" customWidth="1"/>
    <col min="15" max="15" width="3.28515625" style="1" customWidth="1"/>
    <col min="16" max="16" width="35.85546875" style="1" customWidth="1"/>
    <col min="17" max="16384" width="11.42578125" style="1"/>
  </cols>
  <sheetData>
    <row r="1" spans="1:71" s="174" customFormat="1" ht="24" thickBot="1" x14ac:dyDescent="0.4">
      <c r="A1" s="173"/>
      <c r="B1" s="173"/>
      <c r="C1" s="173"/>
      <c r="D1" s="173"/>
      <c r="E1" s="173"/>
      <c r="F1" s="173"/>
      <c r="G1" s="173"/>
      <c r="H1" s="173"/>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c r="AL1" s="173"/>
      <c r="AM1" s="173"/>
      <c r="AN1" s="173"/>
      <c r="AO1" s="173"/>
      <c r="AP1" s="173"/>
      <c r="AQ1" s="173"/>
      <c r="AR1" s="173"/>
      <c r="AS1" s="173"/>
      <c r="AT1" s="173"/>
      <c r="AU1" s="173"/>
      <c r="AV1" s="173"/>
      <c r="AW1" s="173"/>
      <c r="AX1" s="173"/>
      <c r="AY1" s="173"/>
      <c r="AZ1" s="173"/>
      <c r="BA1" s="173"/>
      <c r="BB1" s="173"/>
      <c r="BC1" s="173"/>
      <c r="BD1" s="173"/>
      <c r="BE1" s="173"/>
      <c r="BF1" s="173"/>
      <c r="BG1" s="173"/>
      <c r="BH1" s="173"/>
      <c r="BI1" s="173"/>
      <c r="BJ1" s="173"/>
      <c r="BK1" s="173"/>
      <c r="BL1" s="173"/>
      <c r="BM1" s="173"/>
      <c r="BN1" s="173"/>
      <c r="BO1" s="173"/>
      <c r="BP1" s="173"/>
      <c r="BQ1" s="173"/>
      <c r="BR1" s="173"/>
      <c r="BS1" s="173"/>
    </row>
    <row r="2" spans="1:71" s="174" customFormat="1" ht="36.75" customHeight="1" x14ac:dyDescent="0.35">
      <c r="A2" s="381" t="s">
        <v>405</v>
      </c>
      <c r="B2" s="382"/>
      <c r="C2" s="382"/>
      <c r="D2" s="382"/>
      <c r="E2" s="382"/>
      <c r="F2" s="319" t="s">
        <v>406</v>
      </c>
      <c r="G2" s="319"/>
      <c r="H2" s="319"/>
      <c r="I2" s="319"/>
      <c r="J2" s="319"/>
      <c r="K2" s="319"/>
      <c r="L2" s="319"/>
      <c r="M2" s="319"/>
      <c r="N2" s="383" t="s">
        <v>428</v>
      </c>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173"/>
      <c r="BK2" s="173"/>
      <c r="BL2" s="173"/>
      <c r="BM2" s="173"/>
      <c r="BN2" s="173"/>
      <c r="BO2" s="173"/>
      <c r="BP2" s="173"/>
      <c r="BQ2" s="173"/>
      <c r="BR2" s="173"/>
      <c r="BS2" s="173"/>
    </row>
    <row r="3" spans="1:71" s="174" customFormat="1" ht="27" customHeight="1" x14ac:dyDescent="0.35">
      <c r="A3" s="385"/>
      <c r="B3" s="386"/>
      <c r="C3" s="386"/>
      <c r="D3" s="386"/>
      <c r="E3" s="386"/>
      <c r="F3" s="387" t="s">
        <v>404</v>
      </c>
      <c r="G3" s="387"/>
      <c r="H3" s="387"/>
      <c r="I3" s="387"/>
      <c r="J3" s="387"/>
      <c r="K3" s="387"/>
      <c r="L3" s="387"/>
      <c r="M3" s="387"/>
      <c r="N3" s="384"/>
      <c r="O3" s="175"/>
      <c r="P3" s="175"/>
      <c r="Q3" s="175"/>
      <c r="R3" s="175"/>
      <c r="S3" s="175"/>
      <c r="T3" s="175"/>
      <c r="U3" s="175"/>
      <c r="V3" s="176"/>
      <c r="W3" s="176"/>
      <c r="X3" s="176"/>
      <c r="Y3" s="173"/>
      <c r="Z3" s="173"/>
      <c r="AA3" s="173"/>
      <c r="AB3" s="173"/>
      <c r="AC3" s="173"/>
      <c r="AD3" s="173"/>
      <c r="AE3" s="173"/>
      <c r="AF3" s="173"/>
      <c r="AG3" s="173"/>
      <c r="AH3" s="173"/>
      <c r="AI3" s="173"/>
      <c r="AJ3" s="173"/>
      <c r="AK3" s="173"/>
      <c r="AL3" s="173"/>
      <c r="AM3" s="1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c r="BM3" s="173"/>
      <c r="BN3" s="173"/>
      <c r="BO3" s="173"/>
      <c r="BP3" s="173"/>
      <c r="BQ3" s="173"/>
      <c r="BR3" s="173"/>
      <c r="BS3" s="173"/>
    </row>
    <row r="4" spans="1:71" s="174" customFormat="1" ht="27.75" customHeight="1" x14ac:dyDescent="0.35">
      <c r="A4" s="385"/>
      <c r="B4" s="386"/>
      <c r="C4" s="386"/>
      <c r="D4" s="386"/>
      <c r="E4" s="386"/>
      <c r="F4" s="387"/>
      <c r="G4" s="387"/>
      <c r="H4" s="387"/>
      <c r="I4" s="387"/>
      <c r="J4" s="387"/>
      <c r="K4" s="387"/>
      <c r="L4" s="387"/>
      <c r="M4" s="387"/>
      <c r="N4" s="190" t="s">
        <v>429</v>
      </c>
      <c r="O4" s="177"/>
      <c r="P4" s="176"/>
      <c r="Q4" s="178"/>
      <c r="R4" s="178"/>
      <c r="S4" s="178"/>
      <c r="T4" s="178"/>
      <c r="U4" s="178"/>
      <c r="V4" s="178"/>
      <c r="W4" s="178"/>
      <c r="X4" s="178"/>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173"/>
      <c r="BP4" s="173"/>
      <c r="BQ4" s="173"/>
      <c r="BR4" s="173"/>
      <c r="BS4" s="173"/>
    </row>
    <row r="5" spans="1:71" s="174" customFormat="1" ht="24.75" customHeight="1" x14ac:dyDescent="0.35">
      <c r="A5" s="385"/>
      <c r="B5" s="386"/>
      <c r="C5" s="386"/>
      <c r="D5" s="386"/>
      <c r="E5" s="386"/>
      <c r="F5" s="387" t="s">
        <v>407</v>
      </c>
      <c r="G5" s="387"/>
      <c r="H5" s="387"/>
      <c r="I5" s="387"/>
      <c r="J5" s="387"/>
      <c r="K5" s="387"/>
      <c r="L5" s="387"/>
      <c r="M5" s="387"/>
      <c r="N5" s="190" t="s">
        <v>430</v>
      </c>
      <c r="O5" s="177"/>
      <c r="P5" s="176"/>
      <c r="Q5" s="178"/>
      <c r="R5" s="178"/>
      <c r="S5" s="178"/>
      <c r="T5" s="178"/>
      <c r="U5" s="178"/>
      <c r="V5" s="178"/>
      <c r="W5" s="178"/>
      <c r="X5" s="178"/>
      <c r="Y5" s="173"/>
      <c r="Z5" s="173"/>
      <c r="AA5" s="173"/>
      <c r="AB5" s="173"/>
      <c r="AC5" s="173"/>
      <c r="AD5" s="173"/>
      <c r="AE5" s="173"/>
      <c r="AF5" s="173"/>
      <c r="AG5" s="173"/>
      <c r="AH5" s="173"/>
      <c r="AI5" s="173"/>
      <c r="AJ5" s="173"/>
      <c r="AK5" s="173"/>
      <c r="AL5" s="173"/>
      <c r="AM5" s="173"/>
      <c r="AN5" s="173"/>
      <c r="AO5" s="173"/>
      <c r="AP5" s="173"/>
      <c r="AQ5" s="173"/>
      <c r="AR5" s="173"/>
      <c r="AS5" s="173"/>
      <c r="AT5" s="173"/>
      <c r="AU5" s="173"/>
      <c r="AV5" s="173"/>
      <c r="AW5" s="173"/>
      <c r="AX5" s="173"/>
      <c r="AY5" s="173"/>
      <c r="AZ5" s="173"/>
      <c r="BA5" s="173"/>
      <c r="BB5" s="173"/>
      <c r="BC5" s="173"/>
      <c r="BD5" s="173"/>
      <c r="BE5" s="173"/>
      <c r="BF5" s="173"/>
      <c r="BG5" s="173"/>
      <c r="BH5" s="173"/>
      <c r="BI5" s="173"/>
      <c r="BJ5" s="173"/>
      <c r="BK5" s="173"/>
      <c r="BL5" s="173"/>
      <c r="BM5" s="173"/>
      <c r="BN5" s="173"/>
      <c r="BO5" s="173"/>
      <c r="BP5" s="173"/>
      <c r="BQ5" s="173"/>
      <c r="BR5" s="173"/>
      <c r="BS5" s="173"/>
    </row>
    <row r="6" spans="1:71" s="174" customFormat="1" ht="33" customHeight="1" x14ac:dyDescent="0.35">
      <c r="A6" s="385"/>
      <c r="B6" s="386"/>
      <c r="C6" s="386"/>
      <c r="D6" s="386"/>
      <c r="E6" s="386"/>
      <c r="F6" s="386" t="s">
        <v>408</v>
      </c>
      <c r="G6" s="386"/>
      <c r="H6" s="386"/>
      <c r="I6" s="386"/>
      <c r="J6" s="386"/>
      <c r="K6" s="386"/>
      <c r="L6" s="386"/>
      <c r="M6" s="386"/>
      <c r="N6" s="190" t="s">
        <v>409</v>
      </c>
      <c r="O6" s="177"/>
      <c r="P6" s="176"/>
      <c r="Q6" s="179"/>
      <c r="R6" s="179"/>
      <c r="S6" s="179"/>
      <c r="T6" s="179"/>
      <c r="U6" s="179"/>
      <c r="V6" s="179"/>
      <c r="W6" s="179"/>
      <c r="X6" s="179"/>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c r="AW6" s="173"/>
      <c r="AX6" s="173"/>
      <c r="AY6" s="173"/>
      <c r="AZ6" s="173"/>
      <c r="BA6" s="173"/>
      <c r="BB6" s="173"/>
      <c r="BC6" s="173"/>
      <c r="BD6" s="173"/>
      <c r="BE6" s="173"/>
      <c r="BF6" s="173"/>
      <c r="BG6" s="173"/>
      <c r="BH6" s="173"/>
      <c r="BI6" s="173"/>
      <c r="BJ6" s="173"/>
      <c r="BK6" s="173"/>
      <c r="BL6" s="173"/>
      <c r="BM6" s="173"/>
      <c r="BN6" s="173"/>
      <c r="BO6" s="173"/>
      <c r="BP6" s="173"/>
      <c r="BQ6" s="173"/>
      <c r="BR6" s="173"/>
      <c r="BS6" s="173"/>
    </row>
    <row r="7" spans="1:71" s="174" customFormat="1" ht="33" customHeight="1" thickBot="1" x14ac:dyDescent="0.4">
      <c r="A7" s="388"/>
      <c r="B7" s="389"/>
      <c r="C7" s="389"/>
      <c r="D7" s="389"/>
      <c r="E7" s="389"/>
      <c r="F7" s="389"/>
      <c r="G7" s="389"/>
      <c r="H7" s="389"/>
      <c r="I7" s="389"/>
      <c r="J7" s="389"/>
      <c r="K7" s="389"/>
      <c r="L7" s="389"/>
      <c r="M7" s="389"/>
      <c r="N7" s="390"/>
      <c r="O7" s="177"/>
      <c r="P7" s="179"/>
      <c r="Q7" s="179"/>
      <c r="R7" s="179"/>
      <c r="S7" s="179"/>
      <c r="T7" s="179"/>
      <c r="U7" s="179"/>
      <c r="V7" s="179"/>
      <c r="W7" s="179"/>
      <c r="X7" s="179"/>
      <c r="Y7" s="173"/>
      <c r="Z7" s="173"/>
      <c r="AA7" s="173"/>
      <c r="AB7" s="173"/>
      <c r="AC7" s="173"/>
      <c r="AD7" s="173"/>
      <c r="AE7" s="173"/>
      <c r="AF7" s="173"/>
      <c r="AG7" s="173"/>
      <c r="AH7" s="173"/>
      <c r="AI7" s="173"/>
      <c r="AJ7" s="173"/>
      <c r="AK7" s="173"/>
      <c r="AL7" s="173"/>
      <c r="AM7" s="173"/>
      <c r="AN7" s="173"/>
      <c r="AO7" s="173"/>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row>
    <row r="8" spans="1:71" s="174" customFormat="1" ht="29.25" customHeight="1" thickBot="1" x14ac:dyDescent="0.4">
      <c r="A8" s="170"/>
      <c r="B8" s="171"/>
      <c r="C8" s="171"/>
      <c r="D8" s="171"/>
      <c r="E8" s="172"/>
      <c r="F8" s="172"/>
      <c r="G8" s="172"/>
      <c r="H8" s="172"/>
      <c r="I8" s="172"/>
      <c r="J8" s="172"/>
      <c r="K8" s="172"/>
      <c r="L8" s="172"/>
      <c r="M8" s="172"/>
      <c r="N8" s="172"/>
      <c r="O8" s="177"/>
      <c r="P8" s="177"/>
      <c r="Q8" s="177"/>
      <c r="R8" s="177"/>
      <c r="S8" s="177"/>
      <c r="T8" s="177"/>
      <c r="U8" s="177"/>
      <c r="V8" s="177"/>
      <c r="W8" s="177"/>
      <c r="X8" s="177"/>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c r="AW8" s="173"/>
      <c r="AX8" s="173"/>
      <c r="AY8" s="173"/>
      <c r="AZ8" s="173"/>
      <c r="BA8" s="173"/>
      <c r="BB8" s="173"/>
      <c r="BC8" s="173"/>
      <c r="BD8" s="173"/>
      <c r="BE8" s="173"/>
      <c r="BF8" s="173"/>
      <c r="BG8" s="173"/>
      <c r="BH8" s="173"/>
      <c r="BI8" s="173"/>
      <c r="BJ8" s="173"/>
      <c r="BK8" s="173"/>
      <c r="BL8" s="173"/>
      <c r="BM8" s="173"/>
      <c r="BN8" s="173"/>
      <c r="BO8" s="173"/>
      <c r="BP8" s="173"/>
      <c r="BQ8" s="173"/>
      <c r="BR8" s="173"/>
      <c r="BS8" s="173"/>
    </row>
    <row r="9" spans="1:71" s="174" customFormat="1" ht="33.75" customHeight="1" thickBot="1" x14ac:dyDescent="0.4">
      <c r="A9" s="415" t="s">
        <v>410</v>
      </c>
      <c r="B9" s="416"/>
      <c r="C9" s="416"/>
      <c r="D9" s="416"/>
      <c r="E9" s="416"/>
      <c r="F9" s="416"/>
      <c r="G9" s="416"/>
      <c r="H9" s="416"/>
      <c r="I9" s="416"/>
      <c r="J9" s="416"/>
      <c r="K9" s="416"/>
      <c r="L9" s="416"/>
      <c r="M9" s="416"/>
      <c r="N9" s="417"/>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173"/>
      <c r="AO9" s="173"/>
      <c r="AP9" s="173"/>
      <c r="AQ9" s="173"/>
      <c r="AR9" s="173"/>
      <c r="AS9" s="173"/>
      <c r="AT9" s="173"/>
      <c r="AU9" s="173"/>
      <c r="AV9" s="173"/>
      <c r="AW9" s="173"/>
      <c r="AX9" s="173"/>
      <c r="AY9" s="173"/>
      <c r="AZ9" s="173"/>
      <c r="BA9" s="173"/>
      <c r="BB9" s="173"/>
      <c r="BC9" s="173"/>
      <c r="BD9" s="173"/>
      <c r="BE9" s="173"/>
      <c r="BF9" s="173"/>
      <c r="BG9" s="173"/>
      <c r="BH9" s="173"/>
      <c r="BI9" s="173"/>
      <c r="BJ9" s="173"/>
      <c r="BK9" s="173"/>
      <c r="BL9" s="173"/>
      <c r="BM9" s="173"/>
      <c r="BN9" s="173"/>
      <c r="BO9" s="173"/>
      <c r="BP9" s="173"/>
      <c r="BQ9" s="173"/>
      <c r="BR9" s="173"/>
      <c r="BS9" s="173"/>
    </row>
    <row r="10" spans="1:71" s="174" customFormat="1" ht="63" customHeight="1" thickBot="1" x14ac:dyDescent="0.4">
      <c r="A10" s="418" t="s">
        <v>411</v>
      </c>
      <c r="B10" s="411" t="s">
        <v>412</v>
      </c>
      <c r="C10" s="412"/>
      <c r="D10" s="413"/>
      <c r="E10" s="414"/>
      <c r="F10" s="418" t="s">
        <v>413</v>
      </c>
      <c r="G10" s="411" t="s">
        <v>414</v>
      </c>
      <c r="H10" s="412"/>
      <c r="I10" s="412"/>
      <c r="J10" s="412"/>
      <c r="K10" s="412"/>
      <c r="L10" s="412"/>
      <c r="M10" s="412"/>
      <c r="N10" s="414"/>
      <c r="O10" s="173"/>
      <c r="P10" s="173"/>
      <c r="Q10" s="173"/>
      <c r="R10" s="173"/>
      <c r="S10" s="173"/>
      <c r="T10" s="173"/>
      <c r="U10" s="173"/>
      <c r="V10" s="173"/>
      <c r="W10" s="173"/>
      <c r="X10" s="173"/>
      <c r="Y10" s="173"/>
      <c r="Z10" s="173"/>
      <c r="AA10" s="173"/>
      <c r="AB10" s="173"/>
      <c r="AC10" s="173"/>
      <c r="AD10" s="173"/>
      <c r="AE10" s="173"/>
      <c r="AF10" s="173"/>
      <c r="AG10" s="173"/>
      <c r="AH10" s="173"/>
      <c r="AI10" s="173"/>
      <c r="AJ10" s="173"/>
      <c r="AK10" s="173"/>
      <c r="AL10" s="173"/>
      <c r="AM10" s="173"/>
      <c r="AN10" s="173"/>
      <c r="AO10" s="173"/>
      <c r="AP10" s="173"/>
      <c r="AQ10" s="173"/>
      <c r="AR10" s="173"/>
      <c r="AS10" s="173"/>
      <c r="AT10" s="173"/>
      <c r="AU10" s="173"/>
      <c r="AV10" s="173"/>
      <c r="AW10" s="173"/>
      <c r="AX10" s="173"/>
      <c r="AY10" s="173"/>
      <c r="AZ10" s="173"/>
      <c r="BA10" s="173"/>
      <c r="BB10" s="173"/>
      <c r="BC10" s="173"/>
      <c r="BD10" s="173"/>
      <c r="BE10" s="173"/>
      <c r="BF10" s="173"/>
      <c r="BG10" s="173"/>
      <c r="BH10" s="173"/>
      <c r="BI10" s="173"/>
      <c r="BJ10" s="173"/>
      <c r="BK10" s="173"/>
      <c r="BL10" s="173"/>
      <c r="BM10" s="173"/>
      <c r="BN10" s="173"/>
      <c r="BO10" s="173"/>
      <c r="BP10" s="173"/>
      <c r="BQ10" s="173"/>
      <c r="BR10" s="173"/>
      <c r="BS10" s="173"/>
    </row>
    <row r="11" spans="1:71" s="174" customFormat="1" ht="144" customHeight="1" thickBot="1" x14ac:dyDescent="0.4">
      <c r="A11" s="419"/>
      <c r="B11" s="182" t="s">
        <v>415</v>
      </c>
      <c r="C11" s="182" t="s">
        <v>3</v>
      </c>
      <c r="D11" s="182" t="s">
        <v>42</v>
      </c>
      <c r="E11" s="182" t="s">
        <v>1</v>
      </c>
      <c r="F11" s="419"/>
      <c r="G11" s="183" t="s">
        <v>416</v>
      </c>
      <c r="H11" s="183" t="s">
        <v>417</v>
      </c>
      <c r="I11" s="182" t="s">
        <v>418</v>
      </c>
      <c r="J11" s="182" t="s">
        <v>419</v>
      </c>
      <c r="K11" s="182" t="s">
        <v>420</v>
      </c>
      <c r="L11" s="182" t="s">
        <v>35</v>
      </c>
      <c r="M11" s="182" t="s">
        <v>421</v>
      </c>
      <c r="N11" s="182" t="s">
        <v>422</v>
      </c>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c r="AW11" s="173"/>
      <c r="AX11" s="173"/>
      <c r="AY11" s="173"/>
      <c r="AZ11" s="173"/>
      <c r="BA11" s="173"/>
      <c r="BB11" s="173"/>
      <c r="BC11" s="173"/>
      <c r="BD11" s="173"/>
      <c r="BE11" s="173"/>
      <c r="BF11" s="173"/>
      <c r="BG11" s="173"/>
      <c r="BH11" s="173"/>
      <c r="BI11" s="173"/>
      <c r="BJ11" s="173"/>
      <c r="BK11" s="173"/>
      <c r="BL11" s="173"/>
      <c r="BM11" s="173"/>
      <c r="BN11" s="173"/>
      <c r="BO11" s="173"/>
      <c r="BP11" s="173"/>
      <c r="BQ11" s="173"/>
      <c r="BR11" s="173"/>
      <c r="BS11" s="173"/>
    </row>
    <row r="12" spans="1:71" ht="45.75" customHeight="1" x14ac:dyDescent="0.3">
      <c r="A12" s="399" t="s">
        <v>427</v>
      </c>
      <c r="B12" s="373">
        <f>'Mapa final'!$A$13</f>
        <v>1</v>
      </c>
      <c r="C12" s="373" t="str">
        <f>'Mapa final'!E13</f>
        <v xml:space="preserve">Por pérdida de confianza y credibilidad por parte de la comunidad </v>
      </c>
      <c r="D12" s="376" t="str">
        <f>'Mapa final'!F13</f>
        <v>Incumplimiento de lineamientos de integridad, ética, bioética, humanización  y buen gobierno.</v>
      </c>
      <c r="E12" s="376" t="str">
        <f>'Mapa final'!G13</f>
        <v>Posibilidad de afectación reputacional por pérdida de confianza y credibilidad por parte de la comunidad, debido a Incumplimiento de lineamientos de integridad, ética, bioética, humanización  y buen gobierno.</v>
      </c>
      <c r="F12" s="378"/>
      <c r="G12" s="410" t="str">
        <f t="shared" ref="G12:N12" si="0">IFERROR(IF($F12="","No",IF($F12="No","No"," "))," ")</f>
        <v>No</v>
      </c>
      <c r="H12" s="410" t="str">
        <f t="shared" si="0"/>
        <v>No</v>
      </c>
      <c r="I12" s="410" t="str">
        <f t="shared" si="0"/>
        <v>No</v>
      </c>
      <c r="J12" s="410" t="str">
        <f t="shared" si="0"/>
        <v>No</v>
      </c>
      <c r="K12" s="410" t="str">
        <f t="shared" si="0"/>
        <v>No</v>
      </c>
      <c r="L12" s="410" t="str">
        <f t="shared" si="0"/>
        <v>No</v>
      </c>
      <c r="M12" s="410" t="str">
        <f t="shared" si="0"/>
        <v>No</v>
      </c>
      <c r="N12" s="420" t="str">
        <f t="shared" si="0"/>
        <v>No</v>
      </c>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row>
    <row r="13" spans="1:71" ht="45.75" customHeight="1" x14ac:dyDescent="0.3">
      <c r="A13" s="400"/>
      <c r="B13" s="405"/>
      <c r="C13" s="405"/>
      <c r="D13" s="377"/>
      <c r="E13" s="377"/>
      <c r="F13" s="379"/>
      <c r="G13" s="408"/>
      <c r="H13" s="408"/>
      <c r="I13" s="408"/>
      <c r="J13" s="408"/>
      <c r="K13" s="408"/>
      <c r="L13" s="408"/>
      <c r="M13" s="408"/>
      <c r="N13" s="403"/>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row>
    <row r="14" spans="1:71" ht="45.75" customHeight="1" x14ac:dyDescent="0.3">
      <c r="A14" s="400"/>
      <c r="B14" s="405"/>
      <c r="C14" s="405"/>
      <c r="D14" s="377"/>
      <c r="E14" s="377"/>
      <c r="F14" s="379"/>
      <c r="G14" s="408"/>
      <c r="H14" s="408"/>
      <c r="I14" s="408"/>
      <c r="J14" s="408"/>
      <c r="K14" s="408"/>
      <c r="L14" s="408"/>
      <c r="M14" s="408"/>
      <c r="N14" s="403"/>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row>
    <row r="15" spans="1:71" ht="45.75" customHeight="1" x14ac:dyDescent="0.3">
      <c r="A15" s="400"/>
      <c r="B15" s="405" t="e">
        <f>'Mapa final'!#REF!</f>
        <v>#REF!</v>
      </c>
      <c r="C15" s="405" t="e">
        <f>'Mapa final'!#REF!</f>
        <v>#REF!</v>
      </c>
      <c r="D15" s="377" t="e">
        <f>'Mapa final'!#REF!</f>
        <v>#REF!</v>
      </c>
      <c r="E15" s="377" t="e">
        <f>'Mapa final'!#REF!</f>
        <v>#REF!</v>
      </c>
      <c r="F15" s="378"/>
      <c r="G15" s="408" t="str">
        <f t="shared" ref="G15:N39" si="1">IFERROR(IF($F15="","No",IF($F15="No","No"," "))," ")</f>
        <v>No</v>
      </c>
      <c r="H15" s="408" t="str">
        <f t="shared" si="1"/>
        <v>No</v>
      </c>
      <c r="I15" s="408" t="str">
        <f t="shared" si="1"/>
        <v>No</v>
      </c>
      <c r="J15" s="408" t="str">
        <f t="shared" si="1"/>
        <v>No</v>
      </c>
      <c r="K15" s="408" t="str">
        <f t="shared" si="1"/>
        <v>No</v>
      </c>
      <c r="L15" s="408" t="str">
        <f t="shared" si="1"/>
        <v>No</v>
      </c>
      <c r="M15" s="408" t="str">
        <f t="shared" si="1"/>
        <v>No</v>
      </c>
      <c r="N15" s="403" t="str">
        <f t="shared" si="1"/>
        <v>No</v>
      </c>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row>
    <row r="16" spans="1:71" ht="45.75" customHeight="1" x14ac:dyDescent="0.3">
      <c r="A16" s="400"/>
      <c r="B16" s="405"/>
      <c r="C16" s="405"/>
      <c r="D16" s="377"/>
      <c r="E16" s="377"/>
      <c r="F16" s="379"/>
      <c r="G16" s="408"/>
      <c r="H16" s="408"/>
      <c r="I16" s="408"/>
      <c r="J16" s="408"/>
      <c r="K16" s="408"/>
      <c r="L16" s="408"/>
      <c r="M16" s="408"/>
      <c r="N16" s="403"/>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row>
    <row r="17" spans="1:71" ht="45.75" customHeight="1" x14ac:dyDescent="0.3">
      <c r="A17" s="400"/>
      <c r="B17" s="405"/>
      <c r="C17" s="405"/>
      <c r="D17" s="377"/>
      <c r="E17" s="377"/>
      <c r="F17" s="379"/>
      <c r="G17" s="408"/>
      <c r="H17" s="408"/>
      <c r="I17" s="408"/>
      <c r="J17" s="408"/>
      <c r="K17" s="408"/>
      <c r="L17" s="408"/>
      <c r="M17" s="408"/>
      <c r="N17" s="403"/>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row>
    <row r="18" spans="1:71" ht="45.75" customHeight="1" x14ac:dyDescent="0.3">
      <c r="A18" s="400"/>
      <c r="B18" s="405" t="e">
        <f>'Mapa final'!#REF!</f>
        <v>#REF!</v>
      </c>
      <c r="C18" s="405" t="e">
        <f>'Mapa final'!#REF!</f>
        <v>#REF!</v>
      </c>
      <c r="D18" s="377" t="e">
        <f>'Mapa final'!#REF!</f>
        <v>#REF!</v>
      </c>
      <c r="E18" s="377" t="e">
        <f>'Mapa final'!#REF!</f>
        <v>#REF!</v>
      </c>
      <c r="F18" s="378"/>
      <c r="G18" s="408" t="str">
        <f t="shared" ref="G18" si="2">IFERROR(IF($F18="","No",IF($F18="No","No"," "))," ")</f>
        <v>No</v>
      </c>
      <c r="H18" s="408" t="str">
        <f t="shared" si="1"/>
        <v>No</v>
      </c>
      <c r="I18" s="408" t="str">
        <f t="shared" si="1"/>
        <v>No</v>
      </c>
      <c r="J18" s="408" t="str">
        <f t="shared" si="1"/>
        <v>No</v>
      </c>
      <c r="K18" s="408" t="str">
        <f t="shared" si="1"/>
        <v>No</v>
      </c>
      <c r="L18" s="408" t="str">
        <f t="shared" si="1"/>
        <v>No</v>
      </c>
      <c r="M18" s="408" t="str">
        <f t="shared" si="1"/>
        <v>No</v>
      </c>
      <c r="N18" s="403" t="str">
        <f t="shared" si="1"/>
        <v>No</v>
      </c>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row>
    <row r="19" spans="1:71" ht="45.75" customHeight="1" x14ac:dyDescent="0.3">
      <c r="A19" s="400"/>
      <c r="B19" s="405"/>
      <c r="C19" s="405"/>
      <c r="D19" s="377"/>
      <c r="E19" s="377"/>
      <c r="F19" s="379"/>
      <c r="G19" s="408"/>
      <c r="H19" s="408"/>
      <c r="I19" s="408"/>
      <c r="J19" s="408"/>
      <c r="K19" s="408"/>
      <c r="L19" s="408"/>
      <c r="M19" s="408"/>
      <c r="N19" s="403"/>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row>
    <row r="20" spans="1:71" ht="45.75" customHeight="1" x14ac:dyDescent="0.3">
      <c r="A20" s="400"/>
      <c r="B20" s="405"/>
      <c r="C20" s="405"/>
      <c r="D20" s="377"/>
      <c r="E20" s="377"/>
      <c r="F20" s="379"/>
      <c r="G20" s="408"/>
      <c r="H20" s="408"/>
      <c r="I20" s="408"/>
      <c r="J20" s="408"/>
      <c r="K20" s="408"/>
      <c r="L20" s="408"/>
      <c r="M20" s="408"/>
      <c r="N20" s="403"/>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row>
    <row r="21" spans="1:71" ht="45.75" customHeight="1" x14ac:dyDescent="0.3">
      <c r="A21" s="400"/>
      <c r="B21" s="405" t="e">
        <f>'Mapa final'!#REF!</f>
        <v>#REF!</v>
      </c>
      <c r="C21" s="405" t="e">
        <f>'Mapa final'!#REF!</f>
        <v>#REF!</v>
      </c>
      <c r="D21" s="377" t="e">
        <f>'Mapa final'!#REF!</f>
        <v>#REF!</v>
      </c>
      <c r="E21" s="377" t="e">
        <f>'Mapa final'!#REF!</f>
        <v>#REF!</v>
      </c>
      <c r="F21" s="378"/>
      <c r="G21" s="408" t="str">
        <f t="shared" ref="G21" si="3">IFERROR(IF($F21="","No",IF($F21="No","No"," "))," ")</f>
        <v>No</v>
      </c>
      <c r="H21" s="408" t="str">
        <f t="shared" si="1"/>
        <v>No</v>
      </c>
      <c r="I21" s="408" t="str">
        <f t="shared" si="1"/>
        <v>No</v>
      </c>
      <c r="J21" s="408" t="str">
        <f t="shared" si="1"/>
        <v>No</v>
      </c>
      <c r="K21" s="408" t="str">
        <f t="shared" si="1"/>
        <v>No</v>
      </c>
      <c r="L21" s="408" t="str">
        <f t="shared" si="1"/>
        <v>No</v>
      </c>
      <c r="M21" s="408" t="str">
        <f t="shared" si="1"/>
        <v>No</v>
      </c>
      <c r="N21" s="403" t="str">
        <f t="shared" si="1"/>
        <v>No</v>
      </c>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row>
    <row r="22" spans="1:71" ht="45.75" customHeight="1" x14ac:dyDescent="0.3">
      <c r="A22" s="400"/>
      <c r="B22" s="405"/>
      <c r="C22" s="405"/>
      <c r="D22" s="377"/>
      <c r="E22" s="377"/>
      <c r="F22" s="379"/>
      <c r="G22" s="408"/>
      <c r="H22" s="408"/>
      <c r="I22" s="408"/>
      <c r="J22" s="408"/>
      <c r="K22" s="408"/>
      <c r="L22" s="408"/>
      <c r="M22" s="408"/>
      <c r="N22" s="403"/>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row>
    <row r="23" spans="1:71" ht="45.75" customHeight="1" x14ac:dyDescent="0.3">
      <c r="A23" s="400"/>
      <c r="B23" s="405"/>
      <c r="C23" s="405"/>
      <c r="D23" s="377"/>
      <c r="E23" s="377"/>
      <c r="F23" s="379"/>
      <c r="G23" s="408"/>
      <c r="H23" s="408"/>
      <c r="I23" s="408"/>
      <c r="J23" s="408"/>
      <c r="K23" s="408"/>
      <c r="L23" s="408"/>
      <c r="M23" s="408"/>
      <c r="N23" s="403"/>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row>
    <row r="24" spans="1:71" ht="45.75" customHeight="1" x14ac:dyDescent="0.3">
      <c r="A24" s="400"/>
      <c r="B24" s="405" t="e">
        <f>'Mapa final'!#REF!</f>
        <v>#REF!</v>
      </c>
      <c r="C24" s="405" t="e">
        <f>'Mapa final'!#REF!</f>
        <v>#REF!</v>
      </c>
      <c r="D24" s="377" t="e">
        <f>'Mapa final'!#REF!</f>
        <v>#REF!</v>
      </c>
      <c r="E24" s="377" t="e">
        <f>'Mapa final'!#REF!</f>
        <v>#REF!</v>
      </c>
      <c r="F24" s="378"/>
      <c r="G24" s="408" t="str">
        <f t="shared" ref="G24" si="4">IFERROR(IF($F24="","No",IF($F24="No","No"," "))," ")</f>
        <v>No</v>
      </c>
      <c r="H24" s="408" t="str">
        <f t="shared" si="1"/>
        <v>No</v>
      </c>
      <c r="I24" s="408" t="str">
        <f t="shared" si="1"/>
        <v>No</v>
      </c>
      <c r="J24" s="408" t="str">
        <f t="shared" si="1"/>
        <v>No</v>
      </c>
      <c r="K24" s="408" t="str">
        <f t="shared" si="1"/>
        <v>No</v>
      </c>
      <c r="L24" s="408" t="str">
        <f t="shared" si="1"/>
        <v>No</v>
      </c>
      <c r="M24" s="408" t="str">
        <f t="shared" si="1"/>
        <v>No</v>
      </c>
      <c r="N24" s="403" t="str">
        <f t="shared" si="1"/>
        <v>No</v>
      </c>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row>
    <row r="25" spans="1:71" ht="45.75" customHeight="1" x14ac:dyDescent="0.3">
      <c r="A25" s="400"/>
      <c r="B25" s="405"/>
      <c r="C25" s="405"/>
      <c r="D25" s="377"/>
      <c r="E25" s="377"/>
      <c r="F25" s="379"/>
      <c r="G25" s="408"/>
      <c r="H25" s="408"/>
      <c r="I25" s="408"/>
      <c r="J25" s="408"/>
      <c r="K25" s="408"/>
      <c r="L25" s="408"/>
      <c r="M25" s="408"/>
      <c r="N25" s="403"/>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row>
    <row r="26" spans="1:71" ht="45.75" customHeight="1" x14ac:dyDescent="0.3">
      <c r="A26" s="400"/>
      <c r="B26" s="405"/>
      <c r="C26" s="405"/>
      <c r="D26" s="377"/>
      <c r="E26" s="377"/>
      <c r="F26" s="379"/>
      <c r="G26" s="408"/>
      <c r="H26" s="408"/>
      <c r="I26" s="408"/>
      <c r="J26" s="408"/>
      <c r="K26" s="408"/>
      <c r="L26" s="408"/>
      <c r="M26" s="408"/>
      <c r="N26" s="403"/>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row>
    <row r="27" spans="1:71" ht="45.75" customHeight="1" x14ac:dyDescent="0.3">
      <c r="A27" s="400"/>
      <c r="B27" s="405" t="e">
        <f>'Mapa final'!#REF!</f>
        <v>#REF!</v>
      </c>
      <c r="C27" s="405" t="e">
        <f>'Mapa final'!#REF!</f>
        <v>#REF!</v>
      </c>
      <c r="D27" s="377" t="e">
        <f>'Mapa final'!#REF!</f>
        <v>#REF!</v>
      </c>
      <c r="E27" s="377" t="e">
        <f>'Mapa final'!#REF!</f>
        <v>#REF!</v>
      </c>
      <c r="F27" s="378"/>
      <c r="G27" s="408" t="str">
        <f t="shared" ref="G27" si="5">IFERROR(IF($F27="","No",IF($F27="No","No"," "))," ")</f>
        <v>No</v>
      </c>
      <c r="H27" s="408" t="str">
        <f t="shared" si="1"/>
        <v>No</v>
      </c>
      <c r="I27" s="408" t="str">
        <f t="shared" si="1"/>
        <v>No</v>
      </c>
      <c r="J27" s="408" t="str">
        <f t="shared" si="1"/>
        <v>No</v>
      </c>
      <c r="K27" s="408" t="str">
        <f t="shared" si="1"/>
        <v>No</v>
      </c>
      <c r="L27" s="408" t="str">
        <f t="shared" si="1"/>
        <v>No</v>
      </c>
      <c r="M27" s="408" t="str">
        <f t="shared" si="1"/>
        <v>No</v>
      </c>
      <c r="N27" s="403" t="str">
        <f t="shared" si="1"/>
        <v>No</v>
      </c>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row>
    <row r="28" spans="1:71" ht="45.75" customHeight="1" x14ac:dyDescent="0.3">
      <c r="A28" s="400"/>
      <c r="B28" s="405"/>
      <c r="C28" s="405"/>
      <c r="D28" s="377"/>
      <c r="E28" s="377"/>
      <c r="F28" s="379"/>
      <c r="G28" s="408"/>
      <c r="H28" s="408"/>
      <c r="I28" s="408"/>
      <c r="J28" s="408"/>
      <c r="K28" s="408"/>
      <c r="L28" s="408"/>
      <c r="M28" s="408"/>
      <c r="N28" s="403"/>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row>
    <row r="29" spans="1:71" ht="45.75" customHeight="1" x14ac:dyDescent="0.3">
      <c r="A29" s="400"/>
      <c r="B29" s="405"/>
      <c r="C29" s="405"/>
      <c r="D29" s="377"/>
      <c r="E29" s="377"/>
      <c r="F29" s="379"/>
      <c r="G29" s="408"/>
      <c r="H29" s="408"/>
      <c r="I29" s="408"/>
      <c r="J29" s="408"/>
      <c r="K29" s="408"/>
      <c r="L29" s="408"/>
      <c r="M29" s="408"/>
      <c r="N29" s="403"/>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row>
    <row r="30" spans="1:71" ht="45.75" customHeight="1" x14ac:dyDescent="0.3">
      <c r="A30" s="400"/>
      <c r="B30" s="405" t="e">
        <f>'Mapa final'!#REF!</f>
        <v>#REF!</v>
      </c>
      <c r="C30" s="405" t="e">
        <f>'Mapa final'!#REF!</f>
        <v>#REF!</v>
      </c>
      <c r="D30" s="377" t="e">
        <f>'Mapa final'!#REF!</f>
        <v>#REF!</v>
      </c>
      <c r="E30" s="377" t="e">
        <f>'Mapa final'!#REF!</f>
        <v>#REF!</v>
      </c>
      <c r="F30" s="378"/>
      <c r="G30" s="408" t="str">
        <f t="shared" ref="G30" si="6">IFERROR(IF($F30="","No",IF($F30="No","No"," "))," ")</f>
        <v>No</v>
      </c>
      <c r="H30" s="408" t="str">
        <f t="shared" si="1"/>
        <v>No</v>
      </c>
      <c r="I30" s="408" t="str">
        <f t="shared" si="1"/>
        <v>No</v>
      </c>
      <c r="J30" s="408" t="str">
        <f t="shared" si="1"/>
        <v>No</v>
      </c>
      <c r="K30" s="408" t="str">
        <f t="shared" si="1"/>
        <v>No</v>
      </c>
      <c r="L30" s="408" t="str">
        <f t="shared" si="1"/>
        <v>No</v>
      </c>
      <c r="M30" s="408" t="str">
        <f t="shared" si="1"/>
        <v>No</v>
      </c>
      <c r="N30" s="403" t="str">
        <f t="shared" si="1"/>
        <v>No</v>
      </c>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row>
    <row r="31" spans="1:71" ht="45.75" customHeight="1" x14ac:dyDescent="0.3">
      <c r="A31" s="400"/>
      <c r="B31" s="405"/>
      <c r="C31" s="405"/>
      <c r="D31" s="377"/>
      <c r="E31" s="377"/>
      <c r="F31" s="379"/>
      <c r="G31" s="408"/>
      <c r="H31" s="408"/>
      <c r="I31" s="408"/>
      <c r="J31" s="408"/>
      <c r="K31" s="408"/>
      <c r="L31" s="408"/>
      <c r="M31" s="408"/>
      <c r="N31" s="403"/>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row>
    <row r="32" spans="1:71" ht="45.75" customHeight="1" x14ac:dyDescent="0.3">
      <c r="A32" s="400"/>
      <c r="B32" s="405"/>
      <c r="C32" s="405"/>
      <c r="D32" s="377"/>
      <c r="E32" s="377"/>
      <c r="F32" s="379"/>
      <c r="G32" s="408"/>
      <c r="H32" s="408"/>
      <c r="I32" s="408"/>
      <c r="J32" s="408"/>
      <c r="K32" s="408"/>
      <c r="L32" s="408"/>
      <c r="M32" s="408"/>
      <c r="N32" s="403"/>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row>
    <row r="33" spans="1:71" ht="45.75" customHeight="1" x14ac:dyDescent="0.3">
      <c r="A33" s="400"/>
      <c r="B33" s="405" t="e">
        <f>'Mapa final'!#REF!</f>
        <v>#REF!</v>
      </c>
      <c r="C33" s="405" t="e">
        <f>'Mapa final'!#REF!</f>
        <v>#REF!</v>
      </c>
      <c r="D33" s="377" t="e">
        <f>'Mapa final'!#REF!</f>
        <v>#REF!</v>
      </c>
      <c r="E33" s="377" t="e">
        <f>'Mapa final'!#REF!</f>
        <v>#REF!</v>
      </c>
      <c r="F33" s="378"/>
      <c r="G33" s="408" t="str">
        <f t="shared" ref="G33" si="7">IFERROR(IF($F33="","No",IF($F33="No","No"," "))," ")</f>
        <v>No</v>
      </c>
      <c r="H33" s="408" t="str">
        <f t="shared" si="1"/>
        <v>No</v>
      </c>
      <c r="I33" s="408" t="str">
        <f t="shared" si="1"/>
        <v>No</v>
      </c>
      <c r="J33" s="408" t="str">
        <f t="shared" si="1"/>
        <v>No</v>
      </c>
      <c r="K33" s="408" t="str">
        <f t="shared" si="1"/>
        <v>No</v>
      </c>
      <c r="L33" s="408" t="str">
        <f t="shared" si="1"/>
        <v>No</v>
      </c>
      <c r="M33" s="408" t="str">
        <f t="shared" si="1"/>
        <v>No</v>
      </c>
      <c r="N33" s="403" t="str">
        <f t="shared" si="1"/>
        <v>No</v>
      </c>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row>
    <row r="34" spans="1:71" ht="45.75" customHeight="1" x14ac:dyDescent="0.3">
      <c r="A34" s="400"/>
      <c r="B34" s="405"/>
      <c r="C34" s="405"/>
      <c r="D34" s="377"/>
      <c r="E34" s="377"/>
      <c r="F34" s="379"/>
      <c r="G34" s="408"/>
      <c r="H34" s="408"/>
      <c r="I34" s="408"/>
      <c r="J34" s="408"/>
      <c r="K34" s="408"/>
      <c r="L34" s="408"/>
      <c r="M34" s="408"/>
      <c r="N34" s="403"/>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row>
    <row r="35" spans="1:71" ht="45.75" customHeight="1" x14ac:dyDescent="0.3">
      <c r="A35" s="400"/>
      <c r="B35" s="405"/>
      <c r="C35" s="405"/>
      <c r="D35" s="377"/>
      <c r="E35" s="377"/>
      <c r="F35" s="379"/>
      <c r="G35" s="408"/>
      <c r="H35" s="408"/>
      <c r="I35" s="408"/>
      <c r="J35" s="408"/>
      <c r="K35" s="408"/>
      <c r="L35" s="408"/>
      <c r="M35" s="408"/>
      <c r="N35" s="403"/>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row>
    <row r="36" spans="1:71" ht="45.75" customHeight="1" x14ac:dyDescent="0.3">
      <c r="A36" s="400"/>
      <c r="B36" s="405" t="e">
        <f>'Mapa final'!#REF!</f>
        <v>#REF!</v>
      </c>
      <c r="C36" s="405" t="e">
        <f>'Mapa final'!#REF!</f>
        <v>#REF!</v>
      </c>
      <c r="D36" s="377" t="e">
        <f>'Mapa final'!#REF!</f>
        <v>#REF!</v>
      </c>
      <c r="E36" s="377" t="e">
        <f>'Mapa final'!#REF!</f>
        <v>#REF!</v>
      </c>
      <c r="F36" s="378"/>
      <c r="G36" s="408" t="str">
        <f t="shared" ref="G36" si="8">IFERROR(IF($F36="","No",IF($F36="No","No"," "))," ")</f>
        <v>No</v>
      </c>
      <c r="H36" s="408" t="str">
        <f t="shared" si="1"/>
        <v>No</v>
      </c>
      <c r="I36" s="408" t="str">
        <f t="shared" si="1"/>
        <v>No</v>
      </c>
      <c r="J36" s="408" t="str">
        <f t="shared" si="1"/>
        <v>No</v>
      </c>
      <c r="K36" s="408" t="str">
        <f t="shared" si="1"/>
        <v>No</v>
      </c>
      <c r="L36" s="408" t="str">
        <f t="shared" si="1"/>
        <v>No</v>
      </c>
      <c r="M36" s="408" t="str">
        <f t="shared" si="1"/>
        <v>No</v>
      </c>
      <c r="N36" s="403" t="str">
        <f t="shared" si="1"/>
        <v>No</v>
      </c>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row>
    <row r="37" spans="1:71" ht="45.75" customHeight="1" x14ac:dyDescent="0.3">
      <c r="A37" s="400"/>
      <c r="B37" s="405"/>
      <c r="C37" s="405"/>
      <c r="D37" s="377"/>
      <c r="E37" s="377"/>
      <c r="F37" s="379"/>
      <c r="G37" s="408"/>
      <c r="H37" s="408"/>
      <c r="I37" s="408"/>
      <c r="J37" s="408"/>
      <c r="K37" s="408"/>
      <c r="L37" s="408"/>
      <c r="M37" s="408"/>
      <c r="N37" s="403"/>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row>
    <row r="38" spans="1:71" ht="45.75" customHeight="1" x14ac:dyDescent="0.3">
      <c r="A38" s="400"/>
      <c r="B38" s="405"/>
      <c r="C38" s="405"/>
      <c r="D38" s="377"/>
      <c r="E38" s="377"/>
      <c r="F38" s="379"/>
      <c r="G38" s="408"/>
      <c r="H38" s="408"/>
      <c r="I38" s="408"/>
      <c r="J38" s="408"/>
      <c r="K38" s="408"/>
      <c r="L38" s="408"/>
      <c r="M38" s="408"/>
      <c r="N38" s="403"/>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row>
    <row r="39" spans="1:71" ht="45.75" customHeight="1" x14ac:dyDescent="0.3">
      <c r="A39" s="400"/>
      <c r="B39" s="405" t="e">
        <f>'Mapa final'!#REF!</f>
        <v>#REF!</v>
      </c>
      <c r="C39" s="405" t="e">
        <f>'Mapa final'!#REF!</f>
        <v>#REF!</v>
      </c>
      <c r="D39" s="377" t="e">
        <f>'Mapa final'!#REF!</f>
        <v>#REF!</v>
      </c>
      <c r="E39" s="377" t="e">
        <f>'Mapa final'!#REF!</f>
        <v>#REF!</v>
      </c>
      <c r="F39" s="378"/>
      <c r="G39" s="408" t="str">
        <f t="shared" ref="G39" si="9">IFERROR(IF($F39="","No",IF($F39="No","No"," "))," ")</f>
        <v>No</v>
      </c>
      <c r="H39" s="408" t="str">
        <f t="shared" si="1"/>
        <v>No</v>
      </c>
      <c r="I39" s="408" t="str">
        <f t="shared" si="1"/>
        <v>No</v>
      </c>
      <c r="J39" s="408" t="str">
        <f t="shared" si="1"/>
        <v>No</v>
      </c>
      <c r="K39" s="408" t="str">
        <f t="shared" si="1"/>
        <v>No</v>
      </c>
      <c r="L39" s="408" t="str">
        <f t="shared" si="1"/>
        <v>No</v>
      </c>
      <c r="M39" s="408" t="str">
        <f t="shared" si="1"/>
        <v>No</v>
      </c>
      <c r="N39" s="403" t="str">
        <f t="shared" si="1"/>
        <v>No</v>
      </c>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row>
    <row r="40" spans="1:71" ht="45.75" customHeight="1" x14ac:dyDescent="0.3">
      <c r="A40" s="400"/>
      <c r="B40" s="405"/>
      <c r="C40" s="405"/>
      <c r="D40" s="377"/>
      <c r="E40" s="377"/>
      <c r="F40" s="379"/>
      <c r="G40" s="408"/>
      <c r="H40" s="408"/>
      <c r="I40" s="408"/>
      <c r="J40" s="408"/>
      <c r="K40" s="408"/>
      <c r="L40" s="408"/>
      <c r="M40" s="408"/>
      <c r="N40" s="403"/>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row>
    <row r="41" spans="1:71" ht="45.75" customHeight="1" thickBot="1" x14ac:dyDescent="0.35">
      <c r="A41" s="401"/>
      <c r="B41" s="406"/>
      <c r="C41" s="406"/>
      <c r="D41" s="407"/>
      <c r="E41" s="407"/>
      <c r="F41" s="379"/>
      <c r="G41" s="409"/>
      <c r="H41" s="409"/>
      <c r="I41" s="409"/>
      <c r="J41" s="409"/>
      <c r="K41" s="409"/>
      <c r="L41" s="409"/>
      <c r="M41" s="409"/>
      <c r="N41" s="404"/>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1" x14ac:dyDescent="0.3">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row>
    <row r="43" spans="1:71" x14ac:dyDescent="0.3">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row>
    <row r="44" spans="1:71" x14ac:dyDescent="0.3">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row>
    <row r="45" spans="1:71" x14ac:dyDescent="0.3">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row>
    <row r="46" spans="1:71" x14ac:dyDescent="0.3">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row>
    <row r="47" spans="1:71" x14ac:dyDescent="0.3">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row>
    <row r="48" spans="1:71" x14ac:dyDescent="0.3">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row>
    <row r="49" spans="1:71" x14ac:dyDescent="0.3">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row>
    <row r="50" spans="1:71" x14ac:dyDescent="0.3">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row>
    <row r="51" spans="1:71" x14ac:dyDescent="0.3">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row>
    <row r="52" spans="1:71" x14ac:dyDescent="0.3">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row>
    <row r="53" spans="1:71" x14ac:dyDescent="0.3">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row>
    <row r="54" spans="1:71" x14ac:dyDescent="0.3">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row>
    <row r="55" spans="1:71" x14ac:dyDescent="0.3">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row>
    <row r="56" spans="1:71" x14ac:dyDescent="0.3">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row>
    <row r="57" spans="1:71" x14ac:dyDescent="0.3">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row>
    <row r="58" spans="1:71" x14ac:dyDescent="0.3">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row>
    <row r="59" spans="1:71" x14ac:dyDescent="0.3">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row>
    <row r="60" spans="1:71" x14ac:dyDescent="0.3">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row>
    <row r="61" spans="1:71" x14ac:dyDescent="0.3">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row>
    <row r="62" spans="1:71" x14ac:dyDescent="0.3">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row>
    <row r="63" spans="1:71" x14ac:dyDescent="0.3">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row>
    <row r="64" spans="1:71" x14ac:dyDescent="0.3">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row>
    <row r="65" spans="1:71" x14ac:dyDescent="0.3">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row>
    <row r="66" spans="1:71" x14ac:dyDescent="0.3">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row>
    <row r="67" spans="1:71" x14ac:dyDescent="0.3">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row>
    <row r="68" spans="1:71" x14ac:dyDescent="0.3">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row>
    <row r="69" spans="1:71" x14ac:dyDescent="0.3">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row>
    <row r="70" spans="1:71" x14ac:dyDescent="0.3">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row>
    <row r="71" spans="1:71" x14ac:dyDescent="0.3">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row>
    <row r="72" spans="1:71" x14ac:dyDescent="0.3">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row>
    <row r="73" spans="1:71" x14ac:dyDescent="0.3">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row>
    <row r="74" spans="1:71" x14ac:dyDescent="0.3">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row>
    <row r="75" spans="1:71" x14ac:dyDescent="0.3">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row>
    <row r="76" spans="1:71" x14ac:dyDescent="0.3">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row>
    <row r="77" spans="1:71" x14ac:dyDescent="0.3">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row>
    <row r="78" spans="1:71" x14ac:dyDescent="0.3">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row>
    <row r="79" spans="1:71" x14ac:dyDescent="0.3">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row>
    <row r="80" spans="1:71" x14ac:dyDescent="0.3">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row>
    <row r="81" spans="1:30" x14ac:dyDescent="0.3">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row>
    <row r="82" spans="1:30" x14ac:dyDescent="0.3">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row>
    <row r="83" spans="1:30" x14ac:dyDescent="0.3">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row>
    <row r="84" spans="1:30" x14ac:dyDescent="0.3">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row>
    <row r="85" spans="1:30" x14ac:dyDescent="0.3">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row>
    <row r="86" spans="1:30" x14ac:dyDescent="0.3">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row>
    <row r="87" spans="1:30" x14ac:dyDescent="0.3">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row>
    <row r="88" spans="1:30" x14ac:dyDescent="0.3">
      <c r="A88" s="127"/>
      <c r="B88" s="127"/>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row>
    <row r="89" spans="1:30" x14ac:dyDescent="0.3">
      <c r="A89" s="127"/>
      <c r="B89" s="127"/>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row>
    <row r="90" spans="1:30" x14ac:dyDescent="0.3">
      <c r="A90" s="127"/>
      <c r="B90" s="127"/>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row>
    <row r="91" spans="1:30" x14ac:dyDescent="0.3">
      <c r="A91" s="2"/>
      <c r="B91" s="2"/>
      <c r="C91" s="2"/>
      <c r="D91" s="2"/>
      <c r="E91" s="2"/>
      <c r="F91" s="2"/>
      <c r="G91" s="2"/>
      <c r="H91" s="2"/>
      <c r="I91" s="2"/>
      <c r="J91" s="2"/>
      <c r="K91" s="2"/>
      <c r="L91" s="2"/>
      <c r="M91" s="2"/>
      <c r="N91" s="2"/>
    </row>
  </sheetData>
  <sheetProtection algorithmName="SHA-512" hashValue="mYYaUvF/auCxx1LnueoPHo6G6FMtJyuqEIIpfGg4y5PLkiCAzsLLJ4XXqtSBGHpG1MlbGvoDcMxLfow1VhNe1g==" saltValue="lkCFrNp2Kenjw4cDa89UDw==" spinCount="100000" sheet="1" objects="1" scenarios="1"/>
  <mergeCells count="144">
    <mergeCell ref="A12:A41"/>
    <mergeCell ref="B12:B14"/>
    <mergeCell ref="B10:E10"/>
    <mergeCell ref="F5:M5"/>
    <mergeCell ref="A2:E2"/>
    <mergeCell ref="F2:M2"/>
    <mergeCell ref="N2:N3"/>
    <mergeCell ref="A3:E6"/>
    <mergeCell ref="F3:M4"/>
    <mergeCell ref="F6:M6"/>
    <mergeCell ref="A7:N7"/>
    <mergeCell ref="A9:N9"/>
    <mergeCell ref="A10:A11"/>
    <mergeCell ref="F10:F11"/>
    <mergeCell ref="G10:N10"/>
    <mergeCell ref="N12:N14"/>
    <mergeCell ref="B15:B17"/>
    <mergeCell ref="C15:C17"/>
    <mergeCell ref="E15:E17"/>
    <mergeCell ref="F15:F17"/>
    <mergeCell ref="G15:G17"/>
    <mergeCell ref="H15:H17"/>
    <mergeCell ref="I15:I17"/>
    <mergeCell ref="J15:J17"/>
    <mergeCell ref="D12:D14"/>
    <mergeCell ref="D15:D17"/>
    <mergeCell ref="D18:D20"/>
    <mergeCell ref="K15:K17"/>
    <mergeCell ref="C12:C14"/>
    <mergeCell ref="E12:E14"/>
    <mergeCell ref="F12:F14"/>
    <mergeCell ref="G12:G14"/>
    <mergeCell ref="H12:H14"/>
    <mergeCell ref="I12:I14"/>
    <mergeCell ref="J12:J14"/>
    <mergeCell ref="K12:K14"/>
    <mergeCell ref="B18:B20"/>
    <mergeCell ref="C18:C20"/>
    <mergeCell ref="E18:E20"/>
    <mergeCell ref="F18:F20"/>
    <mergeCell ref="G18:G20"/>
    <mergeCell ref="H18:H20"/>
    <mergeCell ref="I18:I20"/>
    <mergeCell ref="J18:J20"/>
    <mergeCell ref="K18:K20"/>
    <mergeCell ref="H21:H23"/>
    <mergeCell ref="I21:I23"/>
    <mergeCell ref="J21:J23"/>
    <mergeCell ref="K21:K23"/>
    <mergeCell ref="L12:L14"/>
    <mergeCell ref="M12:M14"/>
    <mergeCell ref="L15:L17"/>
    <mergeCell ref="M15:M17"/>
    <mergeCell ref="N15:N17"/>
    <mergeCell ref="L18:L20"/>
    <mergeCell ref="M18:M20"/>
    <mergeCell ref="N18:N20"/>
    <mergeCell ref="J27:J29"/>
    <mergeCell ref="K27:K29"/>
    <mergeCell ref="L21:L23"/>
    <mergeCell ref="M21:M23"/>
    <mergeCell ref="N21:N23"/>
    <mergeCell ref="B24:B26"/>
    <mergeCell ref="C24:C26"/>
    <mergeCell ref="E24:E26"/>
    <mergeCell ref="F24:F26"/>
    <mergeCell ref="G24:G26"/>
    <mergeCell ref="H24:H26"/>
    <mergeCell ref="I24:I26"/>
    <mergeCell ref="J24:J26"/>
    <mergeCell ref="K24:K26"/>
    <mergeCell ref="L24:L26"/>
    <mergeCell ref="M24:M26"/>
    <mergeCell ref="N24:N26"/>
    <mergeCell ref="D21:D23"/>
    <mergeCell ref="D24:D26"/>
    <mergeCell ref="B21:B23"/>
    <mergeCell ref="C21:C23"/>
    <mergeCell ref="E21:E23"/>
    <mergeCell ref="F21:F23"/>
    <mergeCell ref="G21:G23"/>
    <mergeCell ref="L27:L29"/>
    <mergeCell ref="M27:M29"/>
    <mergeCell ref="N27:N29"/>
    <mergeCell ref="B30:B32"/>
    <mergeCell ref="C30:C32"/>
    <mergeCell ref="E30:E32"/>
    <mergeCell ref="F30:F32"/>
    <mergeCell ref="G30:G32"/>
    <mergeCell ref="H30:H32"/>
    <mergeCell ref="I30:I32"/>
    <mergeCell ref="J30:J32"/>
    <mergeCell ref="K30:K32"/>
    <mergeCell ref="L30:L32"/>
    <mergeCell ref="M30:M32"/>
    <mergeCell ref="N30:N32"/>
    <mergeCell ref="D27:D29"/>
    <mergeCell ref="D30:D32"/>
    <mergeCell ref="B27:B29"/>
    <mergeCell ref="C27:C29"/>
    <mergeCell ref="E27:E29"/>
    <mergeCell ref="F27:F29"/>
    <mergeCell ref="G27:G29"/>
    <mergeCell ref="H27:H29"/>
    <mergeCell ref="I27:I29"/>
    <mergeCell ref="B33:B35"/>
    <mergeCell ref="C33:C35"/>
    <mergeCell ref="E33:E35"/>
    <mergeCell ref="F33:F35"/>
    <mergeCell ref="G33:G35"/>
    <mergeCell ref="N33:N35"/>
    <mergeCell ref="B36:B38"/>
    <mergeCell ref="C36:C38"/>
    <mergeCell ref="E36:E38"/>
    <mergeCell ref="F36:F38"/>
    <mergeCell ref="G36:G38"/>
    <mergeCell ref="H36:H38"/>
    <mergeCell ref="I36:I38"/>
    <mergeCell ref="J36:J38"/>
    <mergeCell ref="K36:K38"/>
    <mergeCell ref="H33:H35"/>
    <mergeCell ref="I33:I35"/>
    <mergeCell ref="J33:J35"/>
    <mergeCell ref="K33:K35"/>
    <mergeCell ref="L33:L35"/>
    <mergeCell ref="M33:M35"/>
    <mergeCell ref="L36:L38"/>
    <mergeCell ref="M36:M38"/>
    <mergeCell ref="D33:D35"/>
    <mergeCell ref="N39:N41"/>
    <mergeCell ref="N36:N38"/>
    <mergeCell ref="B39:B41"/>
    <mergeCell ref="C39:C41"/>
    <mergeCell ref="E39:E41"/>
    <mergeCell ref="F39:F41"/>
    <mergeCell ref="G39:G41"/>
    <mergeCell ref="H39:H41"/>
    <mergeCell ref="I39:I41"/>
    <mergeCell ref="J39:J41"/>
    <mergeCell ref="K39:K41"/>
    <mergeCell ref="L39:L41"/>
    <mergeCell ref="M39:M41"/>
    <mergeCell ref="D36:D38"/>
    <mergeCell ref="D39:D41"/>
  </mergeCells>
  <conditionalFormatting sqref="G12:N41">
    <cfRule type="containsText" dxfId="5" priority="1" operator="containsText" text="No">
      <formula>NOT(ISERROR(SEARCH("No",G12)))</formula>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'Opciones Tratamiento'!$D$20:$D$22</xm:f>
          </x14:formula1>
          <xm:sqref>F12:F41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91"/>
  <sheetViews>
    <sheetView zoomScale="25" zoomScaleNormal="25" workbookViewId="0">
      <selection sqref="A1:E1048576"/>
    </sheetView>
  </sheetViews>
  <sheetFormatPr baseColWidth="10" defaultRowHeight="16.5" x14ac:dyDescent="0.3"/>
  <cols>
    <col min="1" max="1" width="40.7109375" style="1" customWidth="1"/>
    <col min="2" max="2" width="19.42578125" style="1" customWidth="1"/>
    <col min="3" max="6" width="48.7109375" style="1" customWidth="1"/>
    <col min="7" max="7" width="83.42578125" style="1" customWidth="1"/>
    <col min="8" max="9" width="45.140625" style="1" customWidth="1"/>
    <col min="10" max="13" width="62.28515625" style="1" customWidth="1"/>
    <col min="14" max="14" width="72.7109375" style="1" customWidth="1"/>
    <col min="15" max="15" width="3.28515625" style="1" customWidth="1"/>
    <col min="16" max="16" width="35.85546875" style="1" customWidth="1"/>
    <col min="17" max="16384" width="11.42578125" style="1"/>
  </cols>
  <sheetData>
    <row r="1" spans="1:71" s="174" customFormat="1" ht="24" thickBot="1" x14ac:dyDescent="0.4">
      <c r="A1" s="173"/>
      <c r="B1" s="173"/>
      <c r="C1" s="173"/>
      <c r="D1" s="173"/>
      <c r="E1" s="173"/>
      <c r="F1" s="173"/>
      <c r="G1" s="173"/>
      <c r="H1" s="173"/>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c r="AL1" s="173"/>
      <c r="AM1" s="173"/>
      <c r="AN1" s="173"/>
      <c r="AO1" s="173"/>
      <c r="AP1" s="173"/>
      <c r="AQ1" s="173"/>
      <c r="AR1" s="173"/>
      <c r="AS1" s="173"/>
      <c r="AT1" s="173"/>
      <c r="AU1" s="173"/>
      <c r="AV1" s="173"/>
      <c r="AW1" s="173"/>
      <c r="AX1" s="173"/>
      <c r="AY1" s="173"/>
      <c r="AZ1" s="173"/>
      <c r="BA1" s="173"/>
      <c r="BB1" s="173"/>
      <c r="BC1" s="173"/>
      <c r="BD1" s="173"/>
      <c r="BE1" s="173"/>
      <c r="BF1" s="173"/>
      <c r="BG1" s="173"/>
      <c r="BH1" s="173"/>
      <c r="BI1" s="173"/>
      <c r="BJ1" s="173"/>
      <c r="BK1" s="173"/>
      <c r="BL1" s="173"/>
      <c r="BM1" s="173"/>
      <c r="BN1" s="173"/>
      <c r="BO1" s="173"/>
      <c r="BP1" s="173"/>
      <c r="BQ1" s="173"/>
      <c r="BR1" s="173"/>
      <c r="BS1" s="173"/>
    </row>
    <row r="2" spans="1:71" s="174" customFormat="1" ht="36.75" customHeight="1" x14ac:dyDescent="0.35">
      <c r="A2" s="381" t="s">
        <v>405</v>
      </c>
      <c r="B2" s="382"/>
      <c r="C2" s="382"/>
      <c r="D2" s="382"/>
      <c r="E2" s="382"/>
      <c r="F2" s="319" t="s">
        <v>406</v>
      </c>
      <c r="G2" s="319"/>
      <c r="H2" s="319"/>
      <c r="I2" s="319"/>
      <c r="J2" s="319"/>
      <c r="K2" s="319"/>
      <c r="L2" s="319"/>
      <c r="M2" s="319"/>
      <c r="N2" s="383" t="s">
        <v>428</v>
      </c>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173"/>
      <c r="BK2" s="173"/>
      <c r="BL2" s="173"/>
      <c r="BM2" s="173"/>
      <c r="BN2" s="173"/>
      <c r="BO2" s="173"/>
      <c r="BP2" s="173"/>
      <c r="BQ2" s="173"/>
      <c r="BR2" s="173"/>
      <c r="BS2" s="173"/>
    </row>
    <row r="3" spans="1:71" s="174" customFormat="1" ht="27" customHeight="1" x14ac:dyDescent="0.35">
      <c r="A3" s="385"/>
      <c r="B3" s="386"/>
      <c r="C3" s="386"/>
      <c r="D3" s="386"/>
      <c r="E3" s="386"/>
      <c r="F3" s="387" t="s">
        <v>404</v>
      </c>
      <c r="G3" s="387"/>
      <c r="H3" s="387"/>
      <c r="I3" s="387"/>
      <c r="J3" s="387"/>
      <c r="K3" s="387"/>
      <c r="L3" s="387"/>
      <c r="M3" s="387"/>
      <c r="N3" s="384"/>
      <c r="O3" s="175"/>
      <c r="P3" s="175"/>
      <c r="Q3" s="175"/>
      <c r="R3" s="175"/>
      <c r="S3" s="175"/>
      <c r="T3" s="175"/>
      <c r="U3" s="175"/>
      <c r="V3" s="176"/>
      <c r="W3" s="176"/>
      <c r="X3" s="176"/>
      <c r="Y3" s="173"/>
      <c r="Z3" s="173"/>
      <c r="AA3" s="173"/>
      <c r="AB3" s="173"/>
      <c r="AC3" s="173"/>
      <c r="AD3" s="173"/>
      <c r="AE3" s="173"/>
      <c r="AF3" s="173"/>
      <c r="AG3" s="173"/>
      <c r="AH3" s="173"/>
      <c r="AI3" s="173"/>
      <c r="AJ3" s="173"/>
      <c r="AK3" s="173"/>
      <c r="AL3" s="173"/>
      <c r="AM3" s="1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c r="BM3" s="173"/>
      <c r="BN3" s="173"/>
      <c r="BO3" s="173"/>
      <c r="BP3" s="173"/>
      <c r="BQ3" s="173"/>
      <c r="BR3" s="173"/>
      <c r="BS3" s="173"/>
    </row>
    <row r="4" spans="1:71" s="174" customFormat="1" ht="27.75" customHeight="1" x14ac:dyDescent="0.35">
      <c r="A4" s="385"/>
      <c r="B4" s="386"/>
      <c r="C4" s="386"/>
      <c r="D4" s="386"/>
      <c r="E4" s="386"/>
      <c r="F4" s="387"/>
      <c r="G4" s="387"/>
      <c r="H4" s="387"/>
      <c r="I4" s="387"/>
      <c r="J4" s="387"/>
      <c r="K4" s="387"/>
      <c r="L4" s="387"/>
      <c r="M4" s="387"/>
      <c r="N4" s="190" t="s">
        <v>429</v>
      </c>
      <c r="O4" s="177"/>
      <c r="P4" s="176"/>
      <c r="Q4" s="178"/>
      <c r="R4" s="178"/>
      <c r="S4" s="178"/>
      <c r="T4" s="178"/>
      <c r="U4" s="178"/>
      <c r="V4" s="178"/>
      <c r="W4" s="178"/>
      <c r="X4" s="178"/>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173"/>
      <c r="BP4" s="173"/>
      <c r="BQ4" s="173"/>
      <c r="BR4" s="173"/>
      <c r="BS4" s="173"/>
    </row>
    <row r="5" spans="1:71" s="174" customFormat="1" ht="24.75" customHeight="1" x14ac:dyDescent="0.35">
      <c r="A5" s="385"/>
      <c r="B5" s="386"/>
      <c r="C5" s="386"/>
      <c r="D5" s="386"/>
      <c r="E5" s="386"/>
      <c r="F5" s="387" t="s">
        <v>407</v>
      </c>
      <c r="G5" s="387"/>
      <c r="H5" s="387"/>
      <c r="I5" s="387"/>
      <c r="J5" s="387"/>
      <c r="K5" s="387"/>
      <c r="L5" s="387"/>
      <c r="M5" s="387"/>
      <c r="N5" s="190" t="s">
        <v>430</v>
      </c>
      <c r="O5" s="177"/>
      <c r="P5" s="176"/>
      <c r="Q5" s="178"/>
      <c r="R5" s="178"/>
      <c r="S5" s="178"/>
      <c r="T5" s="178"/>
      <c r="U5" s="178"/>
      <c r="V5" s="178"/>
      <c r="W5" s="178"/>
      <c r="X5" s="178"/>
      <c r="Y5" s="173"/>
      <c r="Z5" s="173"/>
      <c r="AA5" s="173"/>
      <c r="AB5" s="173"/>
      <c r="AC5" s="173"/>
      <c r="AD5" s="173"/>
      <c r="AE5" s="173"/>
      <c r="AF5" s="173"/>
      <c r="AG5" s="173"/>
      <c r="AH5" s="173"/>
      <c r="AI5" s="173"/>
      <c r="AJ5" s="173"/>
      <c r="AK5" s="173"/>
      <c r="AL5" s="173"/>
      <c r="AM5" s="173"/>
      <c r="AN5" s="173"/>
      <c r="AO5" s="173"/>
      <c r="AP5" s="173"/>
      <c r="AQ5" s="173"/>
      <c r="AR5" s="173"/>
      <c r="AS5" s="173"/>
      <c r="AT5" s="173"/>
      <c r="AU5" s="173"/>
      <c r="AV5" s="173"/>
      <c r="AW5" s="173"/>
      <c r="AX5" s="173"/>
      <c r="AY5" s="173"/>
      <c r="AZ5" s="173"/>
      <c r="BA5" s="173"/>
      <c r="BB5" s="173"/>
      <c r="BC5" s="173"/>
      <c r="BD5" s="173"/>
      <c r="BE5" s="173"/>
      <c r="BF5" s="173"/>
      <c r="BG5" s="173"/>
      <c r="BH5" s="173"/>
      <c r="BI5" s="173"/>
      <c r="BJ5" s="173"/>
      <c r="BK5" s="173"/>
      <c r="BL5" s="173"/>
      <c r="BM5" s="173"/>
      <c r="BN5" s="173"/>
      <c r="BO5" s="173"/>
      <c r="BP5" s="173"/>
      <c r="BQ5" s="173"/>
      <c r="BR5" s="173"/>
      <c r="BS5" s="173"/>
    </row>
    <row r="6" spans="1:71" s="174" customFormat="1" ht="33" customHeight="1" x14ac:dyDescent="0.35">
      <c r="A6" s="385"/>
      <c r="B6" s="386"/>
      <c r="C6" s="386"/>
      <c r="D6" s="386"/>
      <c r="E6" s="386"/>
      <c r="F6" s="386" t="s">
        <v>408</v>
      </c>
      <c r="G6" s="386"/>
      <c r="H6" s="386"/>
      <c r="I6" s="386"/>
      <c r="J6" s="386"/>
      <c r="K6" s="386"/>
      <c r="L6" s="386"/>
      <c r="M6" s="386"/>
      <c r="N6" s="190" t="s">
        <v>409</v>
      </c>
      <c r="O6" s="177"/>
      <c r="P6" s="176"/>
      <c r="Q6" s="179"/>
      <c r="R6" s="179"/>
      <c r="S6" s="179"/>
      <c r="T6" s="179"/>
      <c r="U6" s="179"/>
      <c r="V6" s="179"/>
      <c r="W6" s="179"/>
      <c r="X6" s="179"/>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c r="AW6" s="173"/>
      <c r="AX6" s="173"/>
      <c r="AY6" s="173"/>
      <c r="AZ6" s="173"/>
      <c r="BA6" s="173"/>
      <c r="BB6" s="173"/>
      <c r="BC6" s="173"/>
      <c r="BD6" s="173"/>
      <c r="BE6" s="173"/>
      <c r="BF6" s="173"/>
      <c r="BG6" s="173"/>
      <c r="BH6" s="173"/>
      <c r="BI6" s="173"/>
      <c r="BJ6" s="173"/>
      <c r="BK6" s="173"/>
      <c r="BL6" s="173"/>
      <c r="BM6" s="173"/>
      <c r="BN6" s="173"/>
      <c r="BO6" s="173"/>
      <c r="BP6" s="173"/>
      <c r="BQ6" s="173"/>
      <c r="BR6" s="173"/>
      <c r="BS6" s="173"/>
    </row>
    <row r="7" spans="1:71" s="174" customFormat="1" ht="33" customHeight="1" thickBot="1" x14ac:dyDescent="0.4">
      <c r="A7" s="388"/>
      <c r="B7" s="389"/>
      <c r="C7" s="389"/>
      <c r="D7" s="389"/>
      <c r="E7" s="389"/>
      <c r="F7" s="389"/>
      <c r="G7" s="389"/>
      <c r="H7" s="389"/>
      <c r="I7" s="389"/>
      <c r="J7" s="389"/>
      <c r="K7" s="389"/>
      <c r="L7" s="389"/>
      <c r="M7" s="389"/>
      <c r="N7" s="390"/>
      <c r="O7" s="177"/>
      <c r="P7" s="179"/>
      <c r="Q7" s="179"/>
      <c r="R7" s="179"/>
      <c r="S7" s="179"/>
      <c r="T7" s="179"/>
      <c r="U7" s="179"/>
      <c r="V7" s="179"/>
      <c r="W7" s="179"/>
      <c r="X7" s="179"/>
      <c r="Y7" s="173"/>
      <c r="Z7" s="173"/>
      <c r="AA7" s="173"/>
      <c r="AB7" s="173"/>
      <c r="AC7" s="173"/>
      <c r="AD7" s="173"/>
      <c r="AE7" s="173"/>
      <c r="AF7" s="173"/>
      <c r="AG7" s="173"/>
      <c r="AH7" s="173"/>
      <c r="AI7" s="173"/>
      <c r="AJ7" s="173"/>
      <c r="AK7" s="173"/>
      <c r="AL7" s="173"/>
      <c r="AM7" s="173"/>
      <c r="AN7" s="173"/>
      <c r="AO7" s="173"/>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row>
    <row r="8" spans="1:71" s="174" customFormat="1" ht="29.25" customHeight="1" thickBot="1" x14ac:dyDescent="0.4">
      <c r="A8" s="170"/>
      <c r="B8" s="171"/>
      <c r="C8" s="171"/>
      <c r="D8" s="171"/>
      <c r="E8" s="172"/>
      <c r="F8" s="172"/>
      <c r="G8" s="172"/>
      <c r="H8" s="172"/>
      <c r="I8" s="172"/>
      <c r="J8" s="172"/>
      <c r="K8" s="172"/>
      <c r="L8" s="172"/>
      <c r="M8" s="172"/>
      <c r="N8" s="172"/>
      <c r="O8" s="177"/>
      <c r="P8" s="177"/>
      <c r="Q8" s="177"/>
      <c r="R8" s="177"/>
      <c r="S8" s="177"/>
      <c r="T8" s="177"/>
      <c r="U8" s="177"/>
      <c r="V8" s="177"/>
      <c r="W8" s="177"/>
      <c r="X8" s="177"/>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c r="AW8" s="173"/>
      <c r="AX8" s="173"/>
      <c r="AY8" s="173"/>
      <c r="AZ8" s="173"/>
      <c r="BA8" s="173"/>
      <c r="BB8" s="173"/>
      <c r="BC8" s="173"/>
      <c r="BD8" s="173"/>
      <c r="BE8" s="173"/>
      <c r="BF8" s="173"/>
      <c r="BG8" s="173"/>
      <c r="BH8" s="173"/>
      <c r="BI8" s="173"/>
      <c r="BJ8" s="173"/>
      <c r="BK8" s="173"/>
      <c r="BL8" s="173"/>
      <c r="BM8" s="173"/>
      <c r="BN8" s="173"/>
      <c r="BO8" s="173"/>
      <c r="BP8" s="173"/>
      <c r="BQ8" s="173"/>
      <c r="BR8" s="173"/>
      <c r="BS8" s="173"/>
    </row>
    <row r="9" spans="1:71" s="174" customFormat="1" ht="33.75" customHeight="1" thickBot="1" x14ac:dyDescent="0.4">
      <c r="A9" s="424" t="s">
        <v>410</v>
      </c>
      <c r="B9" s="425"/>
      <c r="C9" s="425"/>
      <c r="D9" s="425"/>
      <c r="E9" s="425"/>
      <c r="F9" s="425"/>
      <c r="G9" s="425"/>
      <c r="H9" s="425"/>
      <c r="I9" s="425"/>
      <c r="J9" s="425"/>
      <c r="K9" s="425"/>
      <c r="L9" s="425"/>
      <c r="M9" s="425"/>
      <c r="N9" s="426"/>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173"/>
      <c r="AO9" s="173"/>
      <c r="AP9" s="173"/>
      <c r="AQ9" s="173"/>
      <c r="AR9" s="173"/>
      <c r="AS9" s="173"/>
      <c r="AT9" s="173"/>
      <c r="AU9" s="173"/>
      <c r="AV9" s="173"/>
      <c r="AW9" s="173"/>
      <c r="AX9" s="173"/>
      <c r="AY9" s="173"/>
      <c r="AZ9" s="173"/>
      <c r="BA9" s="173"/>
      <c r="BB9" s="173"/>
      <c r="BC9" s="173"/>
      <c r="BD9" s="173"/>
      <c r="BE9" s="173"/>
      <c r="BF9" s="173"/>
      <c r="BG9" s="173"/>
      <c r="BH9" s="173"/>
      <c r="BI9" s="173"/>
      <c r="BJ9" s="173"/>
      <c r="BK9" s="173"/>
      <c r="BL9" s="173"/>
      <c r="BM9" s="173"/>
      <c r="BN9" s="173"/>
      <c r="BO9" s="173"/>
      <c r="BP9" s="173"/>
      <c r="BQ9" s="173"/>
      <c r="BR9" s="173"/>
      <c r="BS9" s="173"/>
    </row>
    <row r="10" spans="1:71" s="174" customFormat="1" ht="63" customHeight="1" thickBot="1" x14ac:dyDescent="0.4">
      <c r="A10" s="427" t="s">
        <v>411</v>
      </c>
      <c r="B10" s="429" t="s">
        <v>412</v>
      </c>
      <c r="C10" s="430"/>
      <c r="D10" s="431"/>
      <c r="E10" s="432"/>
      <c r="F10" s="427" t="s">
        <v>413</v>
      </c>
      <c r="G10" s="429" t="s">
        <v>414</v>
      </c>
      <c r="H10" s="430"/>
      <c r="I10" s="430"/>
      <c r="J10" s="430"/>
      <c r="K10" s="430"/>
      <c r="L10" s="430"/>
      <c r="M10" s="430"/>
      <c r="N10" s="432"/>
      <c r="O10" s="173"/>
      <c r="P10" s="173"/>
      <c r="Q10" s="173"/>
      <c r="R10" s="173"/>
      <c r="S10" s="173"/>
      <c r="T10" s="173"/>
      <c r="U10" s="173"/>
      <c r="V10" s="173"/>
      <c r="W10" s="173"/>
      <c r="X10" s="173"/>
      <c r="Y10" s="173"/>
      <c r="Z10" s="173"/>
      <c r="AA10" s="173"/>
      <c r="AB10" s="173"/>
      <c r="AC10" s="173"/>
      <c r="AD10" s="173"/>
      <c r="AE10" s="173"/>
      <c r="AF10" s="173"/>
      <c r="AG10" s="173"/>
      <c r="AH10" s="173"/>
      <c r="AI10" s="173"/>
      <c r="AJ10" s="173"/>
      <c r="AK10" s="173"/>
      <c r="AL10" s="173"/>
      <c r="AM10" s="173"/>
      <c r="AN10" s="173"/>
      <c r="AO10" s="173"/>
      <c r="AP10" s="173"/>
      <c r="AQ10" s="173"/>
      <c r="AR10" s="173"/>
      <c r="AS10" s="173"/>
      <c r="AT10" s="173"/>
      <c r="AU10" s="173"/>
      <c r="AV10" s="173"/>
      <c r="AW10" s="173"/>
      <c r="AX10" s="173"/>
      <c r="AY10" s="173"/>
      <c r="AZ10" s="173"/>
      <c r="BA10" s="173"/>
      <c r="BB10" s="173"/>
      <c r="BC10" s="173"/>
      <c r="BD10" s="173"/>
      <c r="BE10" s="173"/>
      <c r="BF10" s="173"/>
      <c r="BG10" s="173"/>
      <c r="BH10" s="173"/>
      <c r="BI10" s="173"/>
      <c r="BJ10" s="173"/>
      <c r="BK10" s="173"/>
      <c r="BL10" s="173"/>
      <c r="BM10" s="173"/>
      <c r="BN10" s="173"/>
      <c r="BO10" s="173"/>
      <c r="BP10" s="173"/>
      <c r="BQ10" s="173"/>
      <c r="BR10" s="173"/>
      <c r="BS10" s="173"/>
    </row>
    <row r="11" spans="1:71" s="174" customFormat="1" ht="144" customHeight="1" thickBot="1" x14ac:dyDescent="0.4">
      <c r="A11" s="428"/>
      <c r="B11" s="184" t="s">
        <v>415</v>
      </c>
      <c r="C11" s="184" t="s">
        <v>3</v>
      </c>
      <c r="D11" s="184" t="s">
        <v>42</v>
      </c>
      <c r="E11" s="184" t="s">
        <v>1</v>
      </c>
      <c r="F11" s="433"/>
      <c r="G11" s="185" t="s">
        <v>416</v>
      </c>
      <c r="H11" s="185" t="s">
        <v>417</v>
      </c>
      <c r="I11" s="186" t="s">
        <v>418</v>
      </c>
      <c r="J11" s="186" t="s">
        <v>419</v>
      </c>
      <c r="K11" s="186" t="s">
        <v>420</v>
      </c>
      <c r="L11" s="186" t="s">
        <v>35</v>
      </c>
      <c r="M11" s="186" t="s">
        <v>421</v>
      </c>
      <c r="N11" s="186" t="s">
        <v>422</v>
      </c>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c r="AW11" s="173"/>
      <c r="AX11" s="173"/>
      <c r="AY11" s="173"/>
      <c r="AZ11" s="173"/>
      <c r="BA11" s="173"/>
      <c r="BB11" s="173"/>
      <c r="BC11" s="173"/>
      <c r="BD11" s="173"/>
      <c r="BE11" s="173"/>
      <c r="BF11" s="173"/>
      <c r="BG11" s="173"/>
      <c r="BH11" s="173"/>
      <c r="BI11" s="173"/>
      <c r="BJ11" s="173"/>
      <c r="BK11" s="173"/>
      <c r="BL11" s="173"/>
      <c r="BM11" s="173"/>
      <c r="BN11" s="173"/>
      <c r="BO11" s="173"/>
      <c r="BP11" s="173"/>
      <c r="BQ11" s="173"/>
      <c r="BR11" s="173"/>
      <c r="BS11" s="173"/>
    </row>
    <row r="12" spans="1:71" ht="45.75" customHeight="1" x14ac:dyDescent="0.3">
      <c r="A12" s="399" t="s">
        <v>410</v>
      </c>
      <c r="B12" s="405">
        <f>'Mapa final'!A13</f>
        <v>1</v>
      </c>
      <c r="C12" s="405" t="str">
        <f>'Mapa final'!E13</f>
        <v xml:space="preserve">Por pérdida de confianza y credibilidad por parte de la comunidad </v>
      </c>
      <c r="D12" s="377" t="str">
        <f>'Mapa final'!F13</f>
        <v>Incumplimiento de lineamientos de integridad, ética, bioética, humanización  y buen gobierno.</v>
      </c>
      <c r="E12" s="377" t="str">
        <f>'Mapa final'!G13</f>
        <v>Posibilidad de afectación reputacional por pérdida de confianza y credibilidad por parte de la comunidad, debido a Incumplimiento de lineamientos de integridad, ética, bioética, humanización  y buen gobierno.</v>
      </c>
      <c r="F12" s="379" t="s">
        <v>425</v>
      </c>
      <c r="G12" s="369" t="str">
        <f t="shared" ref="G12:N12" si="0">IFERROR(IF($F12="","No",IF($F12="No","No"," "))," ")</f>
        <v>No</v>
      </c>
      <c r="H12" s="369" t="str">
        <f t="shared" si="0"/>
        <v>No</v>
      </c>
      <c r="I12" s="369" t="str">
        <f t="shared" si="0"/>
        <v>No</v>
      </c>
      <c r="J12" s="369" t="str">
        <f t="shared" si="0"/>
        <v>No</v>
      </c>
      <c r="K12" s="369" t="str">
        <f t="shared" si="0"/>
        <v>No</v>
      </c>
      <c r="L12" s="369" t="str">
        <f t="shared" si="0"/>
        <v>No</v>
      </c>
      <c r="M12" s="369" t="str">
        <f t="shared" si="0"/>
        <v>No</v>
      </c>
      <c r="N12" s="434" t="str">
        <f t="shared" si="0"/>
        <v>No</v>
      </c>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row>
    <row r="13" spans="1:71" ht="45.75" customHeight="1" x14ac:dyDescent="0.3">
      <c r="A13" s="400"/>
      <c r="B13" s="405"/>
      <c r="C13" s="405"/>
      <c r="D13" s="377"/>
      <c r="E13" s="377"/>
      <c r="F13" s="379"/>
      <c r="G13" s="370"/>
      <c r="H13" s="370"/>
      <c r="I13" s="370"/>
      <c r="J13" s="370"/>
      <c r="K13" s="370"/>
      <c r="L13" s="370"/>
      <c r="M13" s="370"/>
      <c r="N13" s="421"/>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row>
    <row r="14" spans="1:71" ht="45.75" customHeight="1" x14ac:dyDescent="0.3">
      <c r="A14" s="400"/>
      <c r="B14" s="405"/>
      <c r="C14" s="405"/>
      <c r="D14" s="377"/>
      <c r="E14" s="377"/>
      <c r="F14" s="379"/>
      <c r="G14" s="370"/>
      <c r="H14" s="370"/>
      <c r="I14" s="370"/>
      <c r="J14" s="370"/>
      <c r="K14" s="370"/>
      <c r="L14" s="370"/>
      <c r="M14" s="370"/>
      <c r="N14" s="421"/>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row>
    <row r="15" spans="1:71" ht="45.75" customHeight="1" x14ac:dyDescent="0.3">
      <c r="A15" s="400"/>
      <c r="B15" s="405" t="e">
        <f>'Mapa final'!#REF!</f>
        <v>#REF!</v>
      </c>
      <c r="C15" s="405" t="e">
        <f>'Mapa final'!#REF!</f>
        <v>#REF!</v>
      </c>
      <c r="D15" s="377" t="e">
        <f>'Mapa final'!#REF!</f>
        <v>#REF!</v>
      </c>
      <c r="E15" s="377" t="e">
        <f>'Mapa final'!#REF!</f>
        <v>#REF!</v>
      </c>
      <c r="F15" s="379" t="s">
        <v>425</v>
      </c>
      <c r="G15" s="370" t="str">
        <f t="shared" ref="G15:N39" si="1">IFERROR(IF($F15="","No",IF($F15="No","No"," "))," ")</f>
        <v>No</v>
      </c>
      <c r="H15" s="370" t="str">
        <f t="shared" si="1"/>
        <v>No</v>
      </c>
      <c r="I15" s="370" t="str">
        <f t="shared" si="1"/>
        <v>No</v>
      </c>
      <c r="J15" s="370" t="str">
        <f t="shared" si="1"/>
        <v>No</v>
      </c>
      <c r="K15" s="370" t="str">
        <f t="shared" si="1"/>
        <v>No</v>
      </c>
      <c r="L15" s="370" t="str">
        <f t="shared" si="1"/>
        <v>No</v>
      </c>
      <c r="M15" s="370" t="str">
        <f t="shared" si="1"/>
        <v>No</v>
      </c>
      <c r="N15" s="421" t="str">
        <f t="shared" si="1"/>
        <v>No</v>
      </c>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row>
    <row r="16" spans="1:71" ht="45.75" customHeight="1" x14ac:dyDescent="0.3">
      <c r="A16" s="400"/>
      <c r="B16" s="405"/>
      <c r="C16" s="405"/>
      <c r="D16" s="377"/>
      <c r="E16" s="377"/>
      <c r="F16" s="379"/>
      <c r="G16" s="370"/>
      <c r="H16" s="370"/>
      <c r="I16" s="370"/>
      <c r="J16" s="370"/>
      <c r="K16" s="370"/>
      <c r="L16" s="370"/>
      <c r="M16" s="370"/>
      <c r="N16" s="421"/>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row>
    <row r="17" spans="1:71" ht="45.75" customHeight="1" x14ac:dyDescent="0.3">
      <c r="A17" s="400"/>
      <c r="B17" s="405"/>
      <c r="C17" s="405"/>
      <c r="D17" s="377"/>
      <c r="E17" s="377"/>
      <c r="F17" s="379"/>
      <c r="G17" s="370"/>
      <c r="H17" s="370"/>
      <c r="I17" s="370"/>
      <c r="J17" s="370"/>
      <c r="K17" s="370"/>
      <c r="L17" s="370"/>
      <c r="M17" s="370"/>
      <c r="N17" s="421"/>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row>
    <row r="18" spans="1:71" ht="45.75" customHeight="1" x14ac:dyDescent="0.3">
      <c r="A18" s="400"/>
      <c r="B18" s="405" t="e">
        <f>'Mapa final'!#REF!</f>
        <v>#REF!</v>
      </c>
      <c r="C18" s="405" t="e">
        <f>'Mapa final'!#REF!</f>
        <v>#REF!</v>
      </c>
      <c r="D18" s="377" t="e">
        <f>'Mapa final'!#REF!</f>
        <v>#REF!</v>
      </c>
      <c r="E18" s="377" t="e">
        <f>'Mapa final'!#REF!</f>
        <v>#REF!</v>
      </c>
      <c r="F18" s="379" t="s">
        <v>425</v>
      </c>
      <c r="G18" s="370" t="str">
        <f t="shared" ref="G18" si="2">IFERROR(IF($F18="","No",IF($F18="No","No"," "))," ")</f>
        <v>No</v>
      </c>
      <c r="H18" s="370" t="str">
        <f t="shared" si="1"/>
        <v>No</v>
      </c>
      <c r="I18" s="370" t="str">
        <f t="shared" si="1"/>
        <v>No</v>
      </c>
      <c r="J18" s="370" t="str">
        <f t="shared" si="1"/>
        <v>No</v>
      </c>
      <c r="K18" s="370" t="str">
        <f t="shared" si="1"/>
        <v>No</v>
      </c>
      <c r="L18" s="370" t="str">
        <f t="shared" si="1"/>
        <v>No</v>
      </c>
      <c r="M18" s="370" t="str">
        <f t="shared" si="1"/>
        <v>No</v>
      </c>
      <c r="N18" s="421" t="str">
        <f t="shared" si="1"/>
        <v>No</v>
      </c>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row>
    <row r="19" spans="1:71" ht="45.75" customHeight="1" x14ac:dyDescent="0.3">
      <c r="A19" s="400"/>
      <c r="B19" s="405"/>
      <c r="C19" s="405"/>
      <c r="D19" s="377"/>
      <c r="E19" s="377"/>
      <c r="F19" s="379"/>
      <c r="G19" s="370"/>
      <c r="H19" s="370"/>
      <c r="I19" s="370"/>
      <c r="J19" s="370"/>
      <c r="K19" s="370"/>
      <c r="L19" s="370"/>
      <c r="M19" s="370"/>
      <c r="N19" s="421"/>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row>
    <row r="20" spans="1:71" ht="45.75" customHeight="1" x14ac:dyDescent="0.3">
      <c r="A20" s="400"/>
      <c r="B20" s="405"/>
      <c r="C20" s="405"/>
      <c r="D20" s="377"/>
      <c r="E20" s="377"/>
      <c r="F20" s="379"/>
      <c r="G20" s="370"/>
      <c r="H20" s="370"/>
      <c r="I20" s="370"/>
      <c r="J20" s="370"/>
      <c r="K20" s="370"/>
      <c r="L20" s="370"/>
      <c r="M20" s="370"/>
      <c r="N20" s="421"/>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row>
    <row r="21" spans="1:71" ht="45.75" customHeight="1" x14ac:dyDescent="0.3">
      <c r="A21" s="400"/>
      <c r="B21" s="405" t="e">
        <f>'Mapa final'!#REF!</f>
        <v>#REF!</v>
      </c>
      <c r="C21" s="405" t="e">
        <f>'Mapa final'!#REF!</f>
        <v>#REF!</v>
      </c>
      <c r="D21" s="377" t="e">
        <f>'Mapa final'!#REF!</f>
        <v>#REF!</v>
      </c>
      <c r="E21" s="377" t="e">
        <f>'Mapa final'!#REF!</f>
        <v>#REF!</v>
      </c>
      <c r="F21" s="379" t="s">
        <v>425</v>
      </c>
      <c r="G21" s="370" t="str">
        <f t="shared" ref="G21" si="3">IFERROR(IF($F21="","No",IF($F21="No","No"," "))," ")</f>
        <v>No</v>
      </c>
      <c r="H21" s="370" t="str">
        <f t="shared" si="1"/>
        <v>No</v>
      </c>
      <c r="I21" s="370" t="str">
        <f t="shared" si="1"/>
        <v>No</v>
      </c>
      <c r="J21" s="370" t="str">
        <f t="shared" si="1"/>
        <v>No</v>
      </c>
      <c r="K21" s="370" t="str">
        <f t="shared" si="1"/>
        <v>No</v>
      </c>
      <c r="L21" s="370" t="str">
        <f t="shared" si="1"/>
        <v>No</v>
      </c>
      <c r="M21" s="370" t="str">
        <f t="shared" si="1"/>
        <v>No</v>
      </c>
      <c r="N21" s="421" t="str">
        <f t="shared" si="1"/>
        <v>No</v>
      </c>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row>
    <row r="22" spans="1:71" ht="45.75" customHeight="1" x14ac:dyDescent="0.3">
      <c r="A22" s="400"/>
      <c r="B22" s="405"/>
      <c r="C22" s="405"/>
      <c r="D22" s="377"/>
      <c r="E22" s="377"/>
      <c r="F22" s="379"/>
      <c r="G22" s="370"/>
      <c r="H22" s="370"/>
      <c r="I22" s="370"/>
      <c r="J22" s="370"/>
      <c r="K22" s="370"/>
      <c r="L22" s="370"/>
      <c r="M22" s="370"/>
      <c r="N22" s="421"/>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row>
    <row r="23" spans="1:71" ht="45.75" customHeight="1" x14ac:dyDescent="0.3">
      <c r="A23" s="400"/>
      <c r="B23" s="405"/>
      <c r="C23" s="405"/>
      <c r="D23" s="377"/>
      <c r="E23" s="377"/>
      <c r="F23" s="379"/>
      <c r="G23" s="370"/>
      <c r="H23" s="370"/>
      <c r="I23" s="370"/>
      <c r="J23" s="370"/>
      <c r="K23" s="370"/>
      <c r="L23" s="370"/>
      <c r="M23" s="370"/>
      <c r="N23" s="421"/>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row>
    <row r="24" spans="1:71" ht="45.75" customHeight="1" x14ac:dyDescent="0.3">
      <c r="A24" s="400"/>
      <c r="B24" s="405" t="e">
        <f>'Mapa final'!#REF!</f>
        <v>#REF!</v>
      </c>
      <c r="C24" s="405" t="e">
        <f>'Mapa final'!#REF!</f>
        <v>#REF!</v>
      </c>
      <c r="D24" s="377" t="e">
        <f>'Mapa final'!#REF!</f>
        <v>#REF!</v>
      </c>
      <c r="E24" s="377" t="e">
        <f>'Mapa final'!#REF!</f>
        <v>#REF!</v>
      </c>
      <c r="F24" s="379" t="s">
        <v>425</v>
      </c>
      <c r="G24" s="370" t="str">
        <f t="shared" ref="G24" si="4">IFERROR(IF($F24="","No",IF($F24="No","No"," "))," ")</f>
        <v>No</v>
      </c>
      <c r="H24" s="370" t="str">
        <f t="shared" si="1"/>
        <v>No</v>
      </c>
      <c r="I24" s="370" t="str">
        <f t="shared" si="1"/>
        <v>No</v>
      </c>
      <c r="J24" s="370" t="str">
        <f t="shared" si="1"/>
        <v>No</v>
      </c>
      <c r="K24" s="370" t="str">
        <f t="shared" si="1"/>
        <v>No</v>
      </c>
      <c r="L24" s="370" t="str">
        <f t="shared" si="1"/>
        <v>No</v>
      </c>
      <c r="M24" s="370" t="str">
        <f t="shared" si="1"/>
        <v>No</v>
      </c>
      <c r="N24" s="421" t="str">
        <f t="shared" si="1"/>
        <v>No</v>
      </c>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row>
    <row r="25" spans="1:71" ht="45.75" customHeight="1" x14ac:dyDescent="0.3">
      <c r="A25" s="400"/>
      <c r="B25" s="405"/>
      <c r="C25" s="405"/>
      <c r="D25" s="377"/>
      <c r="E25" s="377"/>
      <c r="F25" s="379"/>
      <c r="G25" s="370"/>
      <c r="H25" s="370"/>
      <c r="I25" s="370"/>
      <c r="J25" s="370"/>
      <c r="K25" s="370"/>
      <c r="L25" s="370"/>
      <c r="M25" s="370"/>
      <c r="N25" s="421"/>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row>
    <row r="26" spans="1:71" ht="45.75" customHeight="1" x14ac:dyDescent="0.3">
      <c r="A26" s="400"/>
      <c r="B26" s="405"/>
      <c r="C26" s="405"/>
      <c r="D26" s="377"/>
      <c r="E26" s="377"/>
      <c r="F26" s="379"/>
      <c r="G26" s="370"/>
      <c r="H26" s="370"/>
      <c r="I26" s="370"/>
      <c r="J26" s="370"/>
      <c r="K26" s="370"/>
      <c r="L26" s="370"/>
      <c r="M26" s="370"/>
      <c r="N26" s="421"/>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row>
    <row r="27" spans="1:71" ht="45.75" customHeight="1" x14ac:dyDescent="0.3">
      <c r="A27" s="400"/>
      <c r="B27" s="405" t="e">
        <f>'Mapa final'!#REF!</f>
        <v>#REF!</v>
      </c>
      <c r="C27" s="405" t="e">
        <f>'Mapa final'!#REF!</f>
        <v>#REF!</v>
      </c>
      <c r="D27" s="377" t="e">
        <f>'Mapa final'!#REF!</f>
        <v>#REF!</v>
      </c>
      <c r="E27" s="377" t="e">
        <f>'Mapa final'!#REF!</f>
        <v>#REF!</v>
      </c>
      <c r="F27" s="379" t="s">
        <v>425</v>
      </c>
      <c r="G27" s="370" t="str">
        <f t="shared" ref="G27" si="5">IFERROR(IF($F27="","No",IF($F27="No","No"," "))," ")</f>
        <v>No</v>
      </c>
      <c r="H27" s="370" t="str">
        <f t="shared" si="1"/>
        <v>No</v>
      </c>
      <c r="I27" s="370" t="str">
        <f t="shared" si="1"/>
        <v>No</v>
      </c>
      <c r="J27" s="370" t="str">
        <f t="shared" si="1"/>
        <v>No</v>
      </c>
      <c r="K27" s="370" t="str">
        <f t="shared" si="1"/>
        <v>No</v>
      </c>
      <c r="L27" s="370" t="str">
        <f t="shared" si="1"/>
        <v>No</v>
      </c>
      <c r="M27" s="370" t="str">
        <f t="shared" si="1"/>
        <v>No</v>
      </c>
      <c r="N27" s="421" t="str">
        <f t="shared" si="1"/>
        <v>No</v>
      </c>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row>
    <row r="28" spans="1:71" ht="45.75" customHeight="1" x14ac:dyDescent="0.3">
      <c r="A28" s="400"/>
      <c r="B28" s="405"/>
      <c r="C28" s="405"/>
      <c r="D28" s="377"/>
      <c r="E28" s="377"/>
      <c r="F28" s="379"/>
      <c r="G28" s="370"/>
      <c r="H28" s="370"/>
      <c r="I28" s="370"/>
      <c r="J28" s="370"/>
      <c r="K28" s="370"/>
      <c r="L28" s="370"/>
      <c r="M28" s="370"/>
      <c r="N28" s="421"/>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row>
    <row r="29" spans="1:71" ht="45.75" customHeight="1" x14ac:dyDescent="0.3">
      <c r="A29" s="400"/>
      <c r="B29" s="405"/>
      <c r="C29" s="405"/>
      <c r="D29" s="377"/>
      <c r="E29" s="377"/>
      <c r="F29" s="379"/>
      <c r="G29" s="370"/>
      <c r="H29" s="370"/>
      <c r="I29" s="370"/>
      <c r="J29" s="370"/>
      <c r="K29" s="370"/>
      <c r="L29" s="370"/>
      <c r="M29" s="370"/>
      <c r="N29" s="421"/>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row>
    <row r="30" spans="1:71" ht="45.75" customHeight="1" x14ac:dyDescent="0.3">
      <c r="A30" s="400"/>
      <c r="B30" s="405" t="e">
        <f>'Mapa final'!#REF!</f>
        <v>#REF!</v>
      </c>
      <c r="C30" s="405" t="e">
        <f>'Mapa final'!#REF!</f>
        <v>#REF!</v>
      </c>
      <c r="D30" s="377" t="e">
        <f>'Mapa final'!#REF!</f>
        <v>#REF!</v>
      </c>
      <c r="E30" s="377" t="e">
        <f>'Mapa final'!#REF!</f>
        <v>#REF!</v>
      </c>
      <c r="F30" s="379" t="s">
        <v>425</v>
      </c>
      <c r="G30" s="370" t="str">
        <f t="shared" ref="G30" si="6">IFERROR(IF($F30="","No",IF($F30="No","No"," "))," ")</f>
        <v>No</v>
      </c>
      <c r="H30" s="370" t="str">
        <f t="shared" si="1"/>
        <v>No</v>
      </c>
      <c r="I30" s="370" t="str">
        <f t="shared" si="1"/>
        <v>No</v>
      </c>
      <c r="J30" s="370" t="str">
        <f t="shared" si="1"/>
        <v>No</v>
      </c>
      <c r="K30" s="370" t="str">
        <f t="shared" si="1"/>
        <v>No</v>
      </c>
      <c r="L30" s="370" t="str">
        <f t="shared" si="1"/>
        <v>No</v>
      </c>
      <c r="M30" s="370" t="str">
        <f t="shared" si="1"/>
        <v>No</v>
      </c>
      <c r="N30" s="421" t="str">
        <f t="shared" si="1"/>
        <v>No</v>
      </c>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row>
    <row r="31" spans="1:71" ht="45.75" customHeight="1" x14ac:dyDescent="0.3">
      <c r="A31" s="400"/>
      <c r="B31" s="405"/>
      <c r="C31" s="405"/>
      <c r="D31" s="377"/>
      <c r="E31" s="377"/>
      <c r="F31" s="379"/>
      <c r="G31" s="370"/>
      <c r="H31" s="370"/>
      <c r="I31" s="370"/>
      <c r="J31" s="370"/>
      <c r="K31" s="370"/>
      <c r="L31" s="370"/>
      <c r="M31" s="370"/>
      <c r="N31" s="421"/>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row>
    <row r="32" spans="1:71" ht="45.75" customHeight="1" x14ac:dyDescent="0.3">
      <c r="A32" s="400"/>
      <c r="B32" s="405"/>
      <c r="C32" s="405"/>
      <c r="D32" s="377"/>
      <c r="E32" s="377"/>
      <c r="F32" s="379"/>
      <c r="G32" s="370"/>
      <c r="H32" s="370"/>
      <c r="I32" s="370"/>
      <c r="J32" s="370"/>
      <c r="K32" s="370"/>
      <c r="L32" s="370"/>
      <c r="M32" s="370"/>
      <c r="N32" s="421"/>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row>
    <row r="33" spans="1:71" ht="45.75" customHeight="1" x14ac:dyDescent="0.3">
      <c r="A33" s="400"/>
      <c r="B33" s="405" t="e">
        <f>'Mapa final'!#REF!</f>
        <v>#REF!</v>
      </c>
      <c r="C33" s="405" t="e">
        <f>'Mapa final'!#REF!</f>
        <v>#REF!</v>
      </c>
      <c r="D33" s="377" t="e">
        <f>'Mapa final'!#REF!</f>
        <v>#REF!</v>
      </c>
      <c r="E33" s="377" t="e">
        <f>'Mapa final'!#REF!</f>
        <v>#REF!</v>
      </c>
      <c r="F33" s="379" t="s">
        <v>425</v>
      </c>
      <c r="G33" s="370" t="str">
        <f t="shared" ref="G33" si="7">IFERROR(IF($F33="","No",IF($F33="No","No"," "))," ")</f>
        <v>No</v>
      </c>
      <c r="H33" s="370" t="str">
        <f t="shared" si="1"/>
        <v>No</v>
      </c>
      <c r="I33" s="370" t="str">
        <f t="shared" si="1"/>
        <v>No</v>
      </c>
      <c r="J33" s="370" t="str">
        <f t="shared" si="1"/>
        <v>No</v>
      </c>
      <c r="K33" s="370" t="str">
        <f t="shared" si="1"/>
        <v>No</v>
      </c>
      <c r="L33" s="370" t="str">
        <f t="shared" si="1"/>
        <v>No</v>
      </c>
      <c r="M33" s="370" t="str">
        <f t="shared" si="1"/>
        <v>No</v>
      </c>
      <c r="N33" s="421" t="str">
        <f t="shared" si="1"/>
        <v>No</v>
      </c>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row>
    <row r="34" spans="1:71" ht="45.75" customHeight="1" x14ac:dyDescent="0.3">
      <c r="A34" s="400"/>
      <c r="B34" s="405"/>
      <c r="C34" s="405"/>
      <c r="D34" s="377"/>
      <c r="E34" s="377"/>
      <c r="F34" s="379"/>
      <c r="G34" s="370"/>
      <c r="H34" s="370"/>
      <c r="I34" s="370"/>
      <c r="J34" s="370"/>
      <c r="K34" s="370"/>
      <c r="L34" s="370"/>
      <c r="M34" s="370"/>
      <c r="N34" s="421"/>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row>
    <row r="35" spans="1:71" ht="45.75" customHeight="1" x14ac:dyDescent="0.3">
      <c r="A35" s="400"/>
      <c r="B35" s="405"/>
      <c r="C35" s="405"/>
      <c r="D35" s="377"/>
      <c r="E35" s="377"/>
      <c r="F35" s="379"/>
      <c r="G35" s="370"/>
      <c r="H35" s="370"/>
      <c r="I35" s="370"/>
      <c r="J35" s="370"/>
      <c r="K35" s="370"/>
      <c r="L35" s="370"/>
      <c r="M35" s="370"/>
      <c r="N35" s="421"/>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row>
    <row r="36" spans="1:71" ht="45.75" customHeight="1" x14ac:dyDescent="0.3">
      <c r="A36" s="400"/>
      <c r="B36" s="405" t="e">
        <f>'Mapa final'!#REF!</f>
        <v>#REF!</v>
      </c>
      <c r="C36" s="405" t="e">
        <f>'Mapa final'!#REF!</f>
        <v>#REF!</v>
      </c>
      <c r="D36" s="377" t="e">
        <f>'Mapa final'!#REF!</f>
        <v>#REF!</v>
      </c>
      <c r="E36" s="377" t="e">
        <f>'Mapa final'!#REF!</f>
        <v>#REF!</v>
      </c>
      <c r="F36" s="379" t="s">
        <v>425</v>
      </c>
      <c r="G36" s="370" t="str">
        <f t="shared" ref="G36" si="8">IFERROR(IF($F36="","No",IF($F36="No","No"," "))," ")</f>
        <v>No</v>
      </c>
      <c r="H36" s="370" t="str">
        <f t="shared" si="1"/>
        <v>No</v>
      </c>
      <c r="I36" s="370" t="str">
        <f t="shared" si="1"/>
        <v>No</v>
      </c>
      <c r="J36" s="370" t="str">
        <f t="shared" si="1"/>
        <v>No</v>
      </c>
      <c r="K36" s="370" t="str">
        <f t="shared" si="1"/>
        <v>No</v>
      </c>
      <c r="L36" s="370" t="str">
        <f t="shared" si="1"/>
        <v>No</v>
      </c>
      <c r="M36" s="370" t="str">
        <f t="shared" si="1"/>
        <v>No</v>
      </c>
      <c r="N36" s="421" t="str">
        <f t="shared" si="1"/>
        <v>No</v>
      </c>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row>
    <row r="37" spans="1:71" ht="45.75" customHeight="1" x14ac:dyDescent="0.3">
      <c r="A37" s="400"/>
      <c r="B37" s="405"/>
      <c r="C37" s="405"/>
      <c r="D37" s="377"/>
      <c r="E37" s="377"/>
      <c r="F37" s="379"/>
      <c r="G37" s="370"/>
      <c r="H37" s="370"/>
      <c r="I37" s="370"/>
      <c r="J37" s="370"/>
      <c r="K37" s="370"/>
      <c r="L37" s="370"/>
      <c r="M37" s="370"/>
      <c r="N37" s="421"/>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row>
    <row r="38" spans="1:71" ht="45.75" customHeight="1" x14ac:dyDescent="0.3">
      <c r="A38" s="400"/>
      <c r="B38" s="405"/>
      <c r="C38" s="405"/>
      <c r="D38" s="377"/>
      <c r="E38" s="377"/>
      <c r="F38" s="379"/>
      <c r="G38" s="370"/>
      <c r="H38" s="370"/>
      <c r="I38" s="370"/>
      <c r="J38" s="370"/>
      <c r="K38" s="370"/>
      <c r="L38" s="370"/>
      <c r="M38" s="370"/>
      <c r="N38" s="421"/>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row>
    <row r="39" spans="1:71" ht="45.75" customHeight="1" x14ac:dyDescent="0.3">
      <c r="A39" s="400"/>
      <c r="B39" s="405" t="e">
        <f>'Mapa final'!#REF!</f>
        <v>#REF!</v>
      </c>
      <c r="C39" s="405" t="e">
        <f>'Mapa final'!#REF!</f>
        <v>#REF!</v>
      </c>
      <c r="D39" s="377" t="e">
        <f>'Mapa final'!#REF!</f>
        <v>#REF!</v>
      </c>
      <c r="E39" s="377" t="e">
        <f>'Mapa final'!#REF!</f>
        <v>#REF!</v>
      </c>
      <c r="F39" s="379" t="s">
        <v>425</v>
      </c>
      <c r="G39" s="370" t="str">
        <f t="shared" ref="G39" si="9">IFERROR(IF($F39="","No",IF($F39="No","No"," "))," ")</f>
        <v>No</v>
      </c>
      <c r="H39" s="370" t="str">
        <f t="shared" si="1"/>
        <v>No</v>
      </c>
      <c r="I39" s="370" t="str">
        <f t="shared" si="1"/>
        <v>No</v>
      </c>
      <c r="J39" s="370" t="str">
        <f t="shared" si="1"/>
        <v>No</v>
      </c>
      <c r="K39" s="370" t="str">
        <f t="shared" si="1"/>
        <v>No</v>
      </c>
      <c r="L39" s="370" t="str">
        <f t="shared" si="1"/>
        <v>No</v>
      </c>
      <c r="M39" s="370" t="str">
        <f t="shared" si="1"/>
        <v>No</v>
      </c>
      <c r="N39" s="421" t="str">
        <f t="shared" si="1"/>
        <v>No</v>
      </c>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row>
    <row r="40" spans="1:71" ht="45.75" customHeight="1" x14ac:dyDescent="0.3">
      <c r="A40" s="400"/>
      <c r="B40" s="405"/>
      <c r="C40" s="405"/>
      <c r="D40" s="377"/>
      <c r="E40" s="377"/>
      <c r="F40" s="379"/>
      <c r="G40" s="370"/>
      <c r="H40" s="370"/>
      <c r="I40" s="370"/>
      <c r="J40" s="370"/>
      <c r="K40" s="370"/>
      <c r="L40" s="370"/>
      <c r="M40" s="370"/>
      <c r="N40" s="421"/>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row>
    <row r="41" spans="1:71" ht="45.75" customHeight="1" thickBot="1" x14ac:dyDescent="0.35">
      <c r="A41" s="401"/>
      <c r="B41" s="406"/>
      <c r="C41" s="406"/>
      <c r="D41" s="407"/>
      <c r="E41" s="407"/>
      <c r="F41" s="379"/>
      <c r="G41" s="422"/>
      <c r="H41" s="422"/>
      <c r="I41" s="422"/>
      <c r="J41" s="422"/>
      <c r="K41" s="422"/>
      <c r="L41" s="422"/>
      <c r="M41" s="422"/>
      <c r="N41" s="423"/>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1" x14ac:dyDescent="0.3">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row>
    <row r="43" spans="1:71" x14ac:dyDescent="0.3">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row>
    <row r="44" spans="1:71" x14ac:dyDescent="0.3">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row>
    <row r="45" spans="1:71" x14ac:dyDescent="0.3">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row>
    <row r="46" spans="1:71" x14ac:dyDescent="0.3">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row>
    <row r="47" spans="1:71" x14ac:dyDescent="0.3">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row>
    <row r="48" spans="1:71" x14ac:dyDescent="0.3">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row>
    <row r="49" spans="1:71" x14ac:dyDescent="0.3">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row>
    <row r="50" spans="1:71" x14ac:dyDescent="0.3">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row>
    <row r="51" spans="1:71" x14ac:dyDescent="0.3">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row>
    <row r="52" spans="1:71" x14ac:dyDescent="0.3">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row>
    <row r="53" spans="1:71" x14ac:dyDescent="0.3">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row>
    <row r="54" spans="1:71" x14ac:dyDescent="0.3">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row>
    <row r="55" spans="1:71" x14ac:dyDescent="0.3">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row>
    <row r="56" spans="1:71" x14ac:dyDescent="0.3">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row>
    <row r="57" spans="1:71" x14ac:dyDescent="0.3">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row>
    <row r="58" spans="1:71" x14ac:dyDescent="0.3">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row>
    <row r="59" spans="1:71" x14ac:dyDescent="0.3">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row>
    <row r="60" spans="1:71" x14ac:dyDescent="0.3">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row>
    <row r="61" spans="1:71" x14ac:dyDescent="0.3">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row>
    <row r="62" spans="1:71" x14ac:dyDescent="0.3">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row>
    <row r="63" spans="1:71" x14ac:dyDescent="0.3">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row>
    <row r="64" spans="1:71" x14ac:dyDescent="0.3">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row>
    <row r="65" spans="1:71" x14ac:dyDescent="0.3">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row>
    <row r="66" spans="1:71" x14ac:dyDescent="0.3">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row>
    <row r="67" spans="1:71" x14ac:dyDescent="0.3">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row>
    <row r="68" spans="1:71" x14ac:dyDescent="0.3">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row>
    <row r="69" spans="1:71" x14ac:dyDescent="0.3">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row>
    <row r="70" spans="1:71" x14ac:dyDescent="0.3">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row>
    <row r="71" spans="1:71" x14ac:dyDescent="0.3">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row>
    <row r="72" spans="1:71" x14ac:dyDescent="0.3">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row>
    <row r="73" spans="1:71" x14ac:dyDescent="0.3">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row>
    <row r="74" spans="1:71" x14ac:dyDescent="0.3">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row>
    <row r="75" spans="1:71" x14ac:dyDescent="0.3">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row>
    <row r="76" spans="1:71" x14ac:dyDescent="0.3">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row>
    <row r="77" spans="1:71" x14ac:dyDescent="0.3">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row>
    <row r="78" spans="1:71" x14ac:dyDescent="0.3">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row>
    <row r="79" spans="1:71" x14ac:dyDescent="0.3">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row>
    <row r="80" spans="1:71" x14ac:dyDescent="0.3">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row>
    <row r="81" spans="1:30" x14ac:dyDescent="0.3">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row>
    <row r="82" spans="1:30" x14ac:dyDescent="0.3">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row>
    <row r="83" spans="1:30" x14ac:dyDescent="0.3">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row>
    <row r="84" spans="1:30" x14ac:dyDescent="0.3">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row>
    <row r="85" spans="1:30" x14ac:dyDescent="0.3">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row>
    <row r="86" spans="1:30" x14ac:dyDescent="0.3">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row>
    <row r="87" spans="1:30" x14ac:dyDescent="0.3">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row>
    <row r="88" spans="1:30" x14ac:dyDescent="0.3">
      <c r="A88" s="127"/>
      <c r="B88" s="127"/>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row>
    <row r="89" spans="1:30" x14ac:dyDescent="0.3">
      <c r="A89" s="127"/>
      <c r="B89" s="127"/>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row>
    <row r="90" spans="1:30" x14ac:dyDescent="0.3">
      <c r="A90" s="127"/>
      <c r="B90" s="127"/>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row>
    <row r="91" spans="1:30" x14ac:dyDescent="0.3">
      <c r="A91" s="2"/>
      <c r="B91" s="2"/>
      <c r="C91" s="2"/>
      <c r="D91" s="2"/>
      <c r="E91" s="2"/>
      <c r="F91" s="2"/>
      <c r="G91" s="2"/>
      <c r="H91" s="2"/>
      <c r="I91" s="2"/>
      <c r="J91" s="2"/>
      <c r="K91" s="2"/>
      <c r="L91" s="2"/>
      <c r="M91" s="2"/>
      <c r="N91" s="2"/>
    </row>
  </sheetData>
  <sheetProtection algorithmName="SHA-512" hashValue="nzh82k4jMjnsaB8Y2flOJCZ+6TQKtuqcAWQtKRVI1wl7/Qg1PkA/XK9qPvktsnVngiwuDPO9kNX6dmi05aJP4w==" saltValue="y4rSFEx4GfhZy3014+o0bg==" spinCount="100000" sheet="1" objects="1" scenarios="1"/>
  <mergeCells count="144">
    <mergeCell ref="A2:E2"/>
    <mergeCell ref="F2:M2"/>
    <mergeCell ref="N2:N3"/>
    <mergeCell ref="A3:E6"/>
    <mergeCell ref="F3:M4"/>
    <mergeCell ref="F5:M5"/>
    <mergeCell ref="F6:M6"/>
    <mergeCell ref="A12:A41"/>
    <mergeCell ref="B12:B14"/>
    <mergeCell ref="C12:C14"/>
    <mergeCell ref="E12:E14"/>
    <mergeCell ref="F12:F14"/>
    <mergeCell ref="G12:G14"/>
    <mergeCell ref="A7:N7"/>
    <mergeCell ref="A9:N9"/>
    <mergeCell ref="A10:A11"/>
    <mergeCell ref="B10:E10"/>
    <mergeCell ref="F10:F11"/>
    <mergeCell ref="G10:N10"/>
    <mergeCell ref="N12:N14"/>
    <mergeCell ref="B15:B17"/>
    <mergeCell ref="C15:C17"/>
    <mergeCell ref="E15:E17"/>
    <mergeCell ref="F15:F17"/>
    <mergeCell ref="G15:G17"/>
    <mergeCell ref="H15:H17"/>
    <mergeCell ref="I15:I17"/>
    <mergeCell ref="J15:J17"/>
    <mergeCell ref="K15:K17"/>
    <mergeCell ref="H12:H14"/>
    <mergeCell ref="I12:I14"/>
    <mergeCell ref="J12:J14"/>
    <mergeCell ref="K12:K14"/>
    <mergeCell ref="B18:B20"/>
    <mergeCell ref="C18:C20"/>
    <mergeCell ref="E18:E20"/>
    <mergeCell ref="F18:F20"/>
    <mergeCell ref="G18:G20"/>
    <mergeCell ref="H18:H20"/>
    <mergeCell ref="I18:I20"/>
    <mergeCell ref="J18:J20"/>
    <mergeCell ref="K18:K20"/>
    <mergeCell ref="B21:B23"/>
    <mergeCell ref="C21:C23"/>
    <mergeCell ref="E21:E23"/>
    <mergeCell ref="F21:F23"/>
    <mergeCell ref="G21:G23"/>
    <mergeCell ref="N21:N23"/>
    <mergeCell ref="B24:B26"/>
    <mergeCell ref="C24:C26"/>
    <mergeCell ref="E24:E26"/>
    <mergeCell ref="F24:F26"/>
    <mergeCell ref="G24:G26"/>
    <mergeCell ref="H24:H26"/>
    <mergeCell ref="I24:I26"/>
    <mergeCell ref="J24:J26"/>
    <mergeCell ref="K24:K26"/>
    <mergeCell ref="H21:H23"/>
    <mergeCell ref="I21:I23"/>
    <mergeCell ref="J21:J23"/>
    <mergeCell ref="K21:K23"/>
    <mergeCell ref="L21:L23"/>
    <mergeCell ref="M21:M23"/>
    <mergeCell ref="L24:L26"/>
    <mergeCell ref="M24:M26"/>
    <mergeCell ref="N24:N26"/>
    <mergeCell ref="B27:B29"/>
    <mergeCell ref="C27:C29"/>
    <mergeCell ref="E27:E29"/>
    <mergeCell ref="F27:F29"/>
    <mergeCell ref="G27:G29"/>
    <mergeCell ref="H27:H29"/>
    <mergeCell ref="I27:I29"/>
    <mergeCell ref="J27:J29"/>
    <mergeCell ref="K27:K29"/>
    <mergeCell ref="B30:B32"/>
    <mergeCell ref="C30:C32"/>
    <mergeCell ref="E30:E32"/>
    <mergeCell ref="F30:F32"/>
    <mergeCell ref="G30:G32"/>
    <mergeCell ref="N30:N32"/>
    <mergeCell ref="H30:H32"/>
    <mergeCell ref="I30:I32"/>
    <mergeCell ref="J30:J32"/>
    <mergeCell ref="K30:K32"/>
    <mergeCell ref="L30:L32"/>
    <mergeCell ref="M30:M32"/>
    <mergeCell ref="B33:B35"/>
    <mergeCell ref="C33:C35"/>
    <mergeCell ref="E33:E35"/>
    <mergeCell ref="F33:F35"/>
    <mergeCell ref="G33:G35"/>
    <mergeCell ref="H33:H35"/>
    <mergeCell ref="I33:I35"/>
    <mergeCell ref="J33:J35"/>
    <mergeCell ref="K33:K35"/>
    <mergeCell ref="B39:B41"/>
    <mergeCell ref="C39:C41"/>
    <mergeCell ref="E39:E41"/>
    <mergeCell ref="F39:F41"/>
    <mergeCell ref="G39:G41"/>
    <mergeCell ref="L33:L35"/>
    <mergeCell ref="M33:M35"/>
    <mergeCell ref="N33:N35"/>
    <mergeCell ref="B36:B38"/>
    <mergeCell ref="C36:C38"/>
    <mergeCell ref="E36:E38"/>
    <mergeCell ref="F36:F38"/>
    <mergeCell ref="G36:G38"/>
    <mergeCell ref="H36:H38"/>
    <mergeCell ref="I36:I38"/>
    <mergeCell ref="N39:N41"/>
    <mergeCell ref="H39:H41"/>
    <mergeCell ref="I39:I41"/>
    <mergeCell ref="J39:J41"/>
    <mergeCell ref="K39:K41"/>
    <mergeCell ref="L39:L41"/>
    <mergeCell ref="M39:M41"/>
    <mergeCell ref="J36:J38"/>
    <mergeCell ref="K36:K38"/>
    <mergeCell ref="D39:D41"/>
    <mergeCell ref="L36:L38"/>
    <mergeCell ref="M36:M38"/>
    <mergeCell ref="N36:N38"/>
    <mergeCell ref="D12:D14"/>
    <mergeCell ref="D15:D17"/>
    <mergeCell ref="D18:D20"/>
    <mergeCell ref="D21:D23"/>
    <mergeCell ref="D24:D26"/>
    <mergeCell ref="D27:D29"/>
    <mergeCell ref="D30:D32"/>
    <mergeCell ref="D33:D35"/>
    <mergeCell ref="D36:D38"/>
    <mergeCell ref="L27:L29"/>
    <mergeCell ref="M27:M29"/>
    <mergeCell ref="N27:N29"/>
    <mergeCell ref="L12:L14"/>
    <mergeCell ref="M12:M14"/>
    <mergeCell ref="L15:L17"/>
    <mergeCell ref="M15:M17"/>
    <mergeCell ref="N15:N17"/>
    <mergeCell ref="L18:L20"/>
    <mergeCell ref="M18:M20"/>
    <mergeCell ref="N18:N20"/>
  </mergeCells>
  <conditionalFormatting sqref="G12:N41">
    <cfRule type="containsText" dxfId="4" priority="1" operator="containsText" text="No">
      <formula>NOT(ISERROR(SEARCH("No",G12)))</formula>
    </cfRule>
  </conditionalFormatting>
  <pageMargins left="0.7" right="0.7" top="0.75" bottom="0.75" header="0.3" footer="0.3"/>
  <pageSetup paperSize="14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'Opciones Tratamiento'!$D$20:$D$22</xm:f>
          </x14:formula1>
          <xm:sqref>F12:F41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RowHeight="15" x14ac:dyDescent="0.25"/>
  <cols>
    <col min="2" max="39" width="5.7109375" customWidth="1"/>
    <col min="41" max="46" width="5.7109375" customWidth="1"/>
  </cols>
  <sheetData>
    <row r="1" spans="1:99" x14ac:dyDescent="0.25">
      <c r="A1" s="72"/>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c r="CN1" s="72"/>
      <c r="CO1" s="72"/>
      <c r="CP1" s="72"/>
      <c r="CQ1" s="72"/>
      <c r="CR1" s="72"/>
      <c r="CS1" s="72"/>
      <c r="CT1" s="72"/>
      <c r="CU1" s="72"/>
    </row>
    <row r="2" spans="1:99" ht="18" customHeight="1" x14ac:dyDescent="0.25">
      <c r="A2" s="72"/>
      <c r="B2" s="435" t="s">
        <v>148</v>
      </c>
      <c r="C2" s="435"/>
      <c r="D2" s="435"/>
      <c r="E2" s="435"/>
      <c r="F2" s="435"/>
      <c r="G2" s="435"/>
      <c r="H2" s="435"/>
      <c r="I2" s="435"/>
      <c r="J2" s="473" t="s">
        <v>2</v>
      </c>
      <c r="K2" s="473"/>
      <c r="L2" s="473"/>
      <c r="M2" s="473"/>
      <c r="N2" s="473"/>
      <c r="O2" s="473"/>
      <c r="P2" s="473"/>
      <c r="Q2" s="473"/>
      <c r="R2" s="473"/>
      <c r="S2" s="473"/>
      <c r="T2" s="473"/>
      <c r="U2" s="473"/>
      <c r="V2" s="473"/>
      <c r="W2" s="473"/>
      <c r="X2" s="473"/>
      <c r="Y2" s="473"/>
      <c r="Z2" s="473"/>
      <c r="AA2" s="473"/>
      <c r="AB2" s="473"/>
      <c r="AC2" s="473"/>
      <c r="AD2" s="473"/>
      <c r="AE2" s="473"/>
      <c r="AF2" s="473"/>
      <c r="AG2" s="473"/>
      <c r="AH2" s="473"/>
      <c r="AI2" s="473"/>
      <c r="AJ2" s="473"/>
      <c r="AK2" s="473"/>
      <c r="AL2" s="473"/>
      <c r="AM2" s="473"/>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c r="CH2" s="72"/>
      <c r="CI2" s="72"/>
      <c r="CJ2" s="72"/>
      <c r="CK2" s="72"/>
      <c r="CL2" s="72"/>
      <c r="CM2" s="72"/>
      <c r="CN2" s="72"/>
      <c r="CO2" s="72"/>
      <c r="CP2" s="72"/>
      <c r="CQ2" s="72"/>
      <c r="CR2" s="72"/>
      <c r="CS2" s="72"/>
      <c r="CT2" s="72"/>
      <c r="CU2" s="72"/>
    </row>
    <row r="3" spans="1:99" ht="18.75" customHeight="1" x14ac:dyDescent="0.25">
      <c r="A3" s="72"/>
      <c r="B3" s="435"/>
      <c r="C3" s="435"/>
      <c r="D3" s="435"/>
      <c r="E3" s="435"/>
      <c r="F3" s="435"/>
      <c r="G3" s="435"/>
      <c r="H3" s="435"/>
      <c r="I3" s="435"/>
      <c r="J3" s="473"/>
      <c r="K3" s="473"/>
      <c r="L3" s="473"/>
      <c r="M3" s="473"/>
      <c r="N3" s="473"/>
      <c r="O3" s="473"/>
      <c r="P3" s="473"/>
      <c r="Q3" s="473"/>
      <c r="R3" s="473"/>
      <c r="S3" s="473"/>
      <c r="T3" s="473"/>
      <c r="U3" s="473"/>
      <c r="V3" s="473"/>
      <c r="W3" s="473"/>
      <c r="X3" s="473"/>
      <c r="Y3" s="473"/>
      <c r="Z3" s="473"/>
      <c r="AA3" s="473"/>
      <c r="AB3" s="473"/>
      <c r="AC3" s="473"/>
      <c r="AD3" s="473"/>
      <c r="AE3" s="473"/>
      <c r="AF3" s="473"/>
      <c r="AG3" s="473"/>
      <c r="AH3" s="473"/>
      <c r="AI3" s="473"/>
      <c r="AJ3" s="473"/>
      <c r="AK3" s="473"/>
      <c r="AL3" s="473"/>
      <c r="AM3" s="473"/>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c r="CN3" s="72"/>
      <c r="CO3" s="72"/>
      <c r="CP3" s="72"/>
      <c r="CQ3" s="72"/>
      <c r="CR3" s="72"/>
      <c r="CS3" s="72"/>
      <c r="CT3" s="72"/>
      <c r="CU3" s="72"/>
    </row>
    <row r="4" spans="1:99" ht="15" customHeight="1" x14ac:dyDescent="0.25">
      <c r="A4" s="72"/>
      <c r="B4" s="435"/>
      <c r="C4" s="435"/>
      <c r="D4" s="435"/>
      <c r="E4" s="435"/>
      <c r="F4" s="435"/>
      <c r="G4" s="435"/>
      <c r="H4" s="435"/>
      <c r="I4" s="435"/>
      <c r="J4" s="473"/>
      <c r="K4" s="473"/>
      <c r="L4" s="473"/>
      <c r="M4" s="473"/>
      <c r="N4" s="473"/>
      <c r="O4" s="473"/>
      <c r="P4" s="473"/>
      <c r="Q4" s="473"/>
      <c r="R4" s="473"/>
      <c r="S4" s="473"/>
      <c r="T4" s="473"/>
      <c r="U4" s="473"/>
      <c r="V4" s="473"/>
      <c r="W4" s="473"/>
      <c r="X4" s="473"/>
      <c r="Y4" s="473"/>
      <c r="Z4" s="473"/>
      <c r="AA4" s="473"/>
      <c r="AB4" s="473"/>
      <c r="AC4" s="473"/>
      <c r="AD4" s="473"/>
      <c r="AE4" s="473"/>
      <c r="AF4" s="473"/>
      <c r="AG4" s="473"/>
      <c r="AH4" s="473"/>
      <c r="AI4" s="473"/>
      <c r="AJ4" s="473"/>
      <c r="AK4" s="473"/>
      <c r="AL4" s="473"/>
      <c r="AM4" s="473"/>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c r="CJ4" s="72"/>
      <c r="CK4" s="72"/>
      <c r="CL4" s="72"/>
      <c r="CM4" s="72"/>
      <c r="CN4" s="72"/>
      <c r="CO4" s="72"/>
      <c r="CP4" s="72"/>
      <c r="CQ4" s="72"/>
      <c r="CR4" s="72"/>
      <c r="CS4" s="72"/>
      <c r="CT4" s="72"/>
      <c r="CU4" s="72"/>
    </row>
    <row r="5" spans="1:99" ht="15.75" thickBot="1" x14ac:dyDescent="0.3">
      <c r="A5" s="72"/>
      <c r="B5" s="72"/>
      <c r="C5" s="72"/>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row>
    <row r="6" spans="1:99" ht="15" customHeight="1" x14ac:dyDescent="0.25">
      <c r="A6" s="72"/>
      <c r="B6" s="521" t="s">
        <v>4</v>
      </c>
      <c r="C6" s="521"/>
      <c r="D6" s="522"/>
      <c r="E6" s="474" t="s">
        <v>114</v>
      </c>
      <c r="F6" s="475"/>
      <c r="G6" s="475"/>
      <c r="H6" s="475"/>
      <c r="I6" s="476"/>
      <c r="J6" s="461" t="str">
        <f>IF(AND('Mapa final'!$J$13="Muy Alta",'Mapa final'!$N$13="Leve"),CONCATENATE("R",'Mapa final'!$A$13),"")</f>
        <v/>
      </c>
      <c r="K6" s="462"/>
      <c r="L6" s="462" t="e">
        <f>IF(AND('Mapa final'!#REF!="Muy Alta",'Mapa final'!#REF!="Leve"),CONCATENATE("R",'Mapa final'!#REF!),"")</f>
        <v>#REF!</v>
      </c>
      <c r="M6" s="462"/>
      <c r="N6" s="462" t="e">
        <f>IF(AND('Mapa final'!#REF!="Muy Alta",'Mapa final'!#REF!="Leve"),CONCATENATE("R",'Mapa final'!#REF!),"")</f>
        <v>#REF!</v>
      </c>
      <c r="O6" s="463"/>
      <c r="P6" s="461" t="str">
        <f>IF(AND('Mapa final'!$J$13="Muy Alta",'Mapa final'!$N$13="Menor"),CONCATENATE("R",'Mapa final'!$A$13),"")</f>
        <v/>
      </c>
      <c r="Q6" s="462"/>
      <c r="R6" s="462" t="e">
        <f>IF(AND('Mapa final'!#REF!="Muy Alta",'Mapa final'!#REF!="Menor"),CONCATENATE("R",'Mapa final'!#REF!),"")</f>
        <v>#REF!</v>
      </c>
      <c r="S6" s="462"/>
      <c r="T6" s="462" t="e">
        <f>IF(AND('Mapa final'!#REF!="Muy Alta",'Mapa final'!#REF!="Menor"),CONCATENATE("R",'Mapa final'!#REF!),"")</f>
        <v>#REF!</v>
      </c>
      <c r="U6" s="463"/>
      <c r="V6" s="461" t="str">
        <f>IF(AND('Mapa final'!$J$13="Muy Alta",'Mapa final'!$N$13="Moderado"),CONCATENATE("R",'Mapa final'!$A$13),"")</f>
        <v/>
      </c>
      <c r="W6" s="462"/>
      <c r="X6" s="462" t="e">
        <f>IF(AND('Mapa final'!#REF!="Muy Alta",'Mapa final'!#REF!="Moderado"),CONCATENATE("R",'Mapa final'!#REF!),"")</f>
        <v>#REF!</v>
      </c>
      <c r="Y6" s="462"/>
      <c r="Z6" s="462" t="e">
        <f>IF(AND('Mapa final'!#REF!="Muy Alta",'Mapa final'!#REF!="Moderado"),CONCATENATE("R",'Mapa final'!#REF!),"")</f>
        <v>#REF!</v>
      </c>
      <c r="AA6" s="463"/>
      <c r="AB6" s="461" t="str">
        <f>IF(AND('Mapa final'!$J$13="Muy Alta",'Mapa final'!$N$13="Mayor"),CONCATENATE("R",'Mapa final'!$A$13),"")</f>
        <v/>
      </c>
      <c r="AC6" s="462"/>
      <c r="AD6" s="462" t="e">
        <f>IF(AND('Mapa final'!#REF!="Muy Alta",'Mapa final'!#REF!="Mayor"),CONCATENATE("R",'Mapa final'!#REF!),"")</f>
        <v>#REF!</v>
      </c>
      <c r="AE6" s="462"/>
      <c r="AF6" s="462" t="e">
        <f>IF(AND('Mapa final'!#REF!="Muy Alta",'Mapa final'!#REF!="Mayor"),CONCATENATE("R",'Mapa final'!#REF!),"")</f>
        <v>#REF!</v>
      </c>
      <c r="AG6" s="463"/>
      <c r="AH6" s="470" t="str">
        <f>IF(AND('Mapa final'!$J$13="Muy Alta",'Mapa final'!$N$13="Catastrófico"),CONCATENATE("R",'Mapa final'!$A$13),"")</f>
        <v/>
      </c>
      <c r="AI6" s="471"/>
      <c r="AJ6" s="471" t="e">
        <f>IF(AND('Mapa final'!#REF!="Muy Alta",'Mapa final'!#REF!="Catastrófico"),CONCATENATE("R",'Mapa final'!#REF!),"")</f>
        <v>#REF!</v>
      </c>
      <c r="AK6" s="471"/>
      <c r="AL6" s="471" t="e">
        <f>IF(AND('Mapa final'!#REF!="Muy Alta",'Mapa final'!#REF!="Catastrófico"),CONCATENATE("R",'Mapa final'!#REF!),"")</f>
        <v>#REF!</v>
      </c>
      <c r="AM6" s="472"/>
      <c r="AO6" s="485" t="s">
        <v>79</v>
      </c>
      <c r="AP6" s="486"/>
      <c r="AQ6" s="486"/>
      <c r="AR6" s="486"/>
      <c r="AS6" s="486"/>
      <c r="AT6" s="487"/>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row>
    <row r="7" spans="1:99" ht="15" customHeight="1" x14ac:dyDescent="0.25">
      <c r="A7" s="72"/>
      <c r="B7" s="521"/>
      <c r="C7" s="521"/>
      <c r="D7" s="522"/>
      <c r="E7" s="477"/>
      <c r="F7" s="478"/>
      <c r="G7" s="478"/>
      <c r="H7" s="478"/>
      <c r="I7" s="479"/>
      <c r="J7" s="454"/>
      <c r="K7" s="455"/>
      <c r="L7" s="455"/>
      <c r="M7" s="455"/>
      <c r="N7" s="455"/>
      <c r="O7" s="457"/>
      <c r="P7" s="454"/>
      <c r="Q7" s="455"/>
      <c r="R7" s="455"/>
      <c r="S7" s="455"/>
      <c r="T7" s="455"/>
      <c r="U7" s="457"/>
      <c r="V7" s="454"/>
      <c r="W7" s="455"/>
      <c r="X7" s="455"/>
      <c r="Y7" s="455"/>
      <c r="Z7" s="455"/>
      <c r="AA7" s="457"/>
      <c r="AB7" s="454"/>
      <c r="AC7" s="455"/>
      <c r="AD7" s="455"/>
      <c r="AE7" s="455"/>
      <c r="AF7" s="455"/>
      <c r="AG7" s="457"/>
      <c r="AH7" s="466"/>
      <c r="AI7" s="464"/>
      <c r="AJ7" s="464"/>
      <c r="AK7" s="464"/>
      <c r="AL7" s="464"/>
      <c r="AM7" s="465"/>
      <c r="AN7" s="72"/>
      <c r="AO7" s="488"/>
      <c r="AP7" s="489"/>
      <c r="AQ7" s="489"/>
      <c r="AR7" s="489"/>
      <c r="AS7" s="489"/>
      <c r="AT7" s="490"/>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row>
    <row r="8" spans="1:99" ht="15" customHeight="1" x14ac:dyDescent="0.25">
      <c r="A8" s="72"/>
      <c r="B8" s="521"/>
      <c r="C8" s="521"/>
      <c r="D8" s="522"/>
      <c r="E8" s="477"/>
      <c r="F8" s="478"/>
      <c r="G8" s="478"/>
      <c r="H8" s="478"/>
      <c r="I8" s="479"/>
      <c r="J8" s="454" t="e">
        <f>IF(AND('Mapa final'!#REF!="Muy Alta",'Mapa final'!#REF!="Leve"),CONCATENATE("R",'Mapa final'!#REF!),"")</f>
        <v>#REF!</v>
      </c>
      <c r="K8" s="455"/>
      <c r="L8" s="456" t="e">
        <f>IF(AND('Mapa final'!#REF!="Muy Alta",'Mapa final'!#REF!="Leve"),CONCATENATE("R",'Mapa final'!#REF!),"")</f>
        <v>#REF!</v>
      </c>
      <c r="M8" s="456"/>
      <c r="N8" s="456" t="e">
        <f>IF(AND('Mapa final'!#REF!="Muy Alta",'Mapa final'!#REF!="Leve"),CONCATENATE("R",'Mapa final'!#REF!),"")</f>
        <v>#REF!</v>
      </c>
      <c r="O8" s="457"/>
      <c r="P8" s="454" t="e">
        <f>IF(AND('Mapa final'!#REF!="Muy Alta",'Mapa final'!#REF!="Menor"),CONCATENATE("R",'Mapa final'!#REF!),"")</f>
        <v>#REF!</v>
      </c>
      <c r="Q8" s="455"/>
      <c r="R8" s="456" t="e">
        <f>IF(AND('Mapa final'!#REF!="Muy Alta",'Mapa final'!#REF!="Menor"),CONCATENATE("R",'Mapa final'!#REF!),"")</f>
        <v>#REF!</v>
      </c>
      <c r="S8" s="456"/>
      <c r="T8" s="456" t="e">
        <f>IF(AND('Mapa final'!#REF!="Muy Alta",'Mapa final'!#REF!="Menor"),CONCATENATE("R",'Mapa final'!#REF!),"")</f>
        <v>#REF!</v>
      </c>
      <c r="U8" s="457"/>
      <c r="V8" s="454" t="e">
        <f>IF(AND('Mapa final'!#REF!="Muy Alta",'Mapa final'!#REF!="Moderado"),CONCATENATE("R",'Mapa final'!#REF!),"")</f>
        <v>#REF!</v>
      </c>
      <c r="W8" s="455"/>
      <c r="X8" s="456" t="e">
        <f>IF(AND('Mapa final'!#REF!="Muy Alta",'Mapa final'!#REF!="Moderado"),CONCATENATE("R",'Mapa final'!#REF!),"")</f>
        <v>#REF!</v>
      </c>
      <c r="Y8" s="456"/>
      <c r="Z8" s="456" t="e">
        <f>IF(AND('Mapa final'!#REF!="Muy Alta",'Mapa final'!#REF!="Moderado"),CONCATENATE("R",'Mapa final'!#REF!),"")</f>
        <v>#REF!</v>
      </c>
      <c r="AA8" s="457"/>
      <c r="AB8" s="454" t="e">
        <f>IF(AND('Mapa final'!#REF!="Muy Alta",'Mapa final'!#REF!="Mayor"),CONCATENATE("R",'Mapa final'!#REF!),"")</f>
        <v>#REF!</v>
      </c>
      <c r="AC8" s="455"/>
      <c r="AD8" s="456" t="e">
        <f>IF(AND('Mapa final'!#REF!="Muy Alta",'Mapa final'!#REF!="Mayor"),CONCATENATE("R",'Mapa final'!#REF!),"")</f>
        <v>#REF!</v>
      </c>
      <c r="AE8" s="456"/>
      <c r="AF8" s="456" t="e">
        <f>IF(AND('Mapa final'!#REF!="Muy Alta",'Mapa final'!#REF!="Mayor"),CONCATENATE("R",'Mapa final'!#REF!),"")</f>
        <v>#REF!</v>
      </c>
      <c r="AG8" s="457"/>
      <c r="AH8" s="466" t="e">
        <f>IF(AND('Mapa final'!#REF!="Muy Alta",'Mapa final'!#REF!="Catastrófico"),CONCATENATE("R",'Mapa final'!#REF!),"")</f>
        <v>#REF!</v>
      </c>
      <c r="AI8" s="464"/>
      <c r="AJ8" s="464" t="e">
        <f>IF(AND('Mapa final'!#REF!="Muy Alta",'Mapa final'!#REF!="Catastrófico"),CONCATENATE("R",'Mapa final'!#REF!),"")</f>
        <v>#REF!</v>
      </c>
      <c r="AK8" s="464"/>
      <c r="AL8" s="464" t="e">
        <f>IF(AND('Mapa final'!#REF!="Muy Alta",'Mapa final'!#REF!="Catastrófico"),CONCATENATE("R",'Mapa final'!#REF!),"")</f>
        <v>#REF!</v>
      </c>
      <c r="AM8" s="465"/>
      <c r="AN8" s="72"/>
      <c r="AO8" s="488"/>
      <c r="AP8" s="489"/>
      <c r="AQ8" s="489"/>
      <c r="AR8" s="489"/>
      <c r="AS8" s="489"/>
      <c r="AT8" s="490"/>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row>
    <row r="9" spans="1:99" ht="15" customHeight="1" x14ac:dyDescent="0.25">
      <c r="A9" s="72"/>
      <c r="B9" s="521"/>
      <c r="C9" s="521"/>
      <c r="D9" s="522"/>
      <c r="E9" s="477"/>
      <c r="F9" s="478"/>
      <c r="G9" s="478"/>
      <c r="H9" s="478"/>
      <c r="I9" s="479"/>
      <c r="J9" s="454"/>
      <c r="K9" s="455"/>
      <c r="L9" s="456"/>
      <c r="M9" s="456"/>
      <c r="N9" s="456"/>
      <c r="O9" s="457"/>
      <c r="P9" s="454"/>
      <c r="Q9" s="455"/>
      <c r="R9" s="456"/>
      <c r="S9" s="456"/>
      <c r="T9" s="456"/>
      <c r="U9" s="457"/>
      <c r="V9" s="454"/>
      <c r="W9" s="455"/>
      <c r="X9" s="456"/>
      <c r="Y9" s="456"/>
      <c r="Z9" s="456"/>
      <c r="AA9" s="457"/>
      <c r="AB9" s="454"/>
      <c r="AC9" s="455"/>
      <c r="AD9" s="456"/>
      <c r="AE9" s="456"/>
      <c r="AF9" s="456"/>
      <c r="AG9" s="457"/>
      <c r="AH9" s="466"/>
      <c r="AI9" s="464"/>
      <c r="AJ9" s="464"/>
      <c r="AK9" s="464"/>
      <c r="AL9" s="464"/>
      <c r="AM9" s="465"/>
      <c r="AN9" s="72"/>
      <c r="AO9" s="488"/>
      <c r="AP9" s="489"/>
      <c r="AQ9" s="489"/>
      <c r="AR9" s="489"/>
      <c r="AS9" s="489"/>
      <c r="AT9" s="490"/>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row>
    <row r="10" spans="1:99" ht="15" customHeight="1" x14ac:dyDescent="0.25">
      <c r="A10" s="72"/>
      <c r="B10" s="521"/>
      <c r="C10" s="521"/>
      <c r="D10" s="522"/>
      <c r="E10" s="477"/>
      <c r="F10" s="478"/>
      <c r="G10" s="478"/>
      <c r="H10" s="478"/>
      <c r="I10" s="479"/>
      <c r="J10" s="454" t="e">
        <f>IF(AND('Mapa final'!#REF!="Muy Alta",'Mapa final'!#REF!="Leve"),CONCATENATE("R",'Mapa final'!#REF!),"")</f>
        <v>#REF!</v>
      </c>
      <c r="K10" s="455"/>
      <c r="L10" s="456" t="e">
        <f>IF(AND('Mapa final'!#REF!="Muy Alta",'Mapa final'!#REF!="Leve"),CONCATENATE("R",'Mapa final'!#REF!),"")</f>
        <v>#REF!</v>
      </c>
      <c r="M10" s="456"/>
      <c r="N10" s="456" t="e">
        <f>IF(AND('Mapa final'!#REF!="Muy Alta",'Mapa final'!#REF!="Leve"),CONCATENATE("R",'Mapa final'!#REF!),"")</f>
        <v>#REF!</v>
      </c>
      <c r="O10" s="457"/>
      <c r="P10" s="454" t="e">
        <f>IF(AND('Mapa final'!#REF!="Muy Alta",'Mapa final'!#REF!="Menor"),CONCATENATE("R",'Mapa final'!#REF!),"")</f>
        <v>#REF!</v>
      </c>
      <c r="Q10" s="455"/>
      <c r="R10" s="456" t="e">
        <f>IF(AND('Mapa final'!#REF!="Muy Alta",'Mapa final'!#REF!="Menor"),CONCATENATE("R",'Mapa final'!#REF!),"")</f>
        <v>#REF!</v>
      </c>
      <c r="S10" s="456"/>
      <c r="T10" s="456" t="e">
        <f>IF(AND('Mapa final'!#REF!="Muy Alta",'Mapa final'!#REF!="Menor"),CONCATENATE("R",'Mapa final'!#REF!),"")</f>
        <v>#REF!</v>
      </c>
      <c r="U10" s="457"/>
      <c r="V10" s="454" t="e">
        <f>IF(AND('Mapa final'!#REF!="Muy Alta",'Mapa final'!#REF!="Moderado"),CONCATENATE("R",'Mapa final'!#REF!),"")</f>
        <v>#REF!</v>
      </c>
      <c r="W10" s="455"/>
      <c r="X10" s="456" t="e">
        <f>IF(AND('Mapa final'!#REF!="Muy Alta",'Mapa final'!#REF!="Moderado"),CONCATENATE("R",'Mapa final'!#REF!),"")</f>
        <v>#REF!</v>
      </c>
      <c r="Y10" s="456"/>
      <c r="Z10" s="456" t="e">
        <f>IF(AND('Mapa final'!#REF!="Muy Alta",'Mapa final'!#REF!="Moderado"),CONCATENATE("R",'Mapa final'!#REF!),"")</f>
        <v>#REF!</v>
      </c>
      <c r="AA10" s="457"/>
      <c r="AB10" s="454" t="e">
        <f>IF(AND('Mapa final'!#REF!="Muy Alta",'Mapa final'!#REF!="Mayor"),CONCATENATE("R",'Mapa final'!#REF!),"")</f>
        <v>#REF!</v>
      </c>
      <c r="AC10" s="455"/>
      <c r="AD10" s="456" t="e">
        <f>IF(AND('Mapa final'!#REF!="Muy Alta",'Mapa final'!#REF!="Mayor"),CONCATENATE("R",'Mapa final'!#REF!),"")</f>
        <v>#REF!</v>
      </c>
      <c r="AE10" s="456"/>
      <c r="AF10" s="456" t="e">
        <f>IF(AND('Mapa final'!#REF!="Muy Alta",'Mapa final'!#REF!="Mayor"),CONCATENATE("R",'Mapa final'!#REF!),"")</f>
        <v>#REF!</v>
      </c>
      <c r="AG10" s="457"/>
      <c r="AH10" s="466" t="e">
        <f>IF(AND('Mapa final'!#REF!="Muy Alta",'Mapa final'!#REF!="Catastrófico"),CONCATENATE("R",'Mapa final'!#REF!),"")</f>
        <v>#REF!</v>
      </c>
      <c r="AI10" s="464"/>
      <c r="AJ10" s="464" t="e">
        <f>IF(AND('Mapa final'!#REF!="Muy Alta",'Mapa final'!#REF!="Catastrófico"),CONCATENATE("R",'Mapa final'!#REF!),"")</f>
        <v>#REF!</v>
      </c>
      <c r="AK10" s="464"/>
      <c r="AL10" s="464" t="e">
        <f>IF(AND('Mapa final'!#REF!="Muy Alta",'Mapa final'!#REF!="Catastrófico"),CONCATENATE("R",'Mapa final'!#REF!),"")</f>
        <v>#REF!</v>
      </c>
      <c r="AM10" s="465"/>
      <c r="AN10" s="72"/>
      <c r="AO10" s="488"/>
      <c r="AP10" s="489"/>
      <c r="AQ10" s="489"/>
      <c r="AR10" s="489"/>
      <c r="AS10" s="489"/>
      <c r="AT10" s="490"/>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row>
    <row r="11" spans="1:99" ht="15" customHeight="1" x14ac:dyDescent="0.25">
      <c r="A11" s="72"/>
      <c r="B11" s="521"/>
      <c r="C11" s="521"/>
      <c r="D11" s="522"/>
      <c r="E11" s="477"/>
      <c r="F11" s="478"/>
      <c r="G11" s="478"/>
      <c r="H11" s="478"/>
      <c r="I11" s="479"/>
      <c r="J11" s="454"/>
      <c r="K11" s="455"/>
      <c r="L11" s="456"/>
      <c r="M11" s="456"/>
      <c r="N11" s="456"/>
      <c r="O11" s="457"/>
      <c r="P11" s="454"/>
      <c r="Q11" s="455"/>
      <c r="R11" s="456"/>
      <c r="S11" s="456"/>
      <c r="T11" s="456"/>
      <c r="U11" s="457"/>
      <c r="V11" s="454"/>
      <c r="W11" s="455"/>
      <c r="X11" s="456"/>
      <c r="Y11" s="456"/>
      <c r="Z11" s="456"/>
      <c r="AA11" s="457"/>
      <c r="AB11" s="454"/>
      <c r="AC11" s="455"/>
      <c r="AD11" s="456"/>
      <c r="AE11" s="456"/>
      <c r="AF11" s="456"/>
      <c r="AG11" s="457"/>
      <c r="AH11" s="466"/>
      <c r="AI11" s="464"/>
      <c r="AJ11" s="464"/>
      <c r="AK11" s="464"/>
      <c r="AL11" s="464"/>
      <c r="AM11" s="465"/>
      <c r="AN11" s="72"/>
      <c r="AO11" s="488"/>
      <c r="AP11" s="489"/>
      <c r="AQ11" s="489"/>
      <c r="AR11" s="489"/>
      <c r="AS11" s="489"/>
      <c r="AT11" s="490"/>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row>
    <row r="12" spans="1:99" ht="15" customHeight="1" x14ac:dyDescent="0.25">
      <c r="A12" s="72"/>
      <c r="B12" s="521"/>
      <c r="C12" s="521"/>
      <c r="D12" s="522"/>
      <c r="E12" s="477"/>
      <c r="F12" s="478"/>
      <c r="G12" s="478"/>
      <c r="H12" s="478"/>
      <c r="I12" s="479"/>
      <c r="J12" s="454" t="e">
        <f>IF(AND('Mapa final'!#REF!="Muy Alta",'Mapa final'!#REF!="Leve"),CONCATENATE("R",'Mapa final'!#REF!),"")</f>
        <v>#REF!</v>
      </c>
      <c r="K12" s="455"/>
      <c r="L12" s="456" t="str">
        <f>IF(AND('Mapa final'!$J$535="Muy Alta",'Mapa final'!$N$535="Leve"),CONCATENATE("R",'Mapa final'!$A$535),"")</f>
        <v/>
      </c>
      <c r="M12" s="456"/>
      <c r="N12" s="456" t="str">
        <f>IF(AND('Mapa final'!$J$541="Muy Alta",'Mapa final'!$N$541="Leve"),CONCATENATE("R",'Mapa final'!$A$541),"")</f>
        <v/>
      </c>
      <c r="O12" s="457"/>
      <c r="P12" s="454" t="e">
        <f>IF(AND('Mapa final'!#REF!="Muy Alta",'Mapa final'!#REF!="Menor"),CONCATENATE("R",'Mapa final'!#REF!),"")</f>
        <v>#REF!</v>
      </c>
      <c r="Q12" s="455"/>
      <c r="R12" s="456" t="str">
        <f>IF(AND('Mapa final'!$J$535="Muy Alta",'Mapa final'!$N$535="Menor"),CONCATENATE("R",'Mapa final'!$A$535),"")</f>
        <v/>
      </c>
      <c r="S12" s="456"/>
      <c r="T12" s="456" t="str">
        <f>IF(AND('Mapa final'!$J$541="Muy Alta",'Mapa final'!$N$541="Menor"),CONCATENATE("R",'Mapa final'!$A$541),"")</f>
        <v/>
      </c>
      <c r="U12" s="457"/>
      <c r="V12" s="454" t="e">
        <f>IF(AND('Mapa final'!#REF!="Muy Alta",'Mapa final'!#REF!="Moderado"),CONCATENATE("R",'Mapa final'!#REF!),"")</f>
        <v>#REF!</v>
      </c>
      <c r="W12" s="455"/>
      <c r="X12" s="456" t="str">
        <f>IF(AND('Mapa final'!$J$535="Muy Alta",'Mapa final'!$N$535="Moderado"),CONCATENATE("R",'Mapa final'!$A$535),"")</f>
        <v/>
      </c>
      <c r="Y12" s="456"/>
      <c r="Z12" s="456" t="str">
        <f>IF(AND('Mapa final'!$J$541="Muy Alta",'Mapa final'!$N$541="Moderado"),CONCATENATE("R",'Mapa final'!$A$541),"")</f>
        <v/>
      </c>
      <c r="AA12" s="457"/>
      <c r="AB12" s="454" t="e">
        <f>IF(AND('Mapa final'!#REF!="Muy Alta",'Mapa final'!#REF!="Mayor"),CONCATENATE("R",'Mapa final'!#REF!),"")</f>
        <v>#REF!</v>
      </c>
      <c r="AC12" s="455"/>
      <c r="AD12" s="456" t="str">
        <f>IF(AND('Mapa final'!$J$535="Muy Alta",'Mapa final'!$N$535="Mayor"),CONCATENATE("R",'Mapa final'!$A$535),"")</f>
        <v/>
      </c>
      <c r="AE12" s="456"/>
      <c r="AF12" s="456" t="str">
        <f>IF(AND('Mapa final'!$J$541="Muy Alta",'Mapa final'!$N$541="Mayor"),CONCATENATE("R",'Mapa final'!$A$541),"")</f>
        <v/>
      </c>
      <c r="AG12" s="457"/>
      <c r="AH12" s="466" t="e">
        <f>IF(AND('Mapa final'!#REF!="Muy Alta",'Mapa final'!#REF!="Catastrófico"),CONCATENATE("R",'Mapa final'!#REF!),"")</f>
        <v>#REF!</v>
      </c>
      <c r="AI12" s="464"/>
      <c r="AJ12" s="464" t="str">
        <f>IF(AND('Mapa final'!$J$535="Muy Alta",'Mapa final'!$N$535="Catastrófico"),CONCATENATE("R",'Mapa final'!$A$535),"")</f>
        <v/>
      </c>
      <c r="AK12" s="464"/>
      <c r="AL12" s="464" t="str">
        <f>IF(AND('Mapa final'!$J$541="Muy Alta",'Mapa final'!$N$541="Catastrófico"),CONCATENATE("R",'Mapa final'!$A$541),"")</f>
        <v/>
      </c>
      <c r="AM12" s="465"/>
      <c r="AN12" s="72"/>
      <c r="AO12" s="488"/>
      <c r="AP12" s="489"/>
      <c r="AQ12" s="489"/>
      <c r="AR12" s="489"/>
      <c r="AS12" s="489"/>
      <c r="AT12" s="490"/>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row>
    <row r="13" spans="1:99" ht="15.75" customHeight="1" thickBot="1" x14ac:dyDescent="0.3">
      <c r="A13" s="72"/>
      <c r="B13" s="521"/>
      <c r="C13" s="521"/>
      <c r="D13" s="522"/>
      <c r="E13" s="480"/>
      <c r="F13" s="481"/>
      <c r="G13" s="481"/>
      <c r="H13" s="481"/>
      <c r="I13" s="482"/>
      <c r="J13" s="454"/>
      <c r="K13" s="455"/>
      <c r="L13" s="455"/>
      <c r="M13" s="455"/>
      <c r="N13" s="455"/>
      <c r="O13" s="457"/>
      <c r="P13" s="454"/>
      <c r="Q13" s="455"/>
      <c r="R13" s="455"/>
      <c r="S13" s="455"/>
      <c r="T13" s="455"/>
      <c r="U13" s="457"/>
      <c r="V13" s="454"/>
      <c r="W13" s="455"/>
      <c r="X13" s="455"/>
      <c r="Y13" s="455"/>
      <c r="Z13" s="455"/>
      <c r="AA13" s="457"/>
      <c r="AB13" s="454"/>
      <c r="AC13" s="455"/>
      <c r="AD13" s="455"/>
      <c r="AE13" s="455"/>
      <c r="AF13" s="455"/>
      <c r="AG13" s="457"/>
      <c r="AH13" s="467"/>
      <c r="AI13" s="468"/>
      <c r="AJ13" s="468"/>
      <c r="AK13" s="468"/>
      <c r="AL13" s="468"/>
      <c r="AM13" s="469"/>
      <c r="AN13" s="72"/>
      <c r="AO13" s="491"/>
      <c r="AP13" s="492"/>
      <c r="AQ13" s="492"/>
      <c r="AR13" s="492"/>
      <c r="AS13" s="492"/>
      <c r="AT13" s="493"/>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row>
    <row r="14" spans="1:99" ht="15" customHeight="1" x14ac:dyDescent="0.25">
      <c r="A14" s="72"/>
      <c r="B14" s="521"/>
      <c r="C14" s="521"/>
      <c r="D14" s="522"/>
      <c r="E14" s="474" t="s">
        <v>113</v>
      </c>
      <c r="F14" s="475"/>
      <c r="G14" s="475"/>
      <c r="H14" s="475"/>
      <c r="I14" s="475"/>
      <c r="J14" s="451" t="str">
        <f>IF(AND('Mapa final'!$J$13="Alta",'Mapa final'!$N$13="Leve"),CONCATENATE("R",'Mapa final'!$A$13),"")</f>
        <v>R1</v>
      </c>
      <c r="K14" s="452"/>
      <c r="L14" s="452" t="e">
        <f>IF(AND('Mapa final'!#REF!="Alta",'Mapa final'!#REF!="Leve"),CONCATENATE("R",'Mapa final'!#REF!),"")</f>
        <v>#REF!</v>
      </c>
      <c r="M14" s="452"/>
      <c r="N14" s="452" t="e">
        <f>IF(AND('Mapa final'!#REF!="Alta",'Mapa final'!#REF!="Leve"),CONCATENATE("R",'Mapa final'!#REF!),"")</f>
        <v>#REF!</v>
      </c>
      <c r="O14" s="453"/>
      <c r="P14" s="451" t="str">
        <f>IF(AND('Mapa final'!$J$13="Alta",'Mapa final'!$N$13="Menor"),CONCATENATE("R",'Mapa final'!$A$13),"")</f>
        <v/>
      </c>
      <c r="Q14" s="452"/>
      <c r="R14" s="452" t="e">
        <f>IF(AND('Mapa final'!#REF!="Alta",'Mapa final'!#REF!="Menor"),CONCATENATE("R",'Mapa final'!#REF!),"")</f>
        <v>#REF!</v>
      </c>
      <c r="S14" s="452"/>
      <c r="T14" s="452" t="e">
        <f>IF(AND('Mapa final'!#REF!="Alta",'Mapa final'!#REF!="Menor"),CONCATENATE("R",'Mapa final'!#REF!),"")</f>
        <v>#REF!</v>
      </c>
      <c r="U14" s="453"/>
      <c r="V14" s="461" t="str">
        <f>IF(AND('Mapa final'!$J$13="Alta",'Mapa final'!$N$13="Moderado"),CONCATENATE("R",'Mapa final'!$A$13),"")</f>
        <v/>
      </c>
      <c r="W14" s="462"/>
      <c r="X14" s="462" t="e">
        <f>IF(AND('Mapa final'!#REF!="Alta",'Mapa final'!#REF!="Moderado"),CONCATENATE("R",'Mapa final'!#REF!),"")</f>
        <v>#REF!</v>
      </c>
      <c r="Y14" s="462"/>
      <c r="Z14" s="462" t="e">
        <f>IF(AND('Mapa final'!#REF!="Alta",'Mapa final'!#REF!="Moderado"),CONCATENATE("R",'Mapa final'!#REF!),"")</f>
        <v>#REF!</v>
      </c>
      <c r="AA14" s="463"/>
      <c r="AB14" s="461" t="str">
        <f>IF(AND('Mapa final'!$J$13="Alta",'Mapa final'!$N$13="Mayor"),CONCATENATE("R",'Mapa final'!$A$13),"")</f>
        <v/>
      </c>
      <c r="AC14" s="462"/>
      <c r="AD14" s="462" t="e">
        <f>IF(AND('Mapa final'!#REF!="Alta",'Mapa final'!#REF!="Mayor"),CONCATENATE("R",'Mapa final'!#REF!),"")</f>
        <v>#REF!</v>
      </c>
      <c r="AE14" s="462"/>
      <c r="AF14" s="462" t="e">
        <f>IF(AND('Mapa final'!#REF!="Alta",'Mapa final'!#REF!="Mayor"),CONCATENATE("R",'Mapa final'!#REF!),"")</f>
        <v>#REF!</v>
      </c>
      <c r="AG14" s="463"/>
      <c r="AH14" s="470" t="str">
        <f>IF(AND('Mapa final'!$J$13="Alta",'Mapa final'!$N$13="Catastrófico"),CONCATENATE("R",'Mapa final'!$A$13),"")</f>
        <v/>
      </c>
      <c r="AI14" s="471"/>
      <c r="AJ14" s="471" t="e">
        <f>IF(AND('Mapa final'!#REF!="Alta",'Mapa final'!#REF!="Catastrófico"),CONCATENATE("R",'Mapa final'!#REF!),"")</f>
        <v>#REF!</v>
      </c>
      <c r="AK14" s="471"/>
      <c r="AL14" s="471" t="e">
        <f>IF(AND('Mapa final'!#REF!="Alta",'Mapa final'!#REF!="Catastrófico"),CONCATENATE("R",'Mapa final'!#REF!),"")</f>
        <v>#REF!</v>
      </c>
      <c r="AM14" s="472"/>
      <c r="AN14" s="72"/>
      <c r="AO14" s="494" t="s">
        <v>80</v>
      </c>
      <c r="AP14" s="495"/>
      <c r="AQ14" s="495"/>
      <c r="AR14" s="495"/>
      <c r="AS14" s="495"/>
      <c r="AT14" s="496"/>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row>
    <row r="15" spans="1:99" ht="15" customHeight="1" x14ac:dyDescent="0.25">
      <c r="A15" s="72"/>
      <c r="B15" s="521"/>
      <c r="C15" s="521"/>
      <c r="D15" s="522"/>
      <c r="E15" s="477"/>
      <c r="F15" s="478"/>
      <c r="G15" s="478"/>
      <c r="H15" s="478"/>
      <c r="I15" s="483"/>
      <c r="J15" s="445"/>
      <c r="K15" s="446"/>
      <c r="L15" s="446"/>
      <c r="M15" s="446"/>
      <c r="N15" s="446"/>
      <c r="O15" s="447"/>
      <c r="P15" s="445"/>
      <c r="Q15" s="446"/>
      <c r="R15" s="446"/>
      <c r="S15" s="446"/>
      <c r="T15" s="446"/>
      <c r="U15" s="447"/>
      <c r="V15" s="454"/>
      <c r="W15" s="455"/>
      <c r="X15" s="455"/>
      <c r="Y15" s="455"/>
      <c r="Z15" s="455"/>
      <c r="AA15" s="457"/>
      <c r="AB15" s="454"/>
      <c r="AC15" s="455"/>
      <c r="AD15" s="455"/>
      <c r="AE15" s="455"/>
      <c r="AF15" s="455"/>
      <c r="AG15" s="457"/>
      <c r="AH15" s="466"/>
      <c r="AI15" s="464"/>
      <c r="AJ15" s="464"/>
      <c r="AK15" s="464"/>
      <c r="AL15" s="464"/>
      <c r="AM15" s="465"/>
      <c r="AN15" s="72"/>
      <c r="AO15" s="497"/>
      <c r="AP15" s="498"/>
      <c r="AQ15" s="498"/>
      <c r="AR15" s="498"/>
      <c r="AS15" s="498"/>
      <c r="AT15" s="499"/>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row>
    <row r="16" spans="1:99" ht="15" customHeight="1" x14ac:dyDescent="0.25">
      <c r="A16" s="72"/>
      <c r="B16" s="521"/>
      <c r="C16" s="521"/>
      <c r="D16" s="522"/>
      <c r="E16" s="477"/>
      <c r="F16" s="478"/>
      <c r="G16" s="478"/>
      <c r="H16" s="478"/>
      <c r="I16" s="483"/>
      <c r="J16" s="445" t="e">
        <f>IF(AND('Mapa final'!#REF!="Alta",'Mapa final'!#REF!="Leve"),CONCATENATE("R",'Mapa final'!#REF!),"")</f>
        <v>#REF!</v>
      </c>
      <c r="K16" s="446"/>
      <c r="L16" s="446" t="e">
        <f>IF(AND('Mapa final'!#REF!="Alta",'Mapa final'!#REF!="Leve"),CONCATENATE("R",'Mapa final'!#REF!),"")</f>
        <v>#REF!</v>
      </c>
      <c r="M16" s="446"/>
      <c r="N16" s="446" t="e">
        <f>IF(AND('Mapa final'!#REF!="Alta",'Mapa final'!#REF!="Leve"),CONCATENATE("R",'Mapa final'!#REF!),"")</f>
        <v>#REF!</v>
      </c>
      <c r="O16" s="447"/>
      <c r="P16" s="445" t="e">
        <f>IF(AND('Mapa final'!#REF!="Alta",'Mapa final'!#REF!="Menor"),CONCATENATE("R",'Mapa final'!#REF!),"")</f>
        <v>#REF!</v>
      </c>
      <c r="Q16" s="446"/>
      <c r="R16" s="446" t="e">
        <f>IF(AND('Mapa final'!#REF!="Alta",'Mapa final'!#REF!="Menor"),CONCATENATE("R",'Mapa final'!#REF!),"")</f>
        <v>#REF!</v>
      </c>
      <c r="S16" s="446"/>
      <c r="T16" s="446" t="e">
        <f>IF(AND('Mapa final'!#REF!="Alta",'Mapa final'!#REF!="Menor"),CONCATENATE("R",'Mapa final'!#REF!),"")</f>
        <v>#REF!</v>
      </c>
      <c r="U16" s="447"/>
      <c r="V16" s="454" t="e">
        <f>IF(AND('Mapa final'!#REF!="Alta",'Mapa final'!#REF!="Moderado"),CONCATENATE("R",'Mapa final'!#REF!),"")</f>
        <v>#REF!</v>
      </c>
      <c r="W16" s="455"/>
      <c r="X16" s="456" t="e">
        <f>IF(AND('Mapa final'!#REF!="Alta",'Mapa final'!#REF!="Moderado"),CONCATENATE("R",'Mapa final'!#REF!),"")</f>
        <v>#REF!</v>
      </c>
      <c r="Y16" s="456"/>
      <c r="Z16" s="456" t="e">
        <f>IF(AND('Mapa final'!#REF!="Alta",'Mapa final'!#REF!="Moderado"),CONCATENATE("R",'Mapa final'!#REF!),"")</f>
        <v>#REF!</v>
      </c>
      <c r="AA16" s="457"/>
      <c r="AB16" s="454" t="e">
        <f>IF(AND('Mapa final'!#REF!="Alta",'Mapa final'!#REF!="Mayor"),CONCATENATE("R",'Mapa final'!#REF!),"")</f>
        <v>#REF!</v>
      </c>
      <c r="AC16" s="455"/>
      <c r="AD16" s="456" t="e">
        <f>IF(AND('Mapa final'!#REF!="Alta",'Mapa final'!#REF!="Mayor"),CONCATENATE("R",'Mapa final'!#REF!),"")</f>
        <v>#REF!</v>
      </c>
      <c r="AE16" s="456"/>
      <c r="AF16" s="456" t="e">
        <f>IF(AND('Mapa final'!#REF!="Alta",'Mapa final'!#REF!="Mayor"),CONCATENATE("R",'Mapa final'!#REF!),"")</f>
        <v>#REF!</v>
      </c>
      <c r="AG16" s="457"/>
      <c r="AH16" s="466" t="e">
        <f>IF(AND('Mapa final'!#REF!="Alta",'Mapa final'!#REF!="Catastrófico"),CONCATENATE("R",'Mapa final'!#REF!),"")</f>
        <v>#REF!</v>
      </c>
      <c r="AI16" s="464"/>
      <c r="AJ16" s="464" t="e">
        <f>IF(AND('Mapa final'!#REF!="Alta",'Mapa final'!#REF!="Catastrófico"),CONCATENATE("R",'Mapa final'!#REF!),"")</f>
        <v>#REF!</v>
      </c>
      <c r="AK16" s="464"/>
      <c r="AL16" s="464" t="e">
        <f>IF(AND('Mapa final'!#REF!="Alta",'Mapa final'!#REF!="Catastrófico"),CONCATENATE("R",'Mapa final'!#REF!),"")</f>
        <v>#REF!</v>
      </c>
      <c r="AM16" s="465"/>
      <c r="AN16" s="72"/>
      <c r="AO16" s="497"/>
      <c r="AP16" s="498"/>
      <c r="AQ16" s="498"/>
      <c r="AR16" s="498"/>
      <c r="AS16" s="498"/>
      <c r="AT16" s="499"/>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row>
    <row r="17" spans="1:80" ht="15" customHeight="1" x14ac:dyDescent="0.25">
      <c r="A17" s="72"/>
      <c r="B17" s="521"/>
      <c r="C17" s="521"/>
      <c r="D17" s="522"/>
      <c r="E17" s="477"/>
      <c r="F17" s="478"/>
      <c r="G17" s="478"/>
      <c r="H17" s="478"/>
      <c r="I17" s="483"/>
      <c r="J17" s="445"/>
      <c r="K17" s="446"/>
      <c r="L17" s="446"/>
      <c r="M17" s="446"/>
      <c r="N17" s="446"/>
      <c r="O17" s="447"/>
      <c r="P17" s="445"/>
      <c r="Q17" s="446"/>
      <c r="R17" s="446"/>
      <c r="S17" s="446"/>
      <c r="T17" s="446"/>
      <c r="U17" s="447"/>
      <c r="V17" s="454"/>
      <c r="W17" s="455"/>
      <c r="X17" s="456"/>
      <c r="Y17" s="456"/>
      <c r="Z17" s="456"/>
      <c r="AA17" s="457"/>
      <c r="AB17" s="454"/>
      <c r="AC17" s="455"/>
      <c r="AD17" s="456"/>
      <c r="AE17" s="456"/>
      <c r="AF17" s="456"/>
      <c r="AG17" s="457"/>
      <c r="AH17" s="466"/>
      <c r="AI17" s="464"/>
      <c r="AJ17" s="464"/>
      <c r="AK17" s="464"/>
      <c r="AL17" s="464"/>
      <c r="AM17" s="465"/>
      <c r="AN17" s="72"/>
      <c r="AO17" s="497"/>
      <c r="AP17" s="498"/>
      <c r="AQ17" s="498"/>
      <c r="AR17" s="498"/>
      <c r="AS17" s="498"/>
      <c r="AT17" s="499"/>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row>
    <row r="18" spans="1:80" ht="15" customHeight="1" x14ac:dyDescent="0.25">
      <c r="A18" s="72"/>
      <c r="B18" s="521"/>
      <c r="C18" s="521"/>
      <c r="D18" s="522"/>
      <c r="E18" s="477"/>
      <c r="F18" s="478"/>
      <c r="G18" s="478"/>
      <c r="H18" s="478"/>
      <c r="I18" s="483"/>
      <c r="J18" s="445" t="e">
        <f>IF(AND('Mapa final'!#REF!="Alta",'Mapa final'!#REF!="Leve"),CONCATENATE("R",'Mapa final'!#REF!),"")</f>
        <v>#REF!</v>
      </c>
      <c r="K18" s="446"/>
      <c r="L18" s="446" t="e">
        <f>IF(AND('Mapa final'!#REF!="Alta",'Mapa final'!#REF!="Leve"),CONCATENATE("R",'Mapa final'!#REF!),"")</f>
        <v>#REF!</v>
      </c>
      <c r="M18" s="446"/>
      <c r="N18" s="446" t="e">
        <f>IF(AND('Mapa final'!#REF!="Alta",'Mapa final'!#REF!="Leve"),CONCATENATE("R",'Mapa final'!#REF!),"")</f>
        <v>#REF!</v>
      </c>
      <c r="O18" s="447"/>
      <c r="P18" s="445" t="e">
        <f>IF(AND('Mapa final'!#REF!="Alta",'Mapa final'!#REF!="Menor"),CONCATENATE("R",'Mapa final'!#REF!),"")</f>
        <v>#REF!</v>
      </c>
      <c r="Q18" s="446"/>
      <c r="R18" s="446" t="e">
        <f>IF(AND('Mapa final'!#REF!="Alta",'Mapa final'!#REF!="Menor"),CONCATENATE("R",'Mapa final'!#REF!),"")</f>
        <v>#REF!</v>
      </c>
      <c r="S18" s="446"/>
      <c r="T18" s="446" t="e">
        <f>IF(AND('Mapa final'!#REF!="Alta",'Mapa final'!#REF!="Menor"),CONCATENATE("R",'Mapa final'!#REF!),"")</f>
        <v>#REF!</v>
      </c>
      <c r="U18" s="447"/>
      <c r="V18" s="454" t="e">
        <f>IF(AND('Mapa final'!#REF!="Alta",'Mapa final'!#REF!="Moderado"),CONCATENATE("R",'Mapa final'!#REF!),"")</f>
        <v>#REF!</v>
      </c>
      <c r="W18" s="455"/>
      <c r="X18" s="456" t="e">
        <f>IF(AND('Mapa final'!#REF!="Alta",'Mapa final'!#REF!="Moderado"),CONCATENATE("R",'Mapa final'!#REF!),"")</f>
        <v>#REF!</v>
      </c>
      <c r="Y18" s="456"/>
      <c r="Z18" s="456" t="e">
        <f>IF(AND('Mapa final'!#REF!="Alta",'Mapa final'!#REF!="Moderado"),CONCATENATE("R",'Mapa final'!#REF!),"")</f>
        <v>#REF!</v>
      </c>
      <c r="AA18" s="457"/>
      <c r="AB18" s="454" t="e">
        <f>IF(AND('Mapa final'!#REF!="Alta",'Mapa final'!#REF!="Mayor"),CONCATENATE("R",'Mapa final'!#REF!),"")</f>
        <v>#REF!</v>
      </c>
      <c r="AC18" s="455"/>
      <c r="AD18" s="456" t="e">
        <f>IF(AND('Mapa final'!#REF!="Alta",'Mapa final'!#REF!="Mayor"),CONCATENATE("R",'Mapa final'!#REF!),"")</f>
        <v>#REF!</v>
      </c>
      <c r="AE18" s="456"/>
      <c r="AF18" s="456" t="e">
        <f>IF(AND('Mapa final'!#REF!="Alta",'Mapa final'!#REF!="Mayor"),CONCATENATE("R",'Mapa final'!#REF!),"")</f>
        <v>#REF!</v>
      </c>
      <c r="AG18" s="457"/>
      <c r="AH18" s="466" t="e">
        <f>IF(AND('Mapa final'!#REF!="Alta",'Mapa final'!#REF!="Catastrófico"),CONCATENATE("R",'Mapa final'!#REF!),"")</f>
        <v>#REF!</v>
      </c>
      <c r="AI18" s="464"/>
      <c r="AJ18" s="464" t="e">
        <f>IF(AND('Mapa final'!#REF!="Alta",'Mapa final'!#REF!="Catastrófico"),CONCATENATE("R",'Mapa final'!#REF!),"")</f>
        <v>#REF!</v>
      </c>
      <c r="AK18" s="464"/>
      <c r="AL18" s="464" t="e">
        <f>IF(AND('Mapa final'!#REF!="Alta",'Mapa final'!#REF!="Catastrófico"),CONCATENATE("R",'Mapa final'!#REF!),"")</f>
        <v>#REF!</v>
      </c>
      <c r="AM18" s="465"/>
      <c r="AN18" s="72"/>
      <c r="AO18" s="497"/>
      <c r="AP18" s="498"/>
      <c r="AQ18" s="498"/>
      <c r="AR18" s="498"/>
      <c r="AS18" s="498"/>
      <c r="AT18" s="499"/>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row>
    <row r="19" spans="1:80" ht="15" customHeight="1" x14ac:dyDescent="0.25">
      <c r="A19" s="72"/>
      <c r="B19" s="521"/>
      <c r="C19" s="521"/>
      <c r="D19" s="522"/>
      <c r="E19" s="477"/>
      <c r="F19" s="478"/>
      <c r="G19" s="478"/>
      <c r="H19" s="478"/>
      <c r="I19" s="483"/>
      <c r="J19" s="445"/>
      <c r="K19" s="446"/>
      <c r="L19" s="446"/>
      <c r="M19" s="446"/>
      <c r="N19" s="446"/>
      <c r="O19" s="447"/>
      <c r="P19" s="445"/>
      <c r="Q19" s="446"/>
      <c r="R19" s="446"/>
      <c r="S19" s="446"/>
      <c r="T19" s="446"/>
      <c r="U19" s="447"/>
      <c r="V19" s="454"/>
      <c r="W19" s="455"/>
      <c r="X19" s="456"/>
      <c r="Y19" s="456"/>
      <c r="Z19" s="456"/>
      <c r="AA19" s="457"/>
      <c r="AB19" s="454"/>
      <c r="AC19" s="455"/>
      <c r="AD19" s="456"/>
      <c r="AE19" s="456"/>
      <c r="AF19" s="456"/>
      <c r="AG19" s="457"/>
      <c r="AH19" s="466"/>
      <c r="AI19" s="464"/>
      <c r="AJ19" s="464"/>
      <c r="AK19" s="464"/>
      <c r="AL19" s="464"/>
      <c r="AM19" s="465"/>
      <c r="AN19" s="72"/>
      <c r="AO19" s="497"/>
      <c r="AP19" s="498"/>
      <c r="AQ19" s="498"/>
      <c r="AR19" s="498"/>
      <c r="AS19" s="498"/>
      <c r="AT19" s="499"/>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row>
    <row r="20" spans="1:80" ht="15" customHeight="1" x14ac:dyDescent="0.25">
      <c r="A20" s="72"/>
      <c r="B20" s="521"/>
      <c r="C20" s="521"/>
      <c r="D20" s="522"/>
      <c r="E20" s="477"/>
      <c r="F20" s="478"/>
      <c r="G20" s="478"/>
      <c r="H20" s="478"/>
      <c r="I20" s="483"/>
      <c r="J20" s="445" t="e">
        <f>IF(AND('Mapa final'!#REF!="Alta",'Mapa final'!#REF!="Leve"),CONCATENATE("R",'Mapa final'!#REF!),"")</f>
        <v>#REF!</v>
      </c>
      <c r="K20" s="446"/>
      <c r="L20" s="446" t="str">
        <f>IF(AND('Mapa final'!$J$535="Alta",'Mapa final'!$N$535="Leve"),CONCATENATE("R",'Mapa final'!$A$535),"")</f>
        <v/>
      </c>
      <c r="M20" s="446"/>
      <c r="N20" s="446" t="str">
        <f>IF(AND('Mapa final'!$J$541="Alta",'Mapa final'!$N$541="Leve"),CONCATENATE("R",'Mapa final'!$A$541),"")</f>
        <v/>
      </c>
      <c r="O20" s="447"/>
      <c r="P20" s="445" t="e">
        <f>IF(AND('Mapa final'!#REF!="Alta",'Mapa final'!#REF!="Menor"),CONCATENATE("R",'Mapa final'!#REF!),"")</f>
        <v>#REF!</v>
      </c>
      <c r="Q20" s="446"/>
      <c r="R20" s="446" t="str">
        <f>IF(AND('Mapa final'!$J$535="Alta",'Mapa final'!$N$535="Menor"),CONCATENATE("R",'Mapa final'!$A$535),"")</f>
        <v/>
      </c>
      <c r="S20" s="446"/>
      <c r="T20" s="446" t="str">
        <f>IF(AND('Mapa final'!$J$541="Alta",'Mapa final'!$N$541="Menor"),CONCATENATE("R",'Mapa final'!$A$541),"")</f>
        <v/>
      </c>
      <c r="U20" s="447"/>
      <c r="V20" s="454" t="e">
        <f>IF(AND('Mapa final'!#REF!="Alta",'Mapa final'!#REF!="Moderado"),CONCATENATE("R",'Mapa final'!#REF!),"")</f>
        <v>#REF!</v>
      </c>
      <c r="W20" s="455"/>
      <c r="X20" s="456" t="str">
        <f>IF(AND('Mapa final'!$J$535="Alta",'Mapa final'!$N$535="Moderado"),CONCATENATE("R",'Mapa final'!$A$535),"")</f>
        <v/>
      </c>
      <c r="Y20" s="456"/>
      <c r="Z20" s="456" t="str">
        <f>IF(AND('Mapa final'!$J$541="Alta",'Mapa final'!$N$541="Moderado"),CONCATENATE("R",'Mapa final'!$A$541),"")</f>
        <v/>
      </c>
      <c r="AA20" s="457"/>
      <c r="AB20" s="454" t="e">
        <f>IF(AND('Mapa final'!#REF!="Alta",'Mapa final'!#REF!="Mayor"),CONCATENATE("R",'Mapa final'!#REF!),"")</f>
        <v>#REF!</v>
      </c>
      <c r="AC20" s="455"/>
      <c r="AD20" s="456" t="str">
        <f>IF(AND('Mapa final'!$J$535="Alta",'Mapa final'!$N$535="Mayor"),CONCATENATE("R",'Mapa final'!$A$535),"")</f>
        <v/>
      </c>
      <c r="AE20" s="456"/>
      <c r="AF20" s="456" t="str">
        <f>IF(AND('Mapa final'!$J$541="Alta",'Mapa final'!$N$541="Mayor"),CONCATENATE("R",'Mapa final'!$A$541),"")</f>
        <v/>
      </c>
      <c r="AG20" s="457"/>
      <c r="AH20" s="466" t="e">
        <f>IF(AND('Mapa final'!#REF!="Alta",'Mapa final'!#REF!="Catastrófico"),CONCATENATE("R",'Mapa final'!#REF!),"")</f>
        <v>#REF!</v>
      </c>
      <c r="AI20" s="464"/>
      <c r="AJ20" s="464" t="str">
        <f>IF(AND('Mapa final'!$J$535="Alta",'Mapa final'!$N$535="Catastrófico"),CONCATENATE("R",'Mapa final'!$A$535),"")</f>
        <v/>
      </c>
      <c r="AK20" s="464"/>
      <c r="AL20" s="464" t="str">
        <f>IF(AND('Mapa final'!$J$541="Alta",'Mapa final'!$N$541="Catastrófico"),CONCATENATE("R",'Mapa final'!$A$541),"")</f>
        <v/>
      </c>
      <c r="AM20" s="465"/>
      <c r="AN20" s="72"/>
      <c r="AO20" s="497"/>
      <c r="AP20" s="498"/>
      <c r="AQ20" s="498"/>
      <c r="AR20" s="498"/>
      <c r="AS20" s="498"/>
      <c r="AT20" s="499"/>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row>
    <row r="21" spans="1:80" ht="15.75" customHeight="1" thickBot="1" x14ac:dyDescent="0.3">
      <c r="A21" s="72"/>
      <c r="B21" s="521"/>
      <c r="C21" s="521"/>
      <c r="D21" s="522"/>
      <c r="E21" s="480"/>
      <c r="F21" s="481"/>
      <c r="G21" s="481"/>
      <c r="H21" s="481"/>
      <c r="I21" s="481"/>
      <c r="J21" s="448"/>
      <c r="K21" s="449"/>
      <c r="L21" s="449"/>
      <c r="M21" s="449"/>
      <c r="N21" s="449"/>
      <c r="O21" s="450"/>
      <c r="P21" s="448"/>
      <c r="Q21" s="449"/>
      <c r="R21" s="449"/>
      <c r="S21" s="449"/>
      <c r="T21" s="449"/>
      <c r="U21" s="450"/>
      <c r="V21" s="458"/>
      <c r="W21" s="459"/>
      <c r="X21" s="459"/>
      <c r="Y21" s="459"/>
      <c r="Z21" s="459"/>
      <c r="AA21" s="460"/>
      <c r="AB21" s="458"/>
      <c r="AC21" s="459"/>
      <c r="AD21" s="459"/>
      <c r="AE21" s="459"/>
      <c r="AF21" s="459"/>
      <c r="AG21" s="460"/>
      <c r="AH21" s="467"/>
      <c r="AI21" s="468"/>
      <c r="AJ21" s="468"/>
      <c r="AK21" s="468"/>
      <c r="AL21" s="468"/>
      <c r="AM21" s="469"/>
      <c r="AN21" s="72"/>
      <c r="AO21" s="500"/>
      <c r="AP21" s="501"/>
      <c r="AQ21" s="501"/>
      <c r="AR21" s="501"/>
      <c r="AS21" s="501"/>
      <c r="AT21" s="50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row>
    <row r="22" spans="1:80" x14ac:dyDescent="0.25">
      <c r="A22" s="72"/>
      <c r="B22" s="521"/>
      <c r="C22" s="521"/>
      <c r="D22" s="522"/>
      <c r="E22" s="474" t="s">
        <v>115</v>
      </c>
      <c r="F22" s="475"/>
      <c r="G22" s="475"/>
      <c r="H22" s="475"/>
      <c r="I22" s="476"/>
      <c r="J22" s="451" t="str">
        <f>IF(AND('Mapa final'!$J$13="Media",'Mapa final'!$N$13="Leve"),CONCATENATE("R",'Mapa final'!$A$13),"")</f>
        <v/>
      </c>
      <c r="K22" s="452"/>
      <c r="L22" s="452" t="e">
        <f>IF(AND('Mapa final'!#REF!="Media",'Mapa final'!#REF!="Leve"),CONCATENATE("R",'Mapa final'!#REF!),"")</f>
        <v>#REF!</v>
      </c>
      <c r="M22" s="452"/>
      <c r="N22" s="452" t="e">
        <f>IF(AND('Mapa final'!#REF!="Media",'Mapa final'!#REF!="Leve"),CONCATENATE("R",'Mapa final'!#REF!),"")</f>
        <v>#REF!</v>
      </c>
      <c r="O22" s="453"/>
      <c r="P22" s="451" t="str">
        <f>IF(AND('Mapa final'!$J$13="Media",'Mapa final'!$N$13="Menor"),CONCATENATE("R",'Mapa final'!$A$13),"")</f>
        <v/>
      </c>
      <c r="Q22" s="452"/>
      <c r="R22" s="452" t="e">
        <f>IF(AND('Mapa final'!#REF!="Media",'Mapa final'!#REF!="Menor"),CONCATENATE("R",'Mapa final'!#REF!),"")</f>
        <v>#REF!</v>
      </c>
      <c r="S22" s="452"/>
      <c r="T22" s="452" t="e">
        <f>IF(AND('Mapa final'!#REF!="Media",'Mapa final'!#REF!="Menor"),CONCATENATE("R",'Mapa final'!#REF!),"")</f>
        <v>#REF!</v>
      </c>
      <c r="U22" s="453"/>
      <c r="V22" s="451" t="str">
        <f>IF(AND('Mapa final'!$J$13="Media",'Mapa final'!$N$13="Moderado"),CONCATENATE("R",'Mapa final'!$A$13),"")</f>
        <v/>
      </c>
      <c r="W22" s="452"/>
      <c r="X22" s="452" t="e">
        <f>IF(AND('Mapa final'!#REF!="Media",'Mapa final'!#REF!="Moderado"),CONCATENATE("R",'Mapa final'!#REF!),"")</f>
        <v>#REF!</v>
      </c>
      <c r="Y22" s="452"/>
      <c r="Z22" s="452" t="e">
        <f>IF(AND('Mapa final'!#REF!="Media",'Mapa final'!#REF!="Moderado"),CONCATENATE("R",'Mapa final'!#REF!),"")</f>
        <v>#REF!</v>
      </c>
      <c r="AA22" s="453"/>
      <c r="AB22" s="461" t="str">
        <f>IF(AND('Mapa final'!$J$13="Media",'Mapa final'!$N$13="Mayor"),CONCATENATE("R",'Mapa final'!$A$13),"")</f>
        <v/>
      </c>
      <c r="AC22" s="462"/>
      <c r="AD22" s="462" t="e">
        <f>IF(AND('Mapa final'!#REF!="Media",'Mapa final'!#REF!="Mayor"),CONCATENATE("R",'Mapa final'!#REF!),"")</f>
        <v>#REF!</v>
      </c>
      <c r="AE22" s="462"/>
      <c r="AF22" s="462" t="e">
        <f>IF(AND('Mapa final'!#REF!="Media",'Mapa final'!#REF!="Mayor"),CONCATENATE("R",'Mapa final'!#REF!),"")</f>
        <v>#REF!</v>
      </c>
      <c r="AG22" s="463"/>
      <c r="AH22" s="470" t="str">
        <f>IF(AND('Mapa final'!$J$13="Media",'Mapa final'!$N$13="Catastrófico"),CONCATENATE("R",'Mapa final'!$A$13),"")</f>
        <v/>
      </c>
      <c r="AI22" s="471"/>
      <c r="AJ22" s="471" t="e">
        <f>IF(AND('Mapa final'!#REF!="Media",'Mapa final'!#REF!="Catastrófico"),CONCATENATE("R",'Mapa final'!#REF!),"")</f>
        <v>#REF!</v>
      </c>
      <c r="AK22" s="471"/>
      <c r="AL22" s="471" t="e">
        <f>IF(AND('Mapa final'!#REF!="Media",'Mapa final'!#REF!="Catastrófico"),CONCATENATE("R",'Mapa final'!#REF!),"")</f>
        <v>#REF!</v>
      </c>
      <c r="AM22" s="472"/>
      <c r="AN22" s="72"/>
      <c r="AO22" s="503" t="s">
        <v>81</v>
      </c>
      <c r="AP22" s="504"/>
      <c r="AQ22" s="504"/>
      <c r="AR22" s="504"/>
      <c r="AS22" s="504"/>
      <c r="AT22" s="505"/>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row>
    <row r="23" spans="1:80" x14ac:dyDescent="0.25">
      <c r="A23" s="72"/>
      <c r="B23" s="521"/>
      <c r="C23" s="521"/>
      <c r="D23" s="522"/>
      <c r="E23" s="477"/>
      <c r="F23" s="478"/>
      <c r="G23" s="478"/>
      <c r="H23" s="478"/>
      <c r="I23" s="479"/>
      <c r="J23" s="445"/>
      <c r="K23" s="446"/>
      <c r="L23" s="446"/>
      <c r="M23" s="446"/>
      <c r="N23" s="446"/>
      <c r="O23" s="447"/>
      <c r="P23" s="445"/>
      <c r="Q23" s="446"/>
      <c r="R23" s="446"/>
      <c r="S23" s="446"/>
      <c r="T23" s="446"/>
      <c r="U23" s="447"/>
      <c r="V23" s="445"/>
      <c r="W23" s="446"/>
      <c r="X23" s="446"/>
      <c r="Y23" s="446"/>
      <c r="Z23" s="446"/>
      <c r="AA23" s="447"/>
      <c r="AB23" s="454"/>
      <c r="AC23" s="455"/>
      <c r="AD23" s="455"/>
      <c r="AE23" s="455"/>
      <c r="AF23" s="455"/>
      <c r="AG23" s="457"/>
      <c r="AH23" s="466"/>
      <c r="AI23" s="464"/>
      <c r="AJ23" s="464"/>
      <c r="AK23" s="464"/>
      <c r="AL23" s="464"/>
      <c r="AM23" s="465"/>
      <c r="AN23" s="72"/>
      <c r="AO23" s="506"/>
      <c r="AP23" s="507"/>
      <c r="AQ23" s="507"/>
      <c r="AR23" s="507"/>
      <c r="AS23" s="507"/>
      <c r="AT23" s="508"/>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row>
    <row r="24" spans="1:80" x14ac:dyDescent="0.25">
      <c r="A24" s="72"/>
      <c r="B24" s="521"/>
      <c r="C24" s="521"/>
      <c r="D24" s="522"/>
      <c r="E24" s="477"/>
      <c r="F24" s="478"/>
      <c r="G24" s="478"/>
      <c r="H24" s="478"/>
      <c r="I24" s="479"/>
      <c r="J24" s="445" t="e">
        <f>IF(AND('Mapa final'!#REF!="Media",'Mapa final'!#REF!="Leve"),CONCATENATE("R",'Mapa final'!#REF!),"")</f>
        <v>#REF!</v>
      </c>
      <c r="K24" s="446"/>
      <c r="L24" s="446" t="e">
        <f>IF(AND('Mapa final'!#REF!="Media",'Mapa final'!#REF!="Leve"),CONCATENATE("R",'Mapa final'!#REF!),"")</f>
        <v>#REF!</v>
      </c>
      <c r="M24" s="446"/>
      <c r="N24" s="446" t="e">
        <f>IF(AND('Mapa final'!#REF!="Media",'Mapa final'!#REF!="Leve"),CONCATENATE("R",'Mapa final'!#REF!),"")</f>
        <v>#REF!</v>
      </c>
      <c r="O24" s="447"/>
      <c r="P24" s="445" t="e">
        <f>IF(AND('Mapa final'!#REF!="Media",'Mapa final'!#REF!="Menor"),CONCATENATE("R",'Mapa final'!#REF!),"")</f>
        <v>#REF!</v>
      </c>
      <c r="Q24" s="446"/>
      <c r="R24" s="446" t="e">
        <f>IF(AND('Mapa final'!#REF!="Media",'Mapa final'!#REF!="Menor"),CONCATENATE("R",'Mapa final'!#REF!),"")</f>
        <v>#REF!</v>
      </c>
      <c r="S24" s="446"/>
      <c r="T24" s="446" t="e">
        <f>IF(AND('Mapa final'!#REF!="Media",'Mapa final'!#REF!="Menor"),CONCATENATE("R",'Mapa final'!#REF!),"")</f>
        <v>#REF!</v>
      </c>
      <c r="U24" s="447"/>
      <c r="V24" s="445" t="e">
        <f>IF(AND('Mapa final'!#REF!="Media",'Mapa final'!#REF!="Moderado"),CONCATENATE("R",'Mapa final'!#REF!),"")</f>
        <v>#REF!</v>
      </c>
      <c r="W24" s="446"/>
      <c r="X24" s="446" t="e">
        <f>IF(AND('Mapa final'!#REF!="Media",'Mapa final'!#REF!="Moderado"),CONCATENATE("R",'Mapa final'!#REF!),"")</f>
        <v>#REF!</v>
      </c>
      <c r="Y24" s="446"/>
      <c r="Z24" s="446" t="e">
        <f>IF(AND('Mapa final'!#REF!="Media",'Mapa final'!#REF!="Moderado"),CONCATENATE("R",'Mapa final'!#REF!),"")</f>
        <v>#REF!</v>
      </c>
      <c r="AA24" s="447"/>
      <c r="AB24" s="454" t="e">
        <f>IF(AND('Mapa final'!#REF!="Media",'Mapa final'!#REF!="Mayor"),CONCATENATE("R",'Mapa final'!#REF!),"")</f>
        <v>#REF!</v>
      </c>
      <c r="AC24" s="455"/>
      <c r="AD24" s="456" t="e">
        <f>IF(AND('Mapa final'!#REF!="Media",'Mapa final'!#REF!="Mayor"),CONCATENATE("R",'Mapa final'!#REF!),"")</f>
        <v>#REF!</v>
      </c>
      <c r="AE24" s="456"/>
      <c r="AF24" s="456" t="e">
        <f>IF(AND('Mapa final'!#REF!="Media",'Mapa final'!#REF!="Mayor"),CONCATENATE("R",'Mapa final'!#REF!),"")</f>
        <v>#REF!</v>
      </c>
      <c r="AG24" s="457"/>
      <c r="AH24" s="466" t="e">
        <f>IF(AND('Mapa final'!#REF!="Media",'Mapa final'!#REF!="Catastrófico"),CONCATENATE("R",'Mapa final'!#REF!),"")</f>
        <v>#REF!</v>
      </c>
      <c r="AI24" s="464"/>
      <c r="AJ24" s="464" t="e">
        <f>IF(AND('Mapa final'!#REF!="Media",'Mapa final'!#REF!="Catastrófico"),CONCATENATE("R",'Mapa final'!#REF!),"")</f>
        <v>#REF!</v>
      </c>
      <c r="AK24" s="464"/>
      <c r="AL24" s="464" t="e">
        <f>IF(AND('Mapa final'!#REF!="Media",'Mapa final'!#REF!="Catastrófico"),CONCATENATE("R",'Mapa final'!#REF!),"")</f>
        <v>#REF!</v>
      </c>
      <c r="AM24" s="465"/>
      <c r="AN24" s="72"/>
      <c r="AO24" s="506"/>
      <c r="AP24" s="507"/>
      <c r="AQ24" s="507"/>
      <c r="AR24" s="507"/>
      <c r="AS24" s="507"/>
      <c r="AT24" s="508"/>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row>
    <row r="25" spans="1:80" x14ac:dyDescent="0.25">
      <c r="A25" s="72"/>
      <c r="B25" s="521"/>
      <c r="C25" s="521"/>
      <c r="D25" s="522"/>
      <c r="E25" s="477"/>
      <c r="F25" s="478"/>
      <c r="G25" s="478"/>
      <c r="H25" s="478"/>
      <c r="I25" s="479"/>
      <c r="J25" s="445"/>
      <c r="K25" s="446"/>
      <c r="L25" s="446"/>
      <c r="M25" s="446"/>
      <c r="N25" s="446"/>
      <c r="O25" s="447"/>
      <c r="P25" s="445"/>
      <c r="Q25" s="446"/>
      <c r="R25" s="446"/>
      <c r="S25" s="446"/>
      <c r="T25" s="446"/>
      <c r="U25" s="447"/>
      <c r="V25" s="445"/>
      <c r="W25" s="446"/>
      <c r="X25" s="446"/>
      <c r="Y25" s="446"/>
      <c r="Z25" s="446"/>
      <c r="AA25" s="447"/>
      <c r="AB25" s="454"/>
      <c r="AC25" s="455"/>
      <c r="AD25" s="456"/>
      <c r="AE25" s="456"/>
      <c r="AF25" s="456"/>
      <c r="AG25" s="457"/>
      <c r="AH25" s="466"/>
      <c r="AI25" s="464"/>
      <c r="AJ25" s="464"/>
      <c r="AK25" s="464"/>
      <c r="AL25" s="464"/>
      <c r="AM25" s="465"/>
      <c r="AN25" s="72"/>
      <c r="AO25" s="506"/>
      <c r="AP25" s="507"/>
      <c r="AQ25" s="507"/>
      <c r="AR25" s="507"/>
      <c r="AS25" s="507"/>
      <c r="AT25" s="508"/>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row>
    <row r="26" spans="1:80" x14ac:dyDescent="0.25">
      <c r="A26" s="72"/>
      <c r="B26" s="521"/>
      <c r="C26" s="521"/>
      <c r="D26" s="522"/>
      <c r="E26" s="477"/>
      <c r="F26" s="478"/>
      <c r="G26" s="478"/>
      <c r="H26" s="478"/>
      <c r="I26" s="479"/>
      <c r="J26" s="445" t="e">
        <f>IF(AND('Mapa final'!#REF!="Media",'Mapa final'!#REF!="Leve"),CONCATENATE("R",'Mapa final'!#REF!),"")</f>
        <v>#REF!</v>
      </c>
      <c r="K26" s="446"/>
      <c r="L26" s="446" t="e">
        <f>IF(AND('Mapa final'!#REF!="Media",'Mapa final'!#REF!="Leve"),CONCATENATE("R",'Mapa final'!#REF!),"")</f>
        <v>#REF!</v>
      </c>
      <c r="M26" s="446"/>
      <c r="N26" s="446" t="e">
        <f>IF(AND('Mapa final'!#REF!="Media",'Mapa final'!#REF!="Leve"),CONCATENATE("R",'Mapa final'!#REF!),"")</f>
        <v>#REF!</v>
      </c>
      <c r="O26" s="447"/>
      <c r="P26" s="445" t="e">
        <f>IF(AND('Mapa final'!#REF!="Media",'Mapa final'!#REF!="Menor"),CONCATENATE("R",'Mapa final'!#REF!),"")</f>
        <v>#REF!</v>
      </c>
      <c r="Q26" s="446"/>
      <c r="R26" s="446" t="e">
        <f>IF(AND('Mapa final'!#REF!="Media",'Mapa final'!#REF!="Menor"),CONCATENATE("R",'Mapa final'!#REF!),"")</f>
        <v>#REF!</v>
      </c>
      <c r="S26" s="446"/>
      <c r="T26" s="446" t="e">
        <f>IF(AND('Mapa final'!#REF!="Media",'Mapa final'!#REF!="Menor"),CONCATENATE("R",'Mapa final'!#REF!),"")</f>
        <v>#REF!</v>
      </c>
      <c r="U26" s="447"/>
      <c r="V26" s="445" t="e">
        <f>IF(AND('Mapa final'!#REF!="Media",'Mapa final'!#REF!="Moderado"),CONCATENATE("R",'Mapa final'!#REF!),"")</f>
        <v>#REF!</v>
      </c>
      <c r="W26" s="446"/>
      <c r="X26" s="446" t="e">
        <f>IF(AND('Mapa final'!#REF!="Media",'Mapa final'!#REF!="Moderado"),CONCATENATE("R",'Mapa final'!#REF!),"")</f>
        <v>#REF!</v>
      </c>
      <c r="Y26" s="446"/>
      <c r="Z26" s="446" t="e">
        <f>IF(AND('Mapa final'!#REF!="Media",'Mapa final'!#REF!="Moderado"),CONCATENATE("R",'Mapa final'!#REF!),"")</f>
        <v>#REF!</v>
      </c>
      <c r="AA26" s="447"/>
      <c r="AB26" s="454" t="e">
        <f>IF(AND('Mapa final'!#REF!="Media",'Mapa final'!#REF!="Mayor"),CONCATENATE("R",'Mapa final'!#REF!),"")</f>
        <v>#REF!</v>
      </c>
      <c r="AC26" s="455"/>
      <c r="AD26" s="456" t="e">
        <f>IF(AND('Mapa final'!#REF!="Media",'Mapa final'!#REF!="Mayor"),CONCATENATE("R",'Mapa final'!#REF!),"")</f>
        <v>#REF!</v>
      </c>
      <c r="AE26" s="456"/>
      <c r="AF26" s="456" t="e">
        <f>IF(AND('Mapa final'!#REF!="Media",'Mapa final'!#REF!="Mayor"),CONCATENATE("R",'Mapa final'!#REF!),"")</f>
        <v>#REF!</v>
      </c>
      <c r="AG26" s="457"/>
      <c r="AH26" s="466" t="e">
        <f>IF(AND('Mapa final'!#REF!="Media",'Mapa final'!#REF!="Catastrófico"),CONCATENATE("R",'Mapa final'!#REF!),"")</f>
        <v>#REF!</v>
      </c>
      <c r="AI26" s="464"/>
      <c r="AJ26" s="464" t="e">
        <f>IF(AND('Mapa final'!#REF!="Media",'Mapa final'!#REF!="Catastrófico"),CONCATENATE("R",'Mapa final'!#REF!),"")</f>
        <v>#REF!</v>
      </c>
      <c r="AK26" s="464"/>
      <c r="AL26" s="464" t="e">
        <f>IF(AND('Mapa final'!#REF!="Media",'Mapa final'!#REF!="Catastrófico"),CONCATENATE("R",'Mapa final'!#REF!),"")</f>
        <v>#REF!</v>
      </c>
      <c r="AM26" s="465"/>
      <c r="AN26" s="72"/>
      <c r="AO26" s="506"/>
      <c r="AP26" s="507"/>
      <c r="AQ26" s="507"/>
      <c r="AR26" s="507"/>
      <c r="AS26" s="507"/>
      <c r="AT26" s="508"/>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row>
    <row r="27" spans="1:80" x14ac:dyDescent="0.25">
      <c r="A27" s="72"/>
      <c r="B27" s="521"/>
      <c r="C27" s="521"/>
      <c r="D27" s="522"/>
      <c r="E27" s="477"/>
      <c r="F27" s="478"/>
      <c r="G27" s="478"/>
      <c r="H27" s="478"/>
      <c r="I27" s="479"/>
      <c r="J27" s="445"/>
      <c r="K27" s="446"/>
      <c r="L27" s="446"/>
      <c r="M27" s="446"/>
      <c r="N27" s="446"/>
      <c r="O27" s="447"/>
      <c r="P27" s="445"/>
      <c r="Q27" s="446"/>
      <c r="R27" s="446"/>
      <c r="S27" s="446"/>
      <c r="T27" s="446"/>
      <c r="U27" s="447"/>
      <c r="V27" s="445"/>
      <c r="W27" s="446"/>
      <c r="X27" s="446"/>
      <c r="Y27" s="446"/>
      <c r="Z27" s="446"/>
      <c r="AA27" s="447"/>
      <c r="AB27" s="454"/>
      <c r="AC27" s="455"/>
      <c r="AD27" s="456"/>
      <c r="AE27" s="456"/>
      <c r="AF27" s="456"/>
      <c r="AG27" s="457"/>
      <c r="AH27" s="466"/>
      <c r="AI27" s="464"/>
      <c r="AJ27" s="464"/>
      <c r="AK27" s="464"/>
      <c r="AL27" s="464"/>
      <c r="AM27" s="465"/>
      <c r="AN27" s="72"/>
      <c r="AO27" s="506"/>
      <c r="AP27" s="507"/>
      <c r="AQ27" s="507"/>
      <c r="AR27" s="507"/>
      <c r="AS27" s="507"/>
      <c r="AT27" s="508"/>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row>
    <row r="28" spans="1:80" x14ac:dyDescent="0.25">
      <c r="A28" s="72"/>
      <c r="B28" s="521"/>
      <c r="C28" s="521"/>
      <c r="D28" s="522"/>
      <c r="E28" s="477"/>
      <c r="F28" s="478"/>
      <c r="G28" s="478"/>
      <c r="H28" s="478"/>
      <c r="I28" s="479"/>
      <c r="J28" s="445" t="e">
        <f>IF(AND('Mapa final'!#REF!="Media",'Mapa final'!#REF!="Leve"),CONCATENATE("R",'Mapa final'!#REF!),"")</f>
        <v>#REF!</v>
      </c>
      <c r="K28" s="446"/>
      <c r="L28" s="446" t="str">
        <f>IF(AND('Mapa final'!$J$535="Media",'Mapa final'!$N$535="Leve"),CONCATENATE("R",'Mapa final'!$A$535),"")</f>
        <v/>
      </c>
      <c r="M28" s="446"/>
      <c r="N28" s="446" t="str">
        <f>IF(AND('Mapa final'!$J$541="Media",'Mapa final'!$N$541="Leve"),CONCATENATE("R",'Mapa final'!$A$541),"")</f>
        <v/>
      </c>
      <c r="O28" s="447"/>
      <c r="P28" s="445" t="e">
        <f>IF(AND('Mapa final'!#REF!="Media",'Mapa final'!#REF!="Menor"),CONCATENATE("R",'Mapa final'!#REF!),"")</f>
        <v>#REF!</v>
      </c>
      <c r="Q28" s="446"/>
      <c r="R28" s="446" t="str">
        <f>IF(AND('Mapa final'!$J$535="Media",'Mapa final'!$N$535="Menor"),CONCATENATE("R",'Mapa final'!$A$535),"")</f>
        <v/>
      </c>
      <c r="S28" s="446"/>
      <c r="T28" s="446" t="str">
        <f>IF(AND('Mapa final'!$J$541="Media",'Mapa final'!$N$541="Menor"),CONCATENATE("R",'Mapa final'!$A$541),"")</f>
        <v/>
      </c>
      <c r="U28" s="447"/>
      <c r="V28" s="445" t="e">
        <f>IF(AND('Mapa final'!#REF!="Media",'Mapa final'!#REF!="Moderado"),CONCATENATE("R",'Mapa final'!#REF!),"")</f>
        <v>#REF!</v>
      </c>
      <c r="W28" s="446"/>
      <c r="X28" s="446" t="str">
        <f>IF(AND('Mapa final'!$J$535="Media",'Mapa final'!$N$535="Moderado"),CONCATENATE("R",'Mapa final'!$A$535),"")</f>
        <v/>
      </c>
      <c r="Y28" s="446"/>
      <c r="Z28" s="446" t="str">
        <f>IF(AND('Mapa final'!$J$541="Media",'Mapa final'!$N$541="Moderado"),CONCATENATE("R",'Mapa final'!$A$541),"")</f>
        <v/>
      </c>
      <c r="AA28" s="447"/>
      <c r="AB28" s="454" t="e">
        <f>IF(AND('Mapa final'!#REF!="Media",'Mapa final'!#REF!="Mayor"),CONCATENATE("R",'Mapa final'!#REF!),"")</f>
        <v>#REF!</v>
      </c>
      <c r="AC28" s="455"/>
      <c r="AD28" s="456" t="str">
        <f>IF(AND('Mapa final'!$J$535="Media",'Mapa final'!$N$535="Mayor"),CONCATENATE("R",'Mapa final'!$A$535),"")</f>
        <v/>
      </c>
      <c r="AE28" s="456"/>
      <c r="AF28" s="456" t="str">
        <f>IF(AND('Mapa final'!$J$541="Media",'Mapa final'!$N$541="Mayor"),CONCATENATE("R",'Mapa final'!$A$541),"")</f>
        <v/>
      </c>
      <c r="AG28" s="457"/>
      <c r="AH28" s="466" t="e">
        <f>IF(AND('Mapa final'!#REF!="Media",'Mapa final'!#REF!="Catastrófico"),CONCATENATE("R",'Mapa final'!#REF!),"")</f>
        <v>#REF!</v>
      </c>
      <c r="AI28" s="464"/>
      <c r="AJ28" s="464" t="str">
        <f>IF(AND('Mapa final'!$J$535="Media",'Mapa final'!$N$535="Catastrófico"),CONCATENATE("R",'Mapa final'!$A$535),"")</f>
        <v/>
      </c>
      <c r="AK28" s="464"/>
      <c r="AL28" s="464" t="str">
        <f>IF(AND('Mapa final'!$J$541="Media",'Mapa final'!$N$541="Catastrófico"),CONCATENATE("R",'Mapa final'!$A$541),"")</f>
        <v/>
      </c>
      <c r="AM28" s="465"/>
      <c r="AN28" s="72"/>
      <c r="AO28" s="506"/>
      <c r="AP28" s="507"/>
      <c r="AQ28" s="507"/>
      <c r="AR28" s="507"/>
      <c r="AS28" s="507"/>
      <c r="AT28" s="508"/>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row>
    <row r="29" spans="1:80" ht="15.75" thickBot="1" x14ac:dyDescent="0.3">
      <c r="A29" s="72"/>
      <c r="B29" s="521"/>
      <c r="C29" s="521"/>
      <c r="D29" s="522"/>
      <c r="E29" s="480"/>
      <c r="F29" s="481"/>
      <c r="G29" s="481"/>
      <c r="H29" s="481"/>
      <c r="I29" s="482"/>
      <c r="J29" s="445"/>
      <c r="K29" s="446"/>
      <c r="L29" s="446"/>
      <c r="M29" s="446"/>
      <c r="N29" s="446"/>
      <c r="O29" s="447"/>
      <c r="P29" s="448"/>
      <c r="Q29" s="449"/>
      <c r="R29" s="449"/>
      <c r="S29" s="449"/>
      <c r="T29" s="449"/>
      <c r="U29" s="450"/>
      <c r="V29" s="448"/>
      <c r="W29" s="449"/>
      <c r="X29" s="449"/>
      <c r="Y29" s="449"/>
      <c r="Z29" s="449"/>
      <c r="AA29" s="450"/>
      <c r="AB29" s="458"/>
      <c r="AC29" s="459"/>
      <c r="AD29" s="459"/>
      <c r="AE29" s="459"/>
      <c r="AF29" s="459"/>
      <c r="AG29" s="460"/>
      <c r="AH29" s="467"/>
      <c r="AI29" s="468"/>
      <c r="AJ29" s="468"/>
      <c r="AK29" s="468"/>
      <c r="AL29" s="468"/>
      <c r="AM29" s="469"/>
      <c r="AN29" s="72"/>
      <c r="AO29" s="509"/>
      <c r="AP29" s="510"/>
      <c r="AQ29" s="510"/>
      <c r="AR29" s="510"/>
      <c r="AS29" s="510"/>
      <c r="AT29" s="511"/>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row>
    <row r="30" spans="1:80" x14ac:dyDescent="0.25">
      <c r="A30" s="72"/>
      <c r="B30" s="521"/>
      <c r="C30" s="521"/>
      <c r="D30" s="522"/>
      <c r="E30" s="474" t="s">
        <v>112</v>
      </c>
      <c r="F30" s="475"/>
      <c r="G30" s="475"/>
      <c r="H30" s="475"/>
      <c r="I30" s="475"/>
      <c r="J30" s="442" t="str">
        <f>IF(AND('Mapa final'!$J$13="Baja",'Mapa final'!$N$13="Leve"),CONCATENATE("R",'Mapa final'!$A$13),"")</f>
        <v/>
      </c>
      <c r="K30" s="443"/>
      <c r="L30" s="443" t="e">
        <f>IF(AND('Mapa final'!#REF!="Baja",'Mapa final'!#REF!="Leve"),CONCATENATE("R",'Mapa final'!#REF!),"")</f>
        <v>#REF!</v>
      </c>
      <c r="M30" s="443"/>
      <c r="N30" s="443" t="e">
        <f>IF(AND('Mapa final'!#REF!="Baja",'Mapa final'!#REF!="Leve"),CONCATENATE("R",'Mapa final'!#REF!),"")</f>
        <v>#REF!</v>
      </c>
      <c r="O30" s="444"/>
      <c r="P30" s="452" t="str">
        <f>IF(AND('Mapa final'!$J$13="Baja",'Mapa final'!$N$13="Menor"),CONCATENATE("R",'Mapa final'!$A$13),"")</f>
        <v/>
      </c>
      <c r="Q30" s="452"/>
      <c r="R30" s="452" t="e">
        <f>IF(AND('Mapa final'!#REF!="Baja",'Mapa final'!#REF!="Menor"),CONCATENATE("R",'Mapa final'!#REF!),"")</f>
        <v>#REF!</v>
      </c>
      <c r="S30" s="452"/>
      <c r="T30" s="452" t="e">
        <f>IF(AND('Mapa final'!#REF!="Baja",'Mapa final'!#REF!="Menor"),CONCATENATE("R",'Mapa final'!#REF!),"")</f>
        <v>#REF!</v>
      </c>
      <c r="U30" s="453"/>
      <c r="V30" s="451" t="str">
        <f>IF(AND('Mapa final'!$J$13="Baja",'Mapa final'!$N$13="Moderado"),CONCATENATE("R",'Mapa final'!$A$13),"")</f>
        <v/>
      </c>
      <c r="W30" s="452"/>
      <c r="X30" s="452" t="e">
        <f>IF(AND('Mapa final'!#REF!="Baja",'Mapa final'!#REF!="Moderado"),CONCATENATE("R",'Mapa final'!#REF!),"")</f>
        <v>#REF!</v>
      </c>
      <c r="Y30" s="452"/>
      <c r="Z30" s="452" t="e">
        <f>IF(AND('Mapa final'!#REF!="Baja",'Mapa final'!#REF!="Moderado"),CONCATENATE("R",'Mapa final'!#REF!),"")</f>
        <v>#REF!</v>
      </c>
      <c r="AA30" s="453"/>
      <c r="AB30" s="461" t="str">
        <f>IF(AND('Mapa final'!$J$13="Baja",'Mapa final'!$N$13="Mayor"),CONCATENATE("R",'Mapa final'!$A$13),"")</f>
        <v/>
      </c>
      <c r="AC30" s="462"/>
      <c r="AD30" s="462" t="e">
        <f>IF(AND('Mapa final'!#REF!="Baja",'Mapa final'!#REF!="Mayor"),CONCATENATE("R",'Mapa final'!#REF!),"")</f>
        <v>#REF!</v>
      </c>
      <c r="AE30" s="462"/>
      <c r="AF30" s="462" t="e">
        <f>IF(AND('Mapa final'!#REF!="Baja",'Mapa final'!#REF!="Mayor"),CONCATENATE("R",'Mapa final'!#REF!),"")</f>
        <v>#REF!</v>
      </c>
      <c r="AG30" s="463"/>
      <c r="AH30" s="470" t="str">
        <f>IF(AND('Mapa final'!$J$13="Baja",'Mapa final'!$N$13="Catastrófico"),CONCATENATE("R",'Mapa final'!$A$13),"")</f>
        <v/>
      </c>
      <c r="AI30" s="471"/>
      <c r="AJ30" s="471" t="e">
        <f>IF(AND('Mapa final'!#REF!="Baja",'Mapa final'!#REF!="Catastrófico"),CONCATENATE("R",'Mapa final'!#REF!),"")</f>
        <v>#REF!</v>
      </c>
      <c r="AK30" s="471"/>
      <c r="AL30" s="471" t="e">
        <f>IF(AND('Mapa final'!#REF!="Baja",'Mapa final'!#REF!="Catastrófico"),CONCATENATE("R",'Mapa final'!#REF!),"")</f>
        <v>#REF!</v>
      </c>
      <c r="AM30" s="472"/>
      <c r="AN30" s="72"/>
      <c r="AO30" s="512" t="s">
        <v>82</v>
      </c>
      <c r="AP30" s="513"/>
      <c r="AQ30" s="513"/>
      <c r="AR30" s="513"/>
      <c r="AS30" s="513"/>
      <c r="AT30" s="514"/>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row>
    <row r="31" spans="1:80" x14ac:dyDescent="0.25">
      <c r="A31" s="72"/>
      <c r="B31" s="521"/>
      <c r="C31" s="521"/>
      <c r="D31" s="522"/>
      <c r="E31" s="477"/>
      <c r="F31" s="478"/>
      <c r="G31" s="478"/>
      <c r="H31" s="478"/>
      <c r="I31" s="483"/>
      <c r="J31" s="436"/>
      <c r="K31" s="437"/>
      <c r="L31" s="437"/>
      <c r="M31" s="437"/>
      <c r="N31" s="437"/>
      <c r="O31" s="438"/>
      <c r="P31" s="446"/>
      <c r="Q31" s="446"/>
      <c r="R31" s="446"/>
      <c r="S31" s="446"/>
      <c r="T31" s="446"/>
      <c r="U31" s="447"/>
      <c r="V31" s="445"/>
      <c r="W31" s="446"/>
      <c r="X31" s="446"/>
      <c r="Y31" s="446"/>
      <c r="Z31" s="446"/>
      <c r="AA31" s="447"/>
      <c r="AB31" s="454"/>
      <c r="AC31" s="455"/>
      <c r="AD31" s="455"/>
      <c r="AE31" s="455"/>
      <c r="AF31" s="455"/>
      <c r="AG31" s="457"/>
      <c r="AH31" s="466"/>
      <c r="AI31" s="464"/>
      <c r="AJ31" s="464"/>
      <c r="AK31" s="464"/>
      <c r="AL31" s="464"/>
      <c r="AM31" s="465"/>
      <c r="AN31" s="72"/>
      <c r="AO31" s="515"/>
      <c r="AP31" s="516"/>
      <c r="AQ31" s="516"/>
      <c r="AR31" s="516"/>
      <c r="AS31" s="516"/>
      <c r="AT31" s="517"/>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row>
    <row r="32" spans="1:80" x14ac:dyDescent="0.25">
      <c r="A32" s="72"/>
      <c r="B32" s="521"/>
      <c r="C32" s="521"/>
      <c r="D32" s="522"/>
      <c r="E32" s="477"/>
      <c r="F32" s="478"/>
      <c r="G32" s="478"/>
      <c r="H32" s="478"/>
      <c r="I32" s="483"/>
      <c r="J32" s="436" t="e">
        <f>IF(AND('Mapa final'!#REF!="Baja",'Mapa final'!#REF!="Leve"),CONCATENATE("R",'Mapa final'!#REF!),"")</f>
        <v>#REF!</v>
      </c>
      <c r="K32" s="437"/>
      <c r="L32" s="437" t="e">
        <f>IF(AND('Mapa final'!#REF!="Baja",'Mapa final'!#REF!="Leve"),CONCATENATE("R",'Mapa final'!#REF!),"")</f>
        <v>#REF!</v>
      </c>
      <c r="M32" s="437"/>
      <c r="N32" s="437" t="e">
        <f>IF(AND('Mapa final'!#REF!="Baja",'Mapa final'!#REF!="Leve"),CONCATENATE("R",'Mapa final'!#REF!),"")</f>
        <v>#REF!</v>
      </c>
      <c r="O32" s="438"/>
      <c r="P32" s="446" t="e">
        <f>IF(AND('Mapa final'!#REF!="Baja",'Mapa final'!#REF!="Menor"),CONCATENATE("R",'Mapa final'!#REF!),"")</f>
        <v>#REF!</v>
      </c>
      <c r="Q32" s="446"/>
      <c r="R32" s="446" t="e">
        <f>IF(AND('Mapa final'!#REF!="Baja",'Mapa final'!#REF!="Menor"),CONCATENATE("R",'Mapa final'!#REF!),"")</f>
        <v>#REF!</v>
      </c>
      <c r="S32" s="446"/>
      <c r="T32" s="446" t="e">
        <f>IF(AND('Mapa final'!#REF!="Baja",'Mapa final'!#REF!="Menor"),CONCATENATE("R",'Mapa final'!#REF!),"")</f>
        <v>#REF!</v>
      </c>
      <c r="U32" s="447"/>
      <c r="V32" s="445" t="e">
        <f>IF(AND('Mapa final'!#REF!="Baja",'Mapa final'!#REF!="Moderado"),CONCATENATE("R",'Mapa final'!#REF!),"")</f>
        <v>#REF!</v>
      </c>
      <c r="W32" s="446"/>
      <c r="X32" s="446" t="e">
        <f>IF(AND('Mapa final'!#REF!="Baja",'Mapa final'!#REF!="Moderado"),CONCATENATE("R",'Mapa final'!#REF!),"")</f>
        <v>#REF!</v>
      </c>
      <c r="Y32" s="446"/>
      <c r="Z32" s="446" t="e">
        <f>IF(AND('Mapa final'!#REF!="Baja",'Mapa final'!#REF!="Moderado"),CONCATENATE("R",'Mapa final'!#REF!),"")</f>
        <v>#REF!</v>
      </c>
      <c r="AA32" s="447"/>
      <c r="AB32" s="454" t="e">
        <f>IF(AND('Mapa final'!#REF!="Baja",'Mapa final'!#REF!="Mayor"),CONCATENATE("R",'Mapa final'!#REF!),"")</f>
        <v>#REF!</v>
      </c>
      <c r="AC32" s="455"/>
      <c r="AD32" s="456" t="e">
        <f>IF(AND('Mapa final'!#REF!="Baja",'Mapa final'!#REF!="Mayor"),CONCATENATE("R",'Mapa final'!#REF!),"")</f>
        <v>#REF!</v>
      </c>
      <c r="AE32" s="456"/>
      <c r="AF32" s="456" t="e">
        <f>IF(AND('Mapa final'!#REF!="Baja",'Mapa final'!#REF!="Mayor"),CONCATENATE("R",'Mapa final'!#REF!),"")</f>
        <v>#REF!</v>
      </c>
      <c r="AG32" s="457"/>
      <c r="AH32" s="466" t="e">
        <f>IF(AND('Mapa final'!#REF!="Baja",'Mapa final'!#REF!="Catastrófico"),CONCATENATE("R",'Mapa final'!#REF!),"")</f>
        <v>#REF!</v>
      </c>
      <c r="AI32" s="464"/>
      <c r="AJ32" s="464" t="e">
        <f>IF(AND('Mapa final'!#REF!="Baja",'Mapa final'!#REF!="Catastrófico"),CONCATENATE("R",'Mapa final'!#REF!),"")</f>
        <v>#REF!</v>
      </c>
      <c r="AK32" s="464"/>
      <c r="AL32" s="464" t="e">
        <f>IF(AND('Mapa final'!#REF!="Baja",'Mapa final'!#REF!="Catastrófico"),CONCATENATE("R",'Mapa final'!#REF!),"")</f>
        <v>#REF!</v>
      </c>
      <c r="AM32" s="465"/>
      <c r="AN32" s="72"/>
      <c r="AO32" s="515"/>
      <c r="AP32" s="516"/>
      <c r="AQ32" s="516"/>
      <c r="AR32" s="516"/>
      <c r="AS32" s="516"/>
      <c r="AT32" s="517"/>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c r="BV32" s="72"/>
      <c r="BW32" s="72"/>
      <c r="BX32" s="72"/>
      <c r="BY32" s="72"/>
      <c r="BZ32" s="72"/>
      <c r="CA32" s="72"/>
      <c r="CB32" s="72"/>
    </row>
    <row r="33" spans="1:80" x14ac:dyDescent="0.25">
      <c r="A33" s="72"/>
      <c r="B33" s="521"/>
      <c r="C33" s="521"/>
      <c r="D33" s="522"/>
      <c r="E33" s="477"/>
      <c r="F33" s="478"/>
      <c r="G33" s="478"/>
      <c r="H33" s="478"/>
      <c r="I33" s="483"/>
      <c r="J33" s="436"/>
      <c r="K33" s="437"/>
      <c r="L33" s="437"/>
      <c r="M33" s="437"/>
      <c r="N33" s="437"/>
      <c r="O33" s="438"/>
      <c r="P33" s="446"/>
      <c r="Q33" s="446"/>
      <c r="R33" s="446"/>
      <c r="S33" s="446"/>
      <c r="T33" s="446"/>
      <c r="U33" s="447"/>
      <c r="V33" s="445"/>
      <c r="W33" s="446"/>
      <c r="X33" s="446"/>
      <c r="Y33" s="446"/>
      <c r="Z33" s="446"/>
      <c r="AA33" s="447"/>
      <c r="AB33" s="454"/>
      <c r="AC33" s="455"/>
      <c r="AD33" s="456"/>
      <c r="AE33" s="456"/>
      <c r="AF33" s="456"/>
      <c r="AG33" s="457"/>
      <c r="AH33" s="466"/>
      <c r="AI33" s="464"/>
      <c r="AJ33" s="464"/>
      <c r="AK33" s="464"/>
      <c r="AL33" s="464"/>
      <c r="AM33" s="465"/>
      <c r="AN33" s="72"/>
      <c r="AO33" s="515"/>
      <c r="AP33" s="516"/>
      <c r="AQ33" s="516"/>
      <c r="AR33" s="516"/>
      <c r="AS33" s="516"/>
      <c r="AT33" s="517"/>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c r="BY33" s="72"/>
      <c r="BZ33" s="72"/>
      <c r="CA33" s="72"/>
      <c r="CB33" s="72"/>
    </row>
    <row r="34" spans="1:80" x14ac:dyDescent="0.25">
      <c r="A34" s="72"/>
      <c r="B34" s="521"/>
      <c r="C34" s="521"/>
      <c r="D34" s="522"/>
      <c r="E34" s="477"/>
      <c r="F34" s="478"/>
      <c r="G34" s="478"/>
      <c r="H34" s="478"/>
      <c r="I34" s="483"/>
      <c r="J34" s="436" t="e">
        <f>IF(AND('Mapa final'!#REF!="Baja",'Mapa final'!#REF!="Leve"),CONCATENATE("R",'Mapa final'!#REF!),"")</f>
        <v>#REF!</v>
      </c>
      <c r="K34" s="437"/>
      <c r="L34" s="437" t="e">
        <f>IF(AND('Mapa final'!#REF!="Baja",'Mapa final'!#REF!="Leve"),CONCATENATE("R",'Mapa final'!#REF!),"")</f>
        <v>#REF!</v>
      </c>
      <c r="M34" s="437"/>
      <c r="N34" s="437" t="e">
        <f>IF(AND('Mapa final'!#REF!="Baja",'Mapa final'!#REF!="Leve"),CONCATENATE("R",'Mapa final'!#REF!),"")</f>
        <v>#REF!</v>
      </c>
      <c r="O34" s="438"/>
      <c r="P34" s="446" t="e">
        <f>IF(AND('Mapa final'!#REF!="Baja",'Mapa final'!#REF!="Menor"),CONCATENATE("R",'Mapa final'!#REF!),"")</f>
        <v>#REF!</v>
      </c>
      <c r="Q34" s="446"/>
      <c r="R34" s="446" t="e">
        <f>IF(AND('Mapa final'!#REF!="Baja",'Mapa final'!#REF!="Menor"),CONCATENATE("R",'Mapa final'!#REF!),"")</f>
        <v>#REF!</v>
      </c>
      <c r="S34" s="446"/>
      <c r="T34" s="446" t="e">
        <f>IF(AND('Mapa final'!#REF!="Baja",'Mapa final'!#REF!="Menor"),CONCATENATE("R",'Mapa final'!#REF!),"")</f>
        <v>#REF!</v>
      </c>
      <c r="U34" s="447"/>
      <c r="V34" s="445" t="e">
        <f>IF(AND('Mapa final'!#REF!="Baja",'Mapa final'!#REF!="Moderado"),CONCATENATE("R",'Mapa final'!#REF!),"")</f>
        <v>#REF!</v>
      </c>
      <c r="W34" s="446"/>
      <c r="X34" s="446" t="e">
        <f>IF(AND('Mapa final'!#REF!="Baja",'Mapa final'!#REF!="Moderado"),CONCATENATE("R",'Mapa final'!#REF!),"")</f>
        <v>#REF!</v>
      </c>
      <c r="Y34" s="446"/>
      <c r="Z34" s="446" t="e">
        <f>IF(AND('Mapa final'!#REF!="Baja",'Mapa final'!#REF!="Moderado"),CONCATENATE("R",'Mapa final'!#REF!),"")</f>
        <v>#REF!</v>
      </c>
      <c r="AA34" s="447"/>
      <c r="AB34" s="454" t="e">
        <f>IF(AND('Mapa final'!#REF!="Baja",'Mapa final'!#REF!="Mayor"),CONCATENATE("R",'Mapa final'!#REF!),"")</f>
        <v>#REF!</v>
      </c>
      <c r="AC34" s="455"/>
      <c r="AD34" s="456" t="e">
        <f>IF(AND('Mapa final'!#REF!="Baja",'Mapa final'!#REF!="Mayor"),CONCATENATE("R",'Mapa final'!#REF!),"")</f>
        <v>#REF!</v>
      </c>
      <c r="AE34" s="456"/>
      <c r="AF34" s="456" t="e">
        <f>IF(AND('Mapa final'!#REF!="Baja",'Mapa final'!#REF!="Mayor"),CONCATENATE("R",'Mapa final'!#REF!),"")</f>
        <v>#REF!</v>
      </c>
      <c r="AG34" s="457"/>
      <c r="AH34" s="466" t="e">
        <f>IF(AND('Mapa final'!#REF!="Baja",'Mapa final'!#REF!="Catastrófico"),CONCATENATE("R",'Mapa final'!#REF!),"")</f>
        <v>#REF!</v>
      </c>
      <c r="AI34" s="464"/>
      <c r="AJ34" s="464" t="e">
        <f>IF(AND('Mapa final'!#REF!="Baja",'Mapa final'!#REF!="Catastrófico"),CONCATENATE("R",'Mapa final'!#REF!),"")</f>
        <v>#REF!</v>
      </c>
      <c r="AK34" s="464"/>
      <c r="AL34" s="464" t="e">
        <f>IF(AND('Mapa final'!#REF!="Baja",'Mapa final'!#REF!="Catastrófico"),CONCATENATE("R",'Mapa final'!#REF!),"")</f>
        <v>#REF!</v>
      </c>
      <c r="AM34" s="465"/>
      <c r="AN34" s="72"/>
      <c r="AO34" s="515"/>
      <c r="AP34" s="516"/>
      <c r="AQ34" s="516"/>
      <c r="AR34" s="516"/>
      <c r="AS34" s="516"/>
      <c r="AT34" s="517"/>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c r="BV34" s="72"/>
      <c r="BW34" s="72"/>
      <c r="BX34" s="72"/>
      <c r="BY34" s="72"/>
      <c r="BZ34" s="72"/>
      <c r="CA34" s="72"/>
      <c r="CB34" s="72"/>
    </row>
    <row r="35" spans="1:80" x14ac:dyDescent="0.25">
      <c r="A35" s="72"/>
      <c r="B35" s="521"/>
      <c r="C35" s="521"/>
      <c r="D35" s="522"/>
      <c r="E35" s="477"/>
      <c r="F35" s="478"/>
      <c r="G35" s="478"/>
      <c r="H35" s="478"/>
      <c r="I35" s="483"/>
      <c r="J35" s="436"/>
      <c r="K35" s="437"/>
      <c r="L35" s="437"/>
      <c r="M35" s="437"/>
      <c r="N35" s="437"/>
      <c r="O35" s="438"/>
      <c r="P35" s="446"/>
      <c r="Q35" s="446"/>
      <c r="R35" s="446"/>
      <c r="S35" s="446"/>
      <c r="T35" s="446"/>
      <c r="U35" s="447"/>
      <c r="V35" s="445"/>
      <c r="W35" s="446"/>
      <c r="X35" s="446"/>
      <c r="Y35" s="446"/>
      <c r="Z35" s="446"/>
      <c r="AA35" s="447"/>
      <c r="AB35" s="454"/>
      <c r="AC35" s="455"/>
      <c r="AD35" s="456"/>
      <c r="AE35" s="456"/>
      <c r="AF35" s="456"/>
      <c r="AG35" s="457"/>
      <c r="AH35" s="466"/>
      <c r="AI35" s="464"/>
      <c r="AJ35" s="464"/>
      <c r="AK35" s="464"/>
      <c r="AL35" s="464"/>
      <c r="AM35" s="465"/>
      <c r="AN35" s="72"/>
      <c r="AO35" s="515"/>
      <c r="AP35" s="516"/>
      <c r="AQ35" s="516"/>
      <c r="AR35" s="516"/>
      <c r="AS35" s="516"/>
      <c r="AT35" s="517"/>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2"/>
      <c r="CA35" s="72"/>
      <c r="CB35" s="72"/>
    </row>
    <row r="36" spans="1:80" x14ac:dyDescent="0.25">
      <c r="A36" s="72"/>
      <c r="B36" s="521"/>
      <c r="C36" s="521"/>
      <c r="D36" s="522"/>
      <c r="E36" s="477"/>
      <c r="F36" s="478"/>
      <c r="G36" s="478"/>
      <c r="H36" s="478"/>
      <c r="I36" s="483"/>
      <c r="J36" s="436" t="e">
        <f>IF(AND('Mapa final'!#REF!="Baja",'Mapa final'!#REF!="Leve"),CONCATENATE("R",'Mapa final'!#REF!),"")</f>
        <v>#REF!</v>
      </c>
      <c r="K36" s="437"/>
      <c r="L36" s="437" t="str">
        <f>IF(AND('Mapa final'!$J$535="Baja",'Mapa final'!$N$535="Leve"),CONCATENATE("R",'Mapa final'!$A$535),"")</f>
        <v/>
      </c>
      <c r="M36" s="437"/>
      <c r="N36" s="437" t="str">
        <f>IF(AND('Mapa final'!$J$541="Baja",'Mapa final'!$N$541="Leve"),CONCATENATE("R",'Mapa final'!$A$541),"")</f>
        <v/>
      </c>
      <c r="O36" s="438"/>
      <c r="P36" s="446" t="e">
        <f>IF(AND('Mapa final'!#REF!="Baja",'Mapa final'!#REF!="Menor"),CONCATENATE("R",'Mapa final'!#REF!),"")</f>
        <v>#REF!</v>
      </c>
      <c r="Q36" s="446"/>
      <c r="R36" s="446" t="str">
        <f>IF(AND('Mapa final'!$J$535="Baja",'Mapa final'!$N$535="Menor"),CONCATENATE("R",'Mapa final'!$A$535),"")</f>
        <v/>
      </c>
      <c r="S36" s="446"/>
      <c r="T36" s="446" t="str">
        <f>IF(AND('Mapa final'!$J$541="Baja",'Mapa final'!$N$541="Menor"),CONCATENATE("R",'Mapa final'!$A$541),"")</f>
        <v/>
      </c>
      <c r="U36" s="447"/>
      <c r="V36" s="445" t="e">
        <f>IF(AND('Mapa final'!#REF!="Baja",'Mapa final'!#REF!="Moderado"),CONCATENATE("R",'Mapa final'!#REF!),"")</f>
        <v>#REF!</v>
      </c>
      <c r="W36" s="446"/>
      <c r="X36" s="446" t="str">
        <f>IF(AND('Mapa final'!$J$535="Baja",'Mapa final'!$N$535="Moderado"),CONCATENATE("R",'Mapa final'!$A$535),"")</f>
        <v/>
      </c>
      <c r="Y36" s="446"/>
      <c r="Z36" s="446" t="str">
        <f>IF(AND('Mapa final'!$J$541="Baja",'Mapa final'!$N$541="Moderado"),CONCATENATE("R",'Mapa final'!$A$541),"")</f>
        <v/>
      </c>
      <c r="AA36" s="447"/>
      <c r="AB36" s="454" t="e">
        <f>IF(AND('Mapa final'!#REF!="Baja",'Mapa final'!#REF!="Mayor"),CONCATENATE("R",'Mapa final'!#REF!),"")</f>
        <v>#REF!</v>
      </c>
      <c r="AC36" s="455"/>
      <c r="AD36" s="456" t="str">
        <f>IF(AND('Mapa final'!$J$535="Baja",'Mapa final'!$N$535="Mayor"),CONCATENATE("R",'Mapa final'!$A$535),"")</f>
        <v/>
      </c>
      <c r="AE36" s="456"/>
      <c r="AF36" s="456" t="str">
        <f>IF(AND('Mapa final'!$J$541="Baja",'Mapa final'!$N$541="Mayor"),CONCATENATE("R",'Mapa final'!$A$541),"")</f>
        <v/>
      </c>
      <c r="AG36" s="457"/>
      <c r="AH36" s="466" t="e">
        <f>IF(AND('Mapa final'!#REF!="Baja",'Mapa final'!#REF!="Catastrófico"),CONCATENATE("R",'Mapa final'!#REF!),"")</f>
        <v>#REF!</v>
      </c>
      <c r="AI36" s="464"/>
      <c r="AJ36" s="464" t="str">
        <f>IF(AND('Mapa final'!$J$535="Baja",'Mapa final'!$N$535="Catastrófico"),CONCATENATE("R",'Mapa final'!$A$535),"")</f>
        <v/>
      </c>
      <c r="AK36" s="464"/>
      <c r="AL36" s="464" t="str">
        <f>IF(AND('Mapa final'!$J$541="Baja",'Mapa final'!$N$541="Catastrófico"),CONCATENATE("R",'Mapa final'!$A$541),"")</f>
        <v/>
      </c>
      <c r="AM36" s="465"/>
      <c r="AN36" s="72"/>
      <c r="AO36" s="515"/>
      <c r="AP36" s="516"/>
      <c r="AQ36" s="516"/>
      <c r="AR36" s="516"/>
      <c r="AS36" s="516"/>
      <c r="AT36" s="517"/>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c r="BT36" s="72"/>
      <c r="BU36" s="72"/>
      <c r="BV36" s="72"/>
      <c r="BW36" s="72"/>
      <c r="BX36" s="72"/>
      <c r="BY36" s="72"/>
      <c r="BZ36" s="72"/>
      <c r="CA36" s="72"/>
      <c r="CB36" s="72"/>
    </row>
    <row r="37" spans="1:80" ht="15.75" thickBot="1" x14ac:dyDescent="0.3">
      <c r="A37" s="72"/>
      <c r="B37" s="521"/>
      <c r="C37" s="521"/>
      <c r="D37" s="522"/>
      <c r="E37" s="480"/>
      <c r="F37" s="481"/>
      <c r="G37" s="481"/>
      <c r="H37" s="481"/>
      <c r="I37" s="481"/>
      <c r="J37" s="439"/>
      <c r="K37" s="440"/>
      <c r="L37" s="440"/>
      <c r="M37" s="440"/>
      <c r="N37" s="440"/>
      <c r="O37" s="441"/>
      <c r="P37" s="449"/>
      <c r="Q37" s="449"/>
      <c r="R37" s="449"/>
      <c r="S37" s="449"/>
      <c r="T37" s="449"/>
      <c r="U37" s="450"/>
      <c r="V37" s="448"/>
      <c r="W37" s="449"/>
      <c r="X37" s="449"/>
      <c r="Y37" s="449"/>
      <c r="Z37" s="449"/>
      <c r="AA37" s="450"/>
      <c r="AB37" s="458"/>
      <c r="AC37" s="459"/>
      <c r="AD37" s="459"/>
      <c r="AE37" s="459"/>
      <c r="AF37" s="459"/>
      <c r="AG37" s="460"/>
      <c r="AH37" s="467"/>
      <c r="AI37" s="468"/>
      <c r="AJ37" s="468"/>
      <c r="AK37" s="468"/>
      <c r="AL37" s="468"/>
      <c r="AM37" s="469"/>
      <c r="AN37" s="72"/>
      <c r="AO37" s="518"/>
      <c r="AP37" s="519"/>
      <c r="AQ37" s="519"/>
      <c r="AR37" s="519"/>
      <c r="AS37" s="519"/>
      <c r="AT37" s="520"/>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c r="BY37" s="72"/>
      <c r="BZ37" s="72"/>
      <c r="CA37" s="72"/>
      <c r="CB37" s="72"/>
    </row>
    <row r="38" spans="1:80" x14ac:dyDescent="0.25">
      <c r="A38" s="72"/>
      <c r="B38" s="521"/>
      <c r="C38" s="521"/>
      <c r="D38" s="522"/>
      <c r="E38" s="474" t="s">
        <v>111</v>
      </c>
      <c r="F38" s="475"/>
      <c r="G38" s="475"/>
      <c r="H38" s="475"/>
      <c r="I38" s="476"/>
      <c r="J38" s="442" t="str">
        <f>IF(AND('Mapa final'!$J$13="Muy Baja",'Mapa final'!$N$13="Leve"),CONCATENATE("R",'Mapa final'!$A$13),"")</f>
        <v/>
      </c>
      <c r="K38" s="443"/>
      <c r="L38" s="443" t="e">
        <f>IF(AND('Mapa final'!#REF!="Muy Baja",'Mapa final'!#REF!="Leve"),CONCATENATE("R",'Mapa final'!#REF!),"")</f>
        <v>#REF!</v>
      </c>
      <c r="M38" s="443"/>
      <c r="N38" s="443" t="e">
        <f>IF(AND('Mapa final'!#REF!="Muy Baja",'Mapa final'!#REF!="Leve"),CONCATENATE("R",'Mapa final'!#REF!),"")</f>
        <v>#REF!</v>
      </c>
      <c r="O38" s="444"/>
      <c r="P38" s="442" t="str">
        <f>IF(AND('Mapa final'!$J$13="Muy Baja",'Mapa final'!$N$13="Menor"),CONCATENATE("R",'Mapa final'!$A$13),"")</f>
        <v/>
      </c>
      <c r="Q38" s="443"/>
      <c r="R38" s="443" t="e">
        <f>IF(AND('Mapa final'!#REF!="Muy Baja",'Mapa final'!#REF!="Menor"),CONCATENATE("R",'Mapa final'!#REF!),"")</f>
        <v>#REF!</v>
      </c>
      <c r="S38" s="443"/>
      <c r="T38" s="443" t="e">
        <f>IF(AND('Mapa final'!#REF!="Muy Baja",'Mapa final'!#REF!="Menor"),CONCATENATE("R",'Mapa final'!#REF!),"")</f>
        <v>#REF!</v>
      </c>
      <c r="U38" s="444"/>
      <c r="V38" s="451" t="str">
        <f>IF(AND('Mapa final'!$J$13="Muy Baja",'Mapa final'!$N$13="Moderado"),CONCATENATE("R",'Mapa final'!$A$13),"")</f>
        <v/>
      </c>
      <c r="W38" s="452"/>
      <c r="X38" s="452" t="e">
        <f>IF(AND('Mapa final'!#REF!="Muy Baja",'Mapa final'!#REF!="Moderado"),CONCATENATE("R",'Mapa final'!#REF!),"")</f>
        <v>#REF!</v>
      </c>
      <c r="Y38" s="452"/>
      <c r="Z38" s="452" t="e">
        <f>IF(AND('Mapa final'!#REF!="Muy Baja",'Mapa final'!#REF!="Moderado"),CONCATENATE("R",'Mapa final'!#REF!),"")</f>
        <v>#REF!</v>
      </c>
      <c r="AA38" s="453"/>
      <c r="AB38" s="461" t="str">
        <f>IF(AND('Mapa final'!$J$13="Muy Baja",'Mapa final'!$N$13="Mayor"),CONCATENATE("R",'Mapa final'!$A$13),"")</f>
        <v/>
      </c>
      <c r="AC38" s="462"/>
      <c r="AD38" s="462" t="e">
        <f>IF(AND('Mapa final'!#REF!="Muy Baja",'Mapa final'!#REF!="Mayor"),CONCATENATE("R",'Mapa final'!#REF!),"")</f>
        <v>#REF!</v>
      </c>
      <c r="AE38" s="462"/>
      <c r="AF38" s="462" t="e">
        <f>IF(AND('Mapa final'!#REF!="Muy Baja",'Mapa final'!#REF!="Mayor"),CONCATENATE("R",'Mapa final'!#REF!),"")</f>
        <v>#REF!</v>
      </c>
      <c r="AG38" s="463"/>
      <c r="AH38" s="470" t="str">
        <f>IF(AND('Mapa final'!$J$13="Muy Baja",'Mapa final'!$N$13="Catastrófico"),CONCATENATE("R",'Mapa final'!$A$13),"")</f>
        <v/>
      </c>
      <c r="AI38" s="471"/>
      <c r="AJ38" s="471" t="e">
        <f>IF(AND('Mapa final'!#REF!="Muy Baja",'Mapa final'!#REF!="Catastrófico"),CONCATENATE("R",'Mapa final'!#REF!),"")</f>
        <v>#REF!</v>
      </c>
      <c r="AK38" s="471"/>
      <c r="AL38" s="471" t="e">
        <f>IF(AND('Mapa final'!#REF!="Muy Baja",'Mapa final'!#REF!="Catastrófico"),CONCATENATE("R",'Mapa final'!#REF!),"")</f>
        <v>#REF!</v>
      </c>
      <c r="AM38" s="4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row>
    <row r="39" spans="1:80" x14ac:dyDescent="0.25">
      <c r="A39" s="72"/>
      <c r="B39" s="521"/>
      <c r="C39" s="521"/>
      <c r="D39" s="522"/>
      <c r="E39" s="477"/>
      <c r="F39" s="478"/>
      <c r="G39" s="478"/>
      <c r="H39" s="478"/>
      <c r="I39" s="479"/>
      <c r="J39" s="436"/>
      <c r="K39" s="437"/>
      <c r="L39" s="437"/>
      <c r="M39" s="437"/>
      <c r="N39" s="437"/>
      <c r="O39" s="438"/>
      <c r="P39" s="436"/>
      <c r="Q39" s="437"/>
      <c r="R39" s="437"/>
      <c r="S39" s="437"/>
      <c r="T39" s="437"/>
      <c r="U39" s="438"/>
      <c r="V39" s="445"/>
      <c r="W39" s="446"/>
      <c r="X39" s="446"/>
      <c r="Y39" s="446"/>
      <c r="Z39" s="446"/>
      <c r="AA39" s="447"/>
      <c r="AB39" s="454"/>
      <c r="AC39" s="455"/>
      <c r="AD39" s="455"/>
      <c r="AE39" s="455"/>
      <c r="AF39" s="455"/>
      <c r="AG39" s="457"/>
      <c r="AH39" s="466"/>
      <c r="AI39" s="464"/>
      <c r="AJ39" s="464"/>
      <c r="AK39" s="464"/>
      <c r="AL39" s="464"/>
      <c r="AM39" s="465"/>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c r="BV39" s="72"/>
      <c r="BW39" s="72"/>
      <c r="BX39" s="72"/>
      <c r="BY39" s="72"/>
      <c r="BZ39" s="72"/>
      <c r="CA39" s="72"/>
      <c r="CB39" s="72"/>
    </row>
    <row r="40" spans="1:80" x14ac:dyDescent="0.25">
      <c r="A40" s="72"/>
      <c r="B40" s="521"/>
      <c r="C40" s="521"/>
      <c r="D40" s="522"/>
      <c r="E40" s="477"/>
      <c r="F40" s="478"/>
      <c r="G40" s="478"/>
      <c r="H40" s="478"/>
      <c r="I40" s="479"/>
      <c r="J40" s="436" t="e">
        <f>IF(AND('Mapa final'!#REF!="Muy Baja",'Mapa final'!#REF!="Leve"),CONCATENATE("R",'Mapa final'!#REF!),"")</f>
        <v>#REF!</v>
      </c>
      <c r="K40" s="437"/>
      <c r="L40" s="437" t="e">
        <f>IF(AND('Mapa final'!#REF!="Muy Baja",'Mapa final'!#REF!="Leve"),CONCATENATE("R",'Mapa final'!#REF!),"")</f>
        <v>#REF!</v>
      </c>
      <c r="M40" s="437"/>
      <c r="N40" s="437" t="e">
        <f>IF(AND('Mapa final'!#REF!="Muy Baja",'Mapa final'!#REF!="Leve"),CONCATENATE("R",'Mapa final'!#REF!),"")</f>
        <v>#REF!</v>
      </c>
      <c r="O40" s="438"/>
      <c r="P40" s="436" t="e">
        <f>IF(AND('Mapa final'!#REF!="Muy Baja",'Mapa final'!#REF!="Menor"),CONCATENATE("R",'Mapa final'!#REF!),"")</f>
        <v>#REF!</v>
      </c>
      <c r="Q40" s="437"/>
      <c r="R40" s="437" t="e">
        <f>IF(AND('Mapa final'!#REF!="Muy Baja",'Mapa final'!#REF!="Menor"),CONCATENATE("R",'Mapa final'!#REF!),"")</f>
        <v>#REF!</v>
      </c>
      <c r="S40" s="437"/>
      <c r="T40" s="437" t="e">
        <f>IF(AND('Mapa final'!#REF!="Muy Baja",'Mapa final'!#REF!="Menor"),CONCATENATE("R",'Mapa final'!#REF!),"")</f>
        <v>#REF!</v>
      </c>
      <c r="U40" s="438"/>
      <c r="V40" s="445" t="e">
        <f>IF(AND('Mapa final'!#REF!="Muy Baja",'Mapa final'!#REF!="Moderado"),CONCATENATE("R",'Mapa final'!#REF!),"")</f>
        <v>#REF!</v>
      </c>
      <c r="W40" s="446"/>
      <c r="X40" s="446" t="e">
        <f>IF(AND('Mapa final'!#REF!="Muy Baja",'Mapa final'!#REF!="Moderado"),CONCATENATE("R",'Mapa final'!#REF!),"")</f>
        <v>#REF!</v>
      </c>
      <c r="Y40" s="446"/>
      <c r="Z40" s="446" t="e">
        <f>IF(AND('Mapa final'!#REF!="Muy Baja",'Mapa final'!#REF!="Moderado"),CONCATENATE("R",'Mapa final'!#REF!),"")</f>
        <v>#REF!</v>
      </c>
      <c r="AA40" s="447"/>
      <c r="AB40" s="454" t="e">
        <f>IF(AND('Mapa final'!#REF!="Muy Baja",'Mapa final'!#REF!="Mayor"),CONCATENATE("R",'Mapa final'!#REF!),"")</f>
        <v>#REF!</v>
      </c>
      <c r="AC40" s="455"/>
      <c r="AD40" s="456" t="e">
        <f>IF(AND('Mapa final'!#REF!="Muy Baja",'Mapa final'!#REF!="Mayor"),CONCATENATE("R",'Mapa final'!#REF!),"")</f>
        <v>#REF!</v>
      </c>
      <c r="AE40" s="456"/>
      <c r="AF40" s="456" t="e">
        <f>IF(AND('Mapa final'!#REF!="Muy Baja",'Mapa final'!#REF!="Mayor"),CONCATENATE("R",'Mapa final'!#REF!),"")</f>
        <v>#REF!</v>
      </c>
      <c r="AG40" s="457"/>
      <c r="AH40" s="466" t="e">
        <f>IF(AND('Mapa final'!#REF!="Muy Baja",'Mapa final'!#REF!="Catastrófico"),CONCATENATE("R",'Mapa final'!#REF!),"")</f>
        <v>#REF!</v>
      </c>
      <c r="AI40" s="464"/>
      <c r="AJ40" s="464" t="e">
        <f>IF(AND('Mapa final'!#REF!="Muy Baja",'Mapa final'!#REF!="Catastrófico"),CONCATENATE("R",'Mapa final'!#REF!),"")</f>
        <v>#REF!</v>
      </c>
      <c r="AK40" s="464"/>
      <c r="AL40" s="464" t="e">
        <f>IF(AND('Mapa final'!#REF!="Muy Baja",'Mapa final'!#REF!="Catastrófico"),CONCATENATE("R",'Mapa final'!#REF!),"")</f>
        <v>#REF!</v>
      </c>
      <c r="AM40" s="465"/>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c r="BV40" s="72"/>
      <c r="BW40" s="72"/>
      <c r="BX40" s="72"/>
      <c r="BY40" s="72"/>
      <c r="BZ40" s="72"/>
      <c r="CA40" s="72"/>
      <c r="CB40" s="72"/>
    </row>
    <row r="41" spans="1:80" x14ac:dyDescent="0.25">
      <c r="A41" s="72"/>
      <c r="B41" s="521"/>
      <c r="C41" s="521"/>
      <c r="D41" s="522"/>
      <c r="E41" s="477"/>
      <c r="F41" s="478"/>
      <c r="G41" s="478"/>
      <c r="H41" s="478"/>
      <c r="I41" s="479"/>
      <c r="J41" s="436"/>
      <c r="K41" s="437"/>
      <c r="L41" s="437"/>
      <c r="M41" s="437"/>
      <c r="N41" s="437"/>
      <c r="O41" s="438"/>
      <c r="P41" s="436"/>
      <c r="Q41" s="437"/>
      <c r="R41" s="437"/>
      <c r="S41" s="437"/>
      <c r="T41" s="437"/>
      <c r="U41" s="438"/>
      <c r="V41" s="445"/>
      <c r="W41" s="446"/>
      <c r="X41" s="446"/>
      <c r="Y41" s="446"/>
      <c r="Z41" s="446"/>
      <c r="AA41" s="447"/>
      <c r="AB41" s="454"/>
      <c r="AC41" s="455"/>
      <c r="AD41" s="456"/>
      <c r="AE41" s="456"/>
      <c r="AF41" s="456"/>
      <c r="AG41" s="457"/>
      <c r="AH41" s="466"/>
      <c r="AI41" s="464"/>
      <c r="AJ41" s="464"/>
      <c r="AK41" s="464"/>
      <c r="AL41" s="464"/>
      <c r="AM41" s="465"/>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c r="BV41" s="72"/>
      <c r="BW41" s="72"/>
      <c r="BX41" s="72"/>
      <c r="BY41" s="72"/>
      <c r="BZ41" s="72"/>
      <c r="CA41" s="72"/>
      <c r="CB41" s="72"/>
    </row>
    <row r="42" spans="1:80" x14ac:dyDescent="0.25">
      <c r="A42" s="72"/>
      <c r="B42" s="521"/>
      <c r="C42" s="521"/>
      <c r="D42" s="522"/>
      <c r="E42" s="477"/>
      <c r="F42" s="478"/>
      <c r="G42" s="478"/>
      <c r="H42" s="478"/>
      <c r="I42" s="479"/>
      <c r="J42" s="436" t="e">
        <f>IF(AND('Mapa final'!#REF!="Muy Baja",'Mapa final'!#REF!="Leve"),CONCATENATE("R",'Mapa final'!#REF!),"")</f>
        <v>#REF!</v>
      </c>
      <c r="K42" s="437"/>
      <c r="L42" s="437" t="e">
        <f>IF(AND('Mapa final'!#REF!="Muy Baja",'Mapa final'!#REF!="Leve"),CONCATENATE("R",'Mapa final'!#REF!),"")</f>
        <v>#REF!</v>
      </c>
      <c r="M42" s="437"/>
      <c r="N42" s="437" t="e">
        <f>IF(AND('Mapa final'!#REF!="Muy Baja",'Mapa final'!#REF!="Leve"),CONCATENATE("R",'Mapa final'!#REF!),"")</f>
        <v>#REF!</v>
      </c>
      <c r="O42" s="438"/>
      <c r="P42" s="436" t="e">
        <f>IF(AND('Mapa final'!#REF!="Muy Baja",'Mapa final'!#REF!="Menor"),CONCATENATE("R",'Mapa final'!#REF!),"")</f>
        <v>#REF!</v>
      </c>
      <c r="Q42" s="437"/>
      <c r="R42" s="437" t="e">
        <f>IF(AND('Mapa final'!#REF!="Muy Baja",'Mapa final'!#REF!="Menor"),CONCATENATE("R",'Mapa final'!#REF!),"")</f>
        <v>#REF!</v>
      </c>
      <c r="S42" s="437"/>
      <c r="T42" s="437" t="e">
        <f>IF(AND('Mapa final'!#REF!="Muy Baja",'Mapa final'!#REF!="Menor"),CONCATENATE("R",'Mapa final'!#REF!),"")</f>
        <v>#REF!</v>
      </c>
      <c r="U42" s="438"/>
      <c r="V42" s="445" t="e">
        <f>IF(AND('Mapa final'!#REF!="Muy Baja",'Mapa final'!#REF!="Moderado"),CONCATENATE("R",'Mapa final'!#REF!),"")</f>
        <v>#REF!</v>
      </c>
      <c r="W42" s="446"/>
      <c r="X42" s="446" t="e">
        <f>IF(AND('Mapa final'!#REF!="Muy Baja",'Mapa final'!#REF!="Moderado"),CONCATENATE("R",'Mapa final'!#REF!),"")</f>
        <v>#REF!</v>
      </c>
      <c r="Y42" s="446"/>
      <c r="Z42" s="446" t="e">
        <f>IF(AND('Mapa final'!#REF!="Muy Baja",'Mapa final'!#REF!="Moderado"),CONCATENATE("R",'Mapa final'!#REF!),"")</f>
        <v>#REF!</v>
      </c>
      <c r="AA42" s="447"/>
      <c r="AB42" s="454" t="e">
        <f>IF(AND('Mapa final'!#REF!="Muy Baja",'Mapa final'!#REF!="Mayor"),CONCATENATE("R",'Mapa final'!#REF!),"")</f>
        <v>#REF!</v>
      </c>
      <c r="AC42" s="455"/>
      <c r="AD42" s="456" t="e">
        <f>IF(AND('Mapa final'!#REF!="Muy Baja",'Mapa final'!#REF!="Mayor"),CONCATENATE("R",'Mapa final'!#REF!),"")</f>
        <v>#REF!</v>
      </c>
      <c r="AE42" s="456"/>
      <c r="AF42" s="456" t="e">
        <f>IF(AND('Mapa final'!#REF!="Muy Baja",'Mapa final'!#REF!="Mayor"),CONCATENATE("R",'Mapa final'!#REF!),"")</f>
        <v>#REF!</v>
      </c>
      <c r="AG42" s="457"/>
      <c r="AH42" s="466" t="e">
        <f>IF(AND('Mapa final'!#REF!="Muy Baja",'Mapa final'!#REF!="Catastrófico"),CONCATENATE("R",'Mapa final'!#REF!),"")</f>
        <v>#REF!</v>
      </c>
      <c r="AI42" s="464"/>
      <c r="AJ42" s="464" t="e">
        <f>IF(AND('Mapa final'!#REF!="Muy Baja",'Mapa final'!#REF!="Catastrófico"),CONCATENATE("R",'Mapa final'!#REF!),"")</f>
        <v>#REF!</v>
      </c>
      <c r="AK42" s="464"/>
      <c r="AL42" s="464" t="e">
        <f>IF(AND('Mapa final'!#REF!="Muy Baja",'Mapa final'!#REF!="Catastrófico"),CONCATENATE("R",'Mapa final'!#REF!),"")</f>
        <v>#REF!</v>
      </c>
      <c r="AM42" s="465"/>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row>
    <row r="43" spans="1:80" x14ac:dyDescent="0.25">
      <c r="A43" s="72"/>
      <c r="B43" s="521"/>
      <c r="C43" s="521"/>
      <c r="D43" s="522"/>
      <c r="E43" s="477"/>
      <c r="F43" s="478"/>
      <c r="G43" s="478"/>
      <c r="H43" s="478"/>
      <c r="I43" s="479"/>
      <c r="J43" s="436"/>
      <c r="K43" s="437"/>
      <c r="L43" s="437"/>
      <c r="M43" s="437"/>
      <c r="N43" s="437"/>
      <c r="O43" s="438"/>
      <c r="P43" s="436"/>
      <c r="Q43" s="437"/>
      <c r="R43" s="437"/>
      <c r="S43" s="437"/>
      <c r="T43" s="437"/>
      <c r="U43" s="438"/>
      <c r="V43" s="445"/>
      <c r="W43" s="446"/>
      <c r="X43" s="446"/>
      <c r="Y43" s="446"/>
      <c r="Z43" s="446"/>
      <c r="AA43" s="447"/>
      <c r="AB43" s="454"/>
      <c r="AC43" s="455"/>
      <c r="AD43" s="456"/>
      <c r="AE43" s="456"/>
      <c r="AF43" s="456"/>
      <c r="AG43" s="457"/>
      <c r="AH43" s="466"/>
      <c r="AI43" s="464"/>
      <c r="AJ43" s="464"/>
      <c r="AK43" s="464"/>
      <c r="AL43" s="464"/>
      <c r="AM43" s="465"/>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row>
    <row r="44" spans="1:80" x14ac:dyDescent="0.25">
      <c r="A44" s="72"/>
      <c r="B44" s="521"/>
      <c r="C44" s="521"/>
      <c r="D44" s="522"/>
      <c r="E44" s="477"/>
      <c r="F44" s="478"/>
      <c r="G44" s="478"/>
      <c r="H44" s="478"/>
      <c r="I44" s="479"/>
      <c r="J44" s="436" t="e">
        <f>IF(AND('Mapa final'!#REF!="Muy Baja",'Mapa final'!#REF!="Leve"),CONCATENATE("R",'Mapa final'!#REF!),"")</f>
        <v>#REF!</v>
      </c>
      <c r="K44" s="437"/>
      <c r="L44" s="437" t="str">
        <f>IF(AND('Mapa final'!$J$535="Muy Baja",'Mapa final'!$N$535="Leve"),CONCATENATE("R",'Mapa final'!$A$535),"")</f>
        <v/>
      </c>
      <c r="M44" s="437"/>
      <c r="N44" s="437" t="str">
        <f>IF(AND('Mapa final'!$J$541="Muy Baja",'Mapa final'!$N$541="Leve"),CONCATENATE("R",'Mapa final'!$A$541),"")</f>
        <v/>
      </c>
      <c r="O44" s="438"/>
      <c r="P44" s="436" t="e">
        <f>IF(AND('Mapa final'!#REF!="Muy Baja",'Mapa final'!#REF!="Menor"),CONCATENATE("R",'Mapa final'!#REF!),"")</f>
        <v>#REF!</v>
      </c>
      <c r="Q44" s="437"/>
      <c r="R44" s="437" t="str">
        <f>IF(AND('Mapa final'!$J$535="Muy Baja",'Mapa final'!$N$535="Menor"),CONCATENATE("R",'Mapa final'!$A$535),"")</f>
        <v/>
      </c>
      <c r="S44" s="437"/>
      <c r="T44" s="437" t="str">
        <f>IF(AND('Mapa final'!$J$541="Muy Baja",'Mapa final'!$N$541="Menor"),CONCATENATE("R",'Mapa final'!$A$541),"")</f>
        <v/>
      </c>
      <c r="U44" s="438"/>
      <c r="V44" s="445" t="e">
        <f>IF(AND('Mapa final'!#REF!="Muy Baja",'Mapa final'!#REF!="Moderado"),CONCATENATE("R",'Mapa final'!#REF!),"")</f>
        <v>#REF!</v>
      </c>
      <c r="W44" s="446"/>
      <c r="X44" s="446" t="str">
        <f>IF(AND('Mapa final'!$J$535="Muy Baja",'Mapa final'!$N$535="Moderado"),CONCATENATE("R",'Mapa final'!$A$535),"")</f>
        <v/>
      </c>
      <c r="Y44" s="446"/>
      <c r="Z44" s="446" t="str">
        <f>IF(AND('Mapa final'!$J$541="Muy Baja",'Mapa final'!$N$541="Moderado"),CONCATENATE("R",'Mapa final'!$A$541),"")</f>
        <v/>
      </c>
      <c r="AA44" s="447"/>
      <c r="AB44" s="454" t="e">
        <f>IF(AND('Mapa final'!#REF!="Muy Baja",'Mapa final'!#REF!="Mayor"),CONCATENATE("R",'Mapa final'!#REF!),"")</f>
        <v>#REF!</v>
      </c>
      <c r="AC44" s="455"/>
      <c r="AD44" s="456" t="str">
        <f>IF(AND('Mapa final'!$J$535="Muy Baja",'Mapa final'!$N$535="Mayor"),CONCATENATE("R",'Mapa final'!$A$535),"")</f>
        <v/>
      </c>
      <c r="AE44" s="456"/>
      <c r="AF44" s="456" t="str">
        <f>IF(AND('Mapa final'!$J$541="Muy Baja",'Mapa final'!$N$541="Mayor"),CONCATENATE("R",'Mapa final'!$A$541),"")</f>
        <v/>
      </c>
      <c r="AG44" s="457"/>
      <c r="AH44" s="466" t="e">
        <f>IF(AND('Mapa final'!#REF!="Muy Baja",'Mapa final'!#REF!="Catastrófico"),CONCATENATE("R",'Mapa final'!#REF!),"")</f>
        <v>#REF!</v>
      </c>
      <c r="AI44" s="464"/>
      <c r="AJ44" s="464" t="str">
        <f>IF(AND('Mapa final'!$J$535="Muy Baja",'Mapa final'!$N$535="Catastrófico"),CONCATENATE("R",'Mapa final'!$A$535),"")</f>
        <v/>
      </c>
      <c r="AK44" s="464"/>
      <c r="AL44" s="464" t="str">
        <f>IF(AND('Mapa final'!$J$541="Muy Baja",'Mapa final'!$N$541="Catastrófico"),CONCATENATE("R",'Mapa final'!$A$541),"")</f>
        <v/>
      </c>
      <c r="AM44" s="465"/>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row>
    <row r="45" spans="1:80" ht="15.75" thickBot="1" x14ac:dyDescent="0.3">
      <c r="A45" s="72"/>
      <c r="B45" s="521"/>
      <c r="C45" s="521"/>
      <c r="D45" s="522"/>
      <c r="E45" s="480"/>
      <c r="F45" s="481"/>
      <c r="G45" s="481"/>
      <c r="H45" s="481"/>
      <c r="I45" s="482"/>
      <c r="J45" s="439"/>
      <c r="K45" s="440"/>
      <c r="L45" s="440"/>
      <c r="M45" s="440"/>
      <c r="N45" s="440"/>
      <c r="O45" s="441"/>
      <c r="P45" s="439"/>
      <c r="Q45" s="440"/>
      <c r="R45" s="440"/>
      <c r="S45" s="440"/>
      <c r="T45" s="440"/>
      <c r="U45" s="441"/>
      <c r="V45" s="448"/>
      <c r="W45" s="449"/>
      <c r="X45" s="449"/>
      <c r="Y45" s="449"/>
      <c r="Z45" s="449"/>
      <c r="AA45" s="450"/>
      <c r="AB45" s="458"/>
      <c r="AC45" s="459"/>
      <c r="AD45" s="459"/>
      <c r="AE45" s="459"/>
      <c r="AF45" s="459"/>
      <c r="AG45" s="460"/>
      <c r="AH45" s="467"/>
      <c r="AI45" s="468"/>
      <c r="AJ45" s="468"/>
      <c r="AK45" s="468"/>
      <c r="AL45" s="468"/>
      <c r="AM45" s="469"/>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row>
    <row r="46" spans="1:80" x14ac:dyDescent="0.25">
      <c r="A46" s="72"/>
      <c r="B46" s="72"/>
      <c r="C46" s="72"/>
      <c r="D46" s="72"/>
      <c r="E46" s="72"/>
      <c r="F46" s="72"/>
      <c r="G46" s="72"/>
      <c r="H46" s="72"/>
      <c r="I46" s="72"/>
      <c r="J46" s="474" t="s">
        <v>110</v>
      </c>
      <c r="K46" s="475"/>
      <c r="L46" s="475"/>
      <c r="M46" s="475"/>
      <c r="N46" s="475"/>
      <c r="O46" s="476"/>
      <c r="P46" s="474" t="s">
        <v>109</v>
      </c>
      <c r="Q46" s="475"/>
      <c r="R46" s="475"/>
      <c r="S46" s="475"/>
      <c r="T46" s="475"/>
      <c r="U46" s="476"/>
      <c r="V46" s="474" t="s">
        <v>108</v>
      </c>
      <c r="W46" s="475"/>
      <c r="X46" s="475"/>
      <c r="Y46" s="475"/>
      <c r="Z46" s="475"/>
      <c r="AA46" s="476"/>
      <c r="AB46" s="474" t="s">
        <v>107</v>
      </c>
      <c r="AC46" s="484"/>
      <c r="AD46" s="475"/>
      <c r="AE46" s="475"/>
      <c r="AF46" s="475"/>
      <c r="AG46" s="476"/>
      <c r="AH46" s="474" t="s">
        <v>106</v>
      </c>
      <c r="AI46" s="475"/>
      <c r="AJ46" s="475"/>
      <c r="AK46" s="475"/>
      <c r="AL46" s="475"/>
      <c r="AM46" s="476"/>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c r="BV46" s="72"/>
      <c r="BW46" s="72"/>
      <c r="BX46" s="72"/>
      <c r="BY46" s="72"/>
      <c r="BZ46" s="72"/>
      <c r="CA46" s="72"/>
      <c r="CB46" s="72"/>
    </row>
    <row r="47" spans="1:80" x14ac:dyDescent="0.25">
      <c r="A47" s="72"/>
      <c r="B47" s="72"/>
      <c r="C47" s="72"/>
      <c r="D47" s="72"/>
      <c r="E47" s="72"/>
      <c r="F47" s="72"/>
      <c r="G47" s="72"/>
      <c r="H47" s="72"/>
      <c r="I47" s="72"/>
      <c r="J47" s="477"/>
      <c r="K47" s="478"/>
      <c r="L47" s="478"/>
      <c r="M47" s="478"/>
      <c r="N47" s="478"/>
      <c r="O47" s="479"/>
      <c r="P47" s="477"/>
      <c r="Q47" s="478"/>
      <c r="R47" s="478"/>
      <c r="S47" s="478"/>
      <c r="T47" s="478"/>
      <c r="U47" s="479"/>
      <c r="V47" s="477"/>
      <c r="W47" s="478"/>
      <c r="X47" s="478"/>
      <c r="Y47" s="478"/>
      <c r="Z47" s="478"/>
      <c r="AA47" s="479"/>
      <c r="AB47" s="477"/>
      <c r="AC47" s="478"/>
      <c r="AD47" s="478"/>
      <c r="AE47" s="478"/>
      <c r="AF47" s="478"/>
      <c r="AG47" s="479"/>
      <c r="AH47" s="477"/>
      <c r="AI47" s="478"/>
      <c r="AJ47" s="478"/>
      <c r="AK47" s="478"/>
      <c r="AL47" s="478"/>
      <c r="AM47" s="479"/>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row>
    <row r="48" spans="1:80" x14ac:dyDescent="0.25">
      <c r="A48" s="72"/>
      <c r="B48" s="72"/>
      <c r="C48" s="72"/>
      <c r="D48" s="72"/>
      <c r="E48" s="72"/>
      <c r="F48" s="72"/>
      <c r="G48" s="72"/>
      <c r="H48" s="72"/>
      <c r="I48" s="72"/>
      <c r="J48" s="477"/>
      <c r="K48" s="478"/>
      <c r="L48" s="478"/>
      <c r="M48" s="478"/>
      <c r="N48" s="478"/>
      <c r="O48" s="479"/>
      <c r="P48" s="477"/>
      <c r="Q48" s="478"/>
      <c r="R48" s="478"/>
      <c r="S48" s="478"/>
      <c r="T48" s="478"/>
      <c r="U48" s="479"/>
      <c r="V48" s="477"/>
      <c r="W48" s="478"/>
      <c r="X48" s="478"/>
      <c r="Y48" s="478"/>
      <c r="Z48" s="478"/>
      <c r="AA48" s="479"/>
      <c r="AB48" s="477"/>
      <c r="AC48" s="478"/>
      <c r="AD48" s="478"/>
      <c r="AE48" s="478"/>
      <c r="AF48" s="478"/>
      <c r="AG48" s="479"/>
      <c r="AH48" s="477"/>
      <c r="AI48" s="478"/>
      <c r="AJ48" s="478"/>
      <c r="AK48" s="478"/>
      <c r="AL48" s="478"/>
      <c r="AM48" s="479"/>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row>
    <row r="49" spans="1:80" x14ac:dyDescent="0.25">
      <c r="A49" s="72"/>
      <c r="B49" s="72"/>
      <c r="C49" s="72"/>
      <c r="D49" s="72"/>
      <c r="E49" s="72"/>
      <c r="F49" s="72"/>
      <c r="G49" s="72"/>
      <c r="H49" s="72"/>
      <c r="I49" s="72"/>
      <c r="J49" s="477"/>
      <c r="K49" s="478"/>
      <c r="L49" s="478"/>
      <c r="M49" s="478"/>
      <c r="N49" s="478"/>
      <c r="O49" s="479"/>
      <c r="P49" s="477"/>
      <c r="Q49" s="478"/>
      <c r="R49" s="478"/>
      <c r="S49" s="478"/>
      <c r="T49" s="478"/>
      <c r="U49" s="479"/>
      <c r="V49" s="477"/>
      <c r="W49" s="478"/>
      <c r="X49" s="478"/>
      <c r="Y49" s="478"/>
      <c r="Z49" s="478"/>
      <c r="AA49" s="479"/>
      <c r="AB49" s="477"/>
      <c r="AC49" s="478"/>
      <c r="AD49" s="478"/>
      <c r="AE49" s="478"/>
      <c r="AF49" s="478"/>
      <c r="AG49" s="479"/>
      <c r="AH49" s="477"/>
      <c r="AI49" s="478"/>
      <c r="AJ49" s="478"/>
      <c r="AK49" s="478"/>
      <c r="AL49" s="478"/>
      <c r="AM49" s="479"/>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row>
    <row r="50" spans="1:80" x14ac:dyDescent="0.25">
      <c r="A50" s="72"/>
      <c r="B50" s="72"/>
      <c r="C50" s="72"/>
      <c r="D50" s="72"/>
      <c r="E50" s="72"/>
      <c r="F50" s="72"/>
      <c r="G50" s="72"/>
      <c r="H50" s="72"/>
      <c r="I50" s="72"/>
      <c r="J50" s="477"/>
      <c r="K50" s="478"/>
      <c r="L50" s="478"/>
      <c r="M50" s="478"/>
      <c r="N50" s="478"/>
      <c r="O50" s="479"/>
      <c r="P50" s="477"/>
      <c r="Q50" s="478"/>
      <c r="R50" s="478"/>
      <c r="S50" s="478"/>
      <c r="T50" s="478"/>
      <c r="U50" s="479"/>
      <c r="V50" s="477"/>
      <c r="W50" s="478"/>
      <c r="X50" s="478"/>
      <c r="Y50" s="478"/>
      <c r="Z50" s="478"/>
      <c r="AA50" s="479"/>
      <c r="AB50" s="477"/>
      <c r="AC50" s="478"/>
      <c r="AD50" s="478"/>
      <c r="AE50" s="478"/>
      <c r="AF50" s="478"/>
      <c r="AG50" s="479"/>
      <c r="AH50" s="477"/>
      <c r="AI50" s="478"/>
      <c r="AJ50" s="478"/>
      <c r="AK50" s="478"/>
      <c r="AL50" s="478"/>
      <c r="AM50" s="479"/>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c r="BV50" s="72"/>
      <c r="BW50" s="72"/>
      <c r="BX50" s="72"/>
      <c r="BY50" s="72"/>
      <c r="BZ50" s="72"/>
      <c r="CA50" s="72"/>
      <c r="CB50" s="72"/>
    </row>
    <row r="51" spans="1:80" ht="15.75" thickBot="1" x14ac:dyDescent="0.3">
      <c r="A51" s="72"/>
      <c r="B51" s="72"/>
      <c r="C51" s="72"/>
      <c r="D51" s="72"/>
      <c r="E51" s="72"/>
      <c r="F51" s="72"/>
      <c r="G51" s="72"/>
      <c r="H51" s="72"/>
      <c r="I51" s="72"/>
      <c r="J51" s="480"/>
      <c r="K51" s="481"/>
      <c r="L51" s="481"/>
      <c r="M51" s="481"/>
      <c r="N51" s="481"/>
      <c r="O51" s="482"/>
      <c r="P51" s="480"/>
      <c r="Q51" s="481"/>
      <c r="R51" s="481"/>
      <c r="S51" s="481"/>
      <c r="T51" s="481"/>
      <c r="U51" s="482"/>
      <c r="V51" s="480"/>
      <c r="W51" s="481"/>
      <c r="X51" s="481"/>
      <c r="Y51" s="481"/>
      <c r="Z51" s="481"/>
      <c r="AA51" s="482"/>
      <c r="AB51" s="480"/>
      <c r="AC51" s="481"/>
      <c r="AD51" s="481"/>
      <c r="AE51" s="481"/>
      <c r="AF51" s="481"/>
      <c r="AG51" s="482"/>
      <c r="AH51" s="480"/>
      <c r="AI51" s="481"/>
      <c r="AJ51" s="481"/>
      <c r="AK51" s="481"/>
      <c r="AL51" s="481"/>
      <c r="AM51" s="48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c r="BV51" s="72"/>
      <c r="BW51" s="72"/>
      <c r="BX51" s="72"/>
      <c r="BY51" s="72"/>
      <c r="BZ51" s="72"/>
      <c r="CA51" s="72"/>
      <c r="CB51" s="72"/>
    </row>
    <row r="52" spans="1:80" x14ac:dyDescent="0.25">
      <c r="A52" s="72"/>
      <c r="B52" s="72"/>
      <c r="C52" s="72"/>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row>
    <row r="53" spans="1:80" ht="15" customHeight="1" x14ac:dyDescent="0.25">
      <c r="A53" s="72"/>
      <c r="B53" s="76"/>
      <c r="C53" s="76"/>
      <c r="D53" s="76"/>
      <c r="E53" s="76"/>
      <c r="F53" s="76"/>
      <c r="G53" s="76"/>
      <c r="H53" s="76"/>
      <c r="I53" s="76"/>
      <c r="J53" s="76"/>
      <c r="K53" s="76"/>
      <c r="L53" s="76"/>
      <c r="M53" s="76"/>
      <c r="N53" s="76"/>
      <c r="O53" s="76"/>
      <c r="P53" s="76"/>
      <c r="Q53" s="76"/>
      <c r="R53" s="76"/>
      <c r="S53" s="76"/>
      <c r="T53" s="76"/>
      <c r="U53" s="76"/>
      <c r="V53" s="76"/>
      <c r="W53" s="76"/>
      <c r="X53" s="76"/>
      <c r="Y53" s="76"/>
      <c r="Z53" s="76"/>
      <c r="AA53" s="76"/>
      <c r="AB53" s="76"/>
      <c r="AC53" s="76"/>
      <c r="AD53" s="76"/>
      <c r="AE53" s="76"/>
      <c r="AF53" s="76"/>
      <c r="AG53" s="76"/>
      <c r="AH53" s="76"/>
      <c r="AI53" s="76"/>
      <c r="AJ53" s="76"/>
      <c r="AK53" s="76"/>
      <c r="AL53" s="76"/>
      <c r="AM53" s="76"/>
      <c r="AN53" s="76"/>
      <c r="AO53" s="76"/>
      <c r="AP53" s="76"/>
      <c r="AQ53" s="76"/>
      <c r="AR53" s="76"/>
      <c r="AS53" s="76"/>
      <c r="AT53" s="76"/>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row>
    <row r="54" spans="1:80" ht="15" customHeight="1" x14ac:dyDescent="0.25">
      <c r="A54" s="72"/>
      <c r="B54" s="76"/>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c r="AM54" s="76"/>
      <c r="AN54" s="76"/>
      <c r="AO54" s="76"/>
      <c r="AP54" s="76"/>
      <c r="AQ54" s="76"/>
      <c r="AR54" s="76"/>
      <c r="AS54" s="76"/>
      <c r="AT54" s="76"/>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row>
    <row r="55" spans="1:80" x14ac:dyDescent="0.25">
      <c r="A55" s="72"/>
      <c r="B55" s="72"/>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row>
    <row r="56" spans="1:80" x14ac:dyDescent="0.25">
      <c r="A56" s="72"/>
      <c r="B56" s="72"/>
      <c r="C56" s="72"/>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row>
    <row r="57" spans="1:80" x14ac:dyDescent="0.25">
      <c r="A57" s="72"/>
      <c r="B57" s="72"/>
      <c r="C57" s="72"/>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row>
    <row r="58" spans="1:80" x14ac:dyDescent="0.25">
      <c r="A58" s="72"/>
      <c r="B58" s="7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row>
    <row r="59" spans="1:80" x14ac:dyDescent="0.25">
      <c r="A59" s="72"/>
      <c r="B59" s="72"/>
      <c r="C59" s="72"/>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row>
    <row r="60" spans="1:80" x14ac:dyDescent="0.25">
      <c r="A60" s="72"/>
      <c r="B60" s="72"/>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row>
    <row r="61" spans="1:80" x14ac:dyDescent="0.25">
      <c r="A61" s="72"/>
      <c r="B61" s="72"/>
      <c r="C61" s="72"/>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row>
    <row r="62" spans="1:80" x14ac:dyDescent="0.25">
      <c r="A62" s="7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row>
    <row r="63" spans="1:80" x14ac:dyDescent="0.25">
      <c r="A63" s="72"/>
      <c r="B63" s="72"/>
      <c r="C63" s="72"/>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row>
    <row r="64" spans="1:80" x14ac:dyDescent="0.25">
      <c r="A64" s="72"/>
      <c r="B64" s="72"/>
      <c r="C64" s="72"/>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c r="BV64" s="72"/>
      <c r="BW64" s="72"/>
      <c r="BX64" s="72"/>
      <c r="BY64" s="72"/>
      <c r="BZ64" s="72"/>
      <c r="CA64" s="72"/>
      <c r="CB64" s="72"/>
    </row>
    <row r="65" spans="1:80" x14ac:dyDescent="0.25">
      <c r="A65" s="72"/>
      <c r="B65" s="72"/>
      <c r="C65" s="72"/>
      <c r="D65" s="72"/>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c r="BI65" s="72"/>
      <c r="BJ65" s="72"/>
      <c r="BK65" s="72"/>
      <c r="BL65" s="72"/>
      <c r="BM65" s="72"/>
      <c r="BN65" s="72"/>
      <c r="BO65" s="72"/>
      <c r="BP65" s="72"/>
      <c r="BQ65" s="72"/>
      <c r="BR65" s="72"/>
      <c r="BS65" s="72"/>
      <c r="BT65" s="72"/>
      <c r="BU65" s="72"/>
      <c r="BV65" s="72"/>
      <c r="BW65" s="72"/>
      <c r="BX65" s="72"/>
      <c r="BY65" s="72"/>
      <c r="BZ65" s="72"/>
      <c r="CA65" s="72"/>
      <c r="CB65" s="72"/>
    </row>
    <row r="66" spans="1:80" x14ac:dyDescent="0.25">
      <c r="A66" s="72"/>
      <c r="B66" s="72"/>
      <c r="C66" s="72"/>
      <c r="D66" s="72"/>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c r="BI66" s="72"/>
      <c r="BJ66" s="72"/>
      <c r="BK66" s="72"/>
      <c r="BL66" s="72"/>
      <c r="BM66" s="72"/>
      <c r="BN66" s="72"/>
      <c r="BO66" s="72"/>
      <c r="BP66" s="72"/>
      <c r="BQ66" s="72"/>
      <c r="BR66" s="72"/>
      <c r="BS66" s="72"/>
      <c r="BT66" s="72"/>
      <c r="BU66" s="72"/>
      <c r="BV66" s="72"/>
      <c r="BW66" s="72"/>
      <c r="BX66" s="72"/>
      <c r="BY66" s="72"/>
      <c r="BZ66" s="72"/>
      <c r="CA66" s="72"/>
      <c r="CB66" s="72"/>
    </row>
    <row r="67" spans="1:80" x14ac:dyDescent="0.25">
      <c r="A67" s="72"/>
      <c r="B67" s="72"/>
      <c r="C67" s="72"/>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c r="BT67" s="72"/>
      <c r="BU67" s="72"/>
      <c r="BV67" s="72"/>
      <c r="BW67" s="72"/>
      <c r="BX67" s="72"/>
      <c r="BY67" s="72"/>
      <c r="BZ67" s="72"/>
      <c r="CA67" s="72"/>
      <c r="CB67" s="72"/>
    </row>
    <row r="68" spans="1:80" x14ac:dyDescent="0.25">
      <c r="A68" s="72"/>
      <c r="B68" s="72"/>
      <c r="C68" s="72"/>
      <c r="D68" s="72"/>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c r="BV68" s="72"/>
      <c r="BW68" s="72"/>
      <c r="BX68" s="72"/>
      <c r="BY68" s="72"/>
      <c r="BZ68" s="72"/>
      <c r="CA68" s="72"/>
      <c r="CB68" s="72"/>
    </row>
    <row r="69" spans="1:80" x14ac:dyDescent="0.25">
      <c r="A69" s="72"/>
      <c r="B69" s="72"/>
      <c r="C69" s="72"/>
      <c r="D69" s="72"/>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72"/>
      <c r="BR69" s="72"/>
      <c r="BS69" s="72"/>
      <c r="BT69" s="72"/>
      <c r="BU69" s="72"/>
      <c r="BV69" s="72"/>
      <c r="BW69" s="72"/>
      <c r="BX69" s="72"/>
      <c r="BY69" s="72"/>
      <c r="BZ69" s="72"/>
      <c r="CA69" s="72"/>
      <c r="CB69" s="72"/>
    </row>
    <row r="70" spans="1:80" x14ac:dyDescent="0.25">
      <c r="A70" s="72"/>
      <c r="B70" s="72"/>
      <c r="C70" s="72"/>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c r="BT70" s="72"/>
      <c r="BU70" s="72"/>
      <c r="BV70" s="72"/>
      <c r="BW70" s="72"/>
      <c r="BX70" s="72"/>
      <c r="BY70" s="72"/>
      <c r="BZ70" s="72"/>
      <c r="CA70" s="72"/>
      <c r="CB70" s="72"/>
    </row>
    <row r="71" spans="1:80" x14ac:dyDescent="0.25">
      <c r="A71" s="72"/>
      <c r="B71" s="72"/>
      <c r="C71" s="72"/>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c r="BT71" s="72"/>
      <c r="BU71" s="72"/>
      <c r="BV71" s="72"/>
      <c r="BW71" s="72"/>
      <c r="BX71" s="72"/>
      <c r="BY71" s="72"/>
      <c r="BZ71" s="72"/>
      <c r="CA71" s="72"/>
      <c r="CB71" s="72"/>
    </row>
    <row r="72" spans="1:80" x14ac:dyDescent="0.25">
      <c r="A72" s="72"/>
      <c r="B72" s="72"/>
      <c r="C72" s="72"/>
      <c r="D72" s="72"/>
      <c r="E72" s="72"/>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c r="BV72" s="72"/>
      <c r="BW72" s="72"/>
      <c r="BX72" s="72"/>
      <c r="BY72" s="72"/>
      <c r="BZ72" s="72"/>
      <c r="CA72" s="72"/>
      <c r="CB72" s="72"/>
    </row>
    <row r="73" spans="1:80" x14ac:dyDescent="0.25">
      <c r="A73" s="72"/>
      <c r="B73" s="72"/>
      <c r="C73" s="72"/>
      <c r="D73" s="72"/>
      <c r="E73" s="72"/>
      <c r="F73" s="72"/>
      <c r="G73" s="72"/>
      <c r="H73" s="72"/>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c r="BT73" s="72"/>
      <c r="BU73" s="72"/>
      <c r="BV73" s="72"/>
      <c r="BW73" s="72"/>
      <c r="BX73" s="72"/>
      <c r="BY73" s="72"/>
      <c r="BZ73" s="72"/>
      <c r="CA73" s="72"/>
      <c r="CB73" s="72"/>
    </row>
    <row r="74" spans="1:80" x14ac:dyDescent="0.25">
      <c r="A74" s="72"/>
      <c r="B74" s="72"/>
      <c r="C74" s="72"/>
      <c r="D74" s="72"/>
      <c r="E74" s="72"/>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row>
    <row r="75" spans="1:80" x14ac:dyDescent="0.25">
      <c r="A75" s="72"/>
      <c r="B75" s="72"/>
      <c r="C75" s="72"/>
      <c r="D75" s="72"/>
      <c r="E75" s="72"/>
      <c r="F75" s="72"/>
      <c r="G75" s="72"/>
      <c r="H75" s="72"/>
      <c r="I75" s="72"/>
      <c r="J75" s="72"/>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c r="BV75" s="72"/>
      <c r="BW75" s="72"/>
      <c r="BX75" s="72"/>
      <c r="BY75" s="72"/>
      <c r="BZ75" s="72"/>
      <c r="CA75" s="72"/>
      <c r="CB75" s="72"/>
    </row>
    <row r="76" spans="1:80" x14ac:dyDescent="0.25">
      <c r="A76" s="72"/>
      <c r="B76" s="72"/>
      <c r="C76" s="72"/>
      <c r="D76" s="72"/>
      <c r="E76" s="72"/>
      <c r="F76" s="72"/>
      <c r="G76" s="72"/>
      <c r="H76" s="72"/>
      <c r="I76" s="72"/>
      <c r="J76" s="72"/>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c r="BT76" s="72"/>
      <c r="BU76" s="72"/>
      <c r="BV76" s="72"/>
      <c r="BW76" s="72"/>
      <c r="BX76" s="72"/>
      <c r="BY76" s="72"/>
      <c r="BZ76" s="72"/>
      <c r="CA76" s="72"/>
      <c r="CB76" s="72"/>
    </row>
    <row r="77" spans="1:80" x14ac:dyDescent="0.25">
      <c r="A77" s="72"/>
      <c r="B77" s="72"/>
      <c r="C77" s="72"/>
      <c r="D77" s="72"/>
      <c r="E77" s="72"/>
      <c r="F77" s="72"/>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row>
    <row r="78" spans="1:80" x14ac:dyDescent="0.25">
      <c r="A78" s="72"/>
      <c r="B78" s="72"/>
      <c r="C78" s="72"/>
      <c r="D78" s="72"/>
      <c r="E78" s="72"/>
      <c r="F78" s="72"/>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c r="BI78" s="72"/>
      <c r="BJ78" s="72"/>
      <c r="BK78" s="72"/>
      <c r="BL78" s="72"/>
      <c r="BM78" s="72"/>
      <c r="BN78" s="72"/>
      <c r="BO78" s="72"/>
      <c r="BP78" s="72"/>
      <c r="BQ78" s="72"/>
      <c r="BR78" s="72"/>
      <c r="BS78" s="72"/>
      <c r="BT78" s="72"/>
      <c r="BU78" s="72"/>
      <c r="BV78" s="72"/>
      <c r="BW78" s="72"/>
      <c r="BX78" s="72"/>
      <c r="BY78" s="72"/>
      <c r="BZ78" s="72"/>
      <c r="CA78" s="72"/>
      <c r="CB78" s="72"/>
    </row>
    <row r="79" spans="1:80" x14ac:dyDescent="0.25">
      <c r="A79" s="72"/>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row>
    <row r="80" spans="1:80" x14ac:dyDescent="0.25">
      <c r="A80" s="72"/>
      <c r="B80" s="72"/>
      <c r="C80" s="72"/>
      <c r="D80" s="72"/>
      <c r="E80" s="72"/>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row>
    <row r="81" spans="1:63" x14ac:dyDescent="0.25">
      <c r="A81" s="72"/>
      <c r="B81" s="72"/>
      <c r="C81" s="72"/>
      <c r="D81" s="72"/>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row>
    <row r="82" spans="1:63" x14ac:dyDescent="0.25">
      <c r="A82" s="72"/>
      <c r="B82" s="72"/>
      <c r="C82" s="72"/>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row>
    <row r="83" spans="1:63" x14ac:dyDescent="0.25">
      <c r="A83" s="72"/>
      <c r="B83" s="72"/>
      <c r="C83" s="72"/>
      <c r="D83" s="72"/>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row>
    <row r="84" spans="1:63" x14ac:dyDescent="0.25">
      <c r="A84" s="72"/>
      <c r="B84" s="72"/>
      <c r="C84" s="72"/>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row>
    <row r="85" spans="1:63" x14ac:dyDescent="0.25">
      <c r="A85" s="72"/>
      <c r="B85" s="72"/>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row>
    <row r="86" spans="1:63" x14ac:dyDescent="0.25">
      <c r="A86" s="72"/>
      <c r="B86" s="72"/>
      <c r="C86" s="72"/>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row>
    <row r="87" spans="1:63" x14ac:dyDescent="0.25">
      <c r="A87" s="72"/>
      <c r="B87" s="72"/>
      <c r="C87" s="72"/>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2"/>
      <c r="BI87" s="72"/>
      <c r="BJ87" s="72"/>
      <c r="BK87" s="72"/>
    </row>
    <row r="88" spans="1:63" x14ac:dyDescent="0.25">
      <c r="A88" s="72"/>
      <c r="B88" s="72"/>
      <c r="C88" s="72"/>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row>
    <row r="89" spans="1:63" x14ac:dyDescent="0.25">
      <c r="A89" s="72"/>
      <c r="B89" s="72"/>
      <c r="C89" s="72"/>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row>
    <row r="90" spans="1:63" x14ac:dyDescent="0.25">
      <c r="A90" s="72"/>
      <c r="B90" s="72"/>
      <c r="C90" s="72"/>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row>
    <row r="91" spans="1:63" x14ac:dyDescent="0.25">
      <c r="A91" s="72"/>
      <c r="B91" s="72"/>
      <c r="C91" s="72"/>
      <c r="D91" s="72"/>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row>
    <row r="92" spans="1:63" x14ac:dyDescent="0.25">
      <c r="A92" s="72"/>
      <c r="B92" s="72"/>
      <c r="C92" s="72"/>
      <c r="D92" s="72"/>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row>
    <row r="93" spans="1:63" x14ac:dyDescent="0.25">
      <c r="A93" s="72"/>
      <c r="B93" s="72"/>
      <c r="C93" s="72"/>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row>
    <row r="94" spans="1:63" x14ac:dyDescent="0.25">
      <c r="A94" s="72"/>
      <c r="B94" s="72"/>
      <c r="C94" s="72"/>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row>
    <row r="95" spans="1:63" x14ac:dyDescent="0.25">
      <c r="A95" s="72"/>
      <c r="B95" s="72"/>
      <c r="C95" s="72"/>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row>
    <row r="96" spans="1:63" x14ac:dyDescent="0.25">
      <c r="A96" s="72"/>
      <c r="B96" s="72"/>
      <c r="C96" s="72"/>
      <c r="D96" s="72"/>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row>
    <row r="97" spans="1:63" x14ac:dyDescent="0.25">
      <c r="A97" s="72"/>
      <c r="B97" s="72"/>
      <c r="C97" s="72"/>
      <c r="D97" s="72"/>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row>
    <row r="98" spans="1:63" x14ac:dyDescent="0.25">
      <c r="A98" s="72"/>
      <c r="B98" s="72"/>
      <c r="C98" s="72"/>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row>
    <row r="99" spans="1:63" x14ac:dyDescent="0.25">
      <c r="A99" s="72"/>
      <c r="B99" s="72"/>
      <c r="C99" s="72"/>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row>
    <row r="100" spans="1:63" x14ac:dyDescent="0.25">
      <c r="A100" s="72"/>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row>
    <row r="101" spans="1:63" x14ac:dyDescent="0.25">
      <c r="A101" s="72"/>
      <c r="B101" s="72"/>
      <c r="C101" s="72"/>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row>
    <row r="102" spans="1:63" x14ac:dyDescent="0.25">
      <c r="A102" s="72"/>
      <c r="B102" s="72"/>
      <c r="C102" s="72"/>
      <c r="D102" s="72"/>
      <c r="E102" s="72"/>
      <c r="F102" s="72"/>
      <c r="G102" s="72"/>
      <c r="H102" s="72"/>
      <c r="I102" s="72"/>
      <c r="J102" s="72"/>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c r="BI102" s="72"/>
      <c r="BJ102" s="72"/>
      <c r="BK102" s="72"/>
    </row>
    <row r="103" spans="1:63" x14ac:dyDescent="0.25">
      <c r="A103" s="72"/>
      <c r="B103" s="72"/>
      <c r="C103" s="72"/>
      <c r="D103" s="72"/>
      <c r="E103" s="72"/>
      <c r="F103" s="72"/>
      <c r="G103" s="72"/>
      <c r="H103" s="72"/>
      <c r="I103" s="72"/>
      <c r="J103" s="72"/>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c r="BI103" s="72"/>
      <c r="BJ103" s="72"/>
      <c r="BK103" s="72"/>
    </row>
    <row r="104" spans="1:63" x14ac:dyDescent="0.25">
      <c r="A104" s="72"/>
      <c r="B104" s="72"/>
      <c r="C104" s="72"/>
      <c r="D104" s="72"/>
      <c r="E104" s="72"/>
      <c r="F104" s="72"/>
      <c r="G104" s="72"/>
      <c r="H104" s="72"/>
      <c r="I104" s="72"/>
      <c r="J104" s="72"/>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c r="BI104" s="72"/>
      <c r="BJ104" s="72"/>
      <c r="BK104" s="72"/>
    </row>
    <row r="105" spans="1:63" x14ac:dyDescent="0.25">
      <c r="A105" s="72"/>
      <c r="B105" s="72"/>
      <c r="C105" s="72"/>
      <c r="D105" s="72"/>
      <c r="E105" s="72"/>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row>
    <row r="106" spans="1:63" x14ac:dyDescent="0.25">
      <c r="A106" s="72"/>
      <c r="B106" s="72"/>
      <c r="C106" s="72"/>
      <c r="D106" s="72"/>
      <c r="E106" s="72"/>
      <c r="F106" s="72"/>
      <c r="G106" s="72"/>
      <c r="H106" s="72"/>
      <c r="I106" s="72"/>
      <c r="J106" s="72"/>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c r="BI106" s="72"/>
      <c r="BJ106" s="72"/>
      <c r="BK106" s="72"/>
    </row>
    <row r="107" spans="1:63" x14ac:dyDescent="0.25">
      <c r="A107" s="72"/>
      <c r="B107" s="72"/>
      <c r="C107" s="72"/>
      <c r="D107" s="72"/>
      <c r="E107" s="72"/>
      <c r="F107" s="72"/>
      <c r="G107" s="72"/>
      <c r="H107" s="72"/>
      <c r="I107" s="72"/>
      <c r="J107" s="72"/>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c r="BH107" s="72"/>
      <c r="BI107" s="72"/>
      <c r="BJ107" s="72"/>
      <c r="BK107" s="72"/>
    </row>
    <row r="108" spans="1:63" x14ac:dyDescent="0.25">
      <c r="A108" s="72"/>
      <c r="B108" s="72"/>
      <c r="C108" s="72"/>
      <c r="D108" s="72"/>
      <c r="E108" s="72"/>
      <c r="F108" s="72"/>
      <c r="G108" s="72"/>
      <c r="H108" s="72"/>
      <c r="I108" s="72"/>
      <c r="J108" s="72"/>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c r="BH108" s="72"/>
      <c r="BI108" s="72"/>
      <c r="BJ108" s="72"/>
      <c r="BK108" s="72"/>
    </row>
    <row r="109" spans="1:63" x14ac:dyDescent="0.25">
      <c r="A109" s="72"/>
      <c r="B109" s="72"/>
      <c r="C109" s="72"/>
      <c r="D109" s="72"/>
      <c r="E109" s="72"/>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c r="BH109" s="72"/>
      <c r="BI109" s="72"/>
      <c r="BJ109" s="72"/>
      <c r="BK109" s="72"/>
    </row>
    <row r="110" spans="1:63" x14ac:dyDescent="0.25">
      <c r="A110" s="72"/>
      <c r="B110" s="72"/>
      <c r="C110" s="72"/>
      <c r="D110" s="72"/>
      <c r="E110" s="72"/>
      <c r="F110" s="72"/>
      <c r="G110" s="72"/>
      <c r="H110" s="72"/>
      <c r="I110" s="72"/>
      <c r="J110" s="72"/>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c r="BI110" s="72"/>
      <c r="BJ110" s="72"/>
      <c r="BK110" s="72"/>
    </row>
    <row r="111" spans="1:63" x14ac:dyDescent="0.25">
      <c r="A111" s="72"/>
      <c r="B111" s="72"/>
      <c r="C111" s="72"/>
      <c r="D111" s="72"/>
      <c r="E111" s="72"/>
      <c r="F111" s="72"/>
      <c r="G111" s="72"/>
      <c r="H111" s="72"/>
      <c r="I111" s="72"/>
      <c r="J111" s="72"/>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c r="BH111" s="72"/>
      <c r="BI111" s="72"/>
      <c r="BJ111" s="72"/>
      <c r="BK111" s="72"/>
    </row>
    <row r="112" spans="1:63" x14ac:dyDescent="0.25">
      <c r="A112" s="72"/>
      <c r="B112" s="72"/>
      <c r="C112" s="72"/>
      <c r="D112" s="72"/>
      <c r="E112" s="72"/>
      <c r="F112" s="72"/>
      <c r="G112" s="72"/>
      <c r="H112" s="72"/>
      <c r="I112" s="72"/>
      <c r="J112" s="72"/>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c r="BH112" s="72"/>
      <c r="BI112" s="72"/>
      <c r="BJ112" s="72"/>
      <c r="BK112" s="72"/>
    </row>
    <row r="113" spans="1:63" x14ac:dyDescent="0.25">
      <c r="A113" s="72"/>
      <c r="B113" s="72"/>
      <c r="C113" s="72"/>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c r="BH113" s="72"/>
      <c r="BI113" s="72"/>
      <c r="BJ113" s="72"/>
      <c r="BK113" s="72"/>
    </row>
    <row r="114" spans="1:63" x14ac:dyDescent="0.25">
      <c r="A114" s="72"/>
      <c r="B114" s="72"/>
      <c r="C114" s="72"/>
      <c r="D114" s="72"/>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c r="BH114" s="72"/>
      <c r="BI114" s="72"/>
      <c r="BJ114" s="72"/>
      <c r="BK114" s="72"/>
    </row>
    <row r="115" spans="1:63" x14ac:dyDescent="0.25">
      <c r="A115" s="72"/>
      <c r="B115" s="72"/>
      <c r="C115" s="72"/>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2"/>
      <c r="AZ115" s="72"/>
      <c r="BA115" s="72"/>
      <c r="BB115" s="72"/>
      <c r="BC115" s="72"/>
      <c r="BD115" s="72"/>
      <c r="BE115" s="72"/>
      <c r="BF115" s="72"/>
      <c r="BG115" s="72"/>
      <c r="BH115" s="72"/>
      <c r="BI115" s="72"/>
      <c r="BJ115" s="72"/>
      <c r="BK115" s="72"/>
    </row>
    <row r="116" spans="1:63" x14ac:dyDescent="0.25">
      <c r="A116" s="72"/>
      <c r="B116" s="72"/>
      <c r="C116" s="72"/>
      <c r="D116" s="72"/>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c r="BI116" s="72"/>
      <c r="BJ116" s="72"/>
      <c r="BK116" s="72"/>
    </row>
    <row r="117" spans="1:63" x14ac:dyDescent="0.25">
      <c r="A117" s="72"/>
      <c r="B117" s="72"/>
      <c r="C117" s="72"/>
      <c r="D117" s="72"/>
      <c r="E117" s="72"/>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c r="BA117" s="72"/>
      <c r="BB117" s="72"/>
      <c r="BC117" s="72"/>
      <c r="BD117" s="72"/>
      <c r="BE117" s="72"/>
      <c r="BF117" s="72"/>
      <c r="BG117" s="72"/>
      <c r="BH117" s="72"/>
      <c r="BI117" s="72"/>
      <c r="BJ117" s="72"/>
      <c r="BK117" s="72"/>
    </row>
    <row r="118" spans="1:63" x14ac:dyDescent="0.25">
      <c r="A118" s="72"/>
      <c r="B118" s="72"/>
      <c r="C118" s="72"/>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c r="BH118" s="72"/>
      <c r="BI118" s="72"/>
      <c r="BJ118" s="72"/>
      <c r="BK118" s="72"/>
    </row>
    <row r="119" spans="1:63" x14ac:dyDescent="0.25">
      <c r="A119" s="72"/>
      <c r="B119" s="72"/>
      <c r="C119" s="72"/>
      <c r="D119" s="72"/>
      <c r="E119" s="72"/>
      <c r="F119" s="72"/>
      <c r="G119" s="72"/>
      <c r="H119" s="72"/>
      <c r="I119" s="72"/>
      <c r="J119" s="72"/>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c r="AK119" s="72"/>
      <c r="AL119" s="72"/>
      <c r="AM119" s="72"/>
      <c r="AN119" s="72"/>
      <c r="AO119" s="72"/>
      <c r="AP119" s="72"/>
      <c r="AQ119" s="72"/>
      <c r="AR119" s="72"/>
      <c r="AS119" s="72"/>
      <c r="AT119" s="72"/>
      <c r="AU119" s="72"/>
      <c r="AV119" s="72"/>
      <c r="AW119" s="72"/>
      <c r="AX119" s="72"/>
      <c r="AY119" s="72"/>
      <c r="AZ119" s="72"/>
      <c r="BA119" s="72"/>
      <c r="BB119" s="72"/>
      <c r="BC119" s="72"/>
      <c r="BD119" s="72"/>
      <c r="BE119" s="72"/>
      <c r="BF119" s="72"/>
      <c r="BG119" s="72"/>
      <c r="BH119" s="72"/>
      <c r="BI119" s="72"/>
      <c r="BJ119" s="72"/>
      <c r="BK119" s="72"/>
    </row>
    <row r="120" spans="1:63" x14ac:dyDescent="0.25">
      <c r="A120" s="72"/>
      <c r="B120" s="72"/>
      <c r="C120" s="72"/>
      <c r="D120" s="72"/>
      <c r="E120" s="72"/>
      <c r="F120" s="72"/>
      <c r="G120" s="72"/>
      <c r="H120" s="72"/>
      <c r="I120" s="72"/>
      <c r="J120" s="72"/>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72"/>
      <c r="AH120" s="72"/>
      <c r="AI120" s="72"/>
      <c r="AJ120" s="72"/>
      <c r="AK120" s="72"/>
      <c r="AL120" s="72"/>
      <c r="AM120" s="72"/>
      <c r="AN120" s="72"/>
      <c r="AO120" s="72"/>
      <c r="AP120" s="72"/>
      <c r="AQ120" s="72"/>
      <c r="AR120" s="72"/>
      <c r="AS120" s="72"/>
      <c r="AT120" s="72"/>
      <c r="AU120" s="72"/>
      <c r="AV120" s="72"/>
      <c r="AW120" s="72"/>
      <c r="AX120" s="72"/>
      <c r="AY120" s="72"/>
      <c r="AZ120" s="72"/>
      <c r="BA120" s="72"/>
      <c r="BB120" s="72"/>
      <c r="BC120" s="72"/>
      <c r="BD120" s="72"/>
      <c r="BE120" s="72"/>
      <c r="BF120" s="72"/>
      <c r="BG120" s="72"/>
      <c r="BH120" s="72"/>
      <c r="BI120" s="72"/>
      <c r="BJ120" s="72"/>
      <c r="BK120" s="72"/>
    </row>
    <row r="121" spans="1:63" x14ac:dyDescent="0.25">
      <c r="A121" s="72"/>
      <c r="B121" s="72"/>
      <c r="C121" s="72"/>
      <c r="D121" s="72"/>
      <c r="E121" s="72"/>
      <c r="F121" s="72"/>
      <c r="G121" s="72"/>
      <c r="H121" s="72"/>
      <c r="I121" s="72"/>
      <c r="J121" s="72"/>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c r="BH121" s="72"/>
      <c r="BI121" s="72"/>
      <c r="BJ121" s="72"/>
      <c r="BK121" s="72"/>
    </row>
    <row r="122" spans="1:63" x14ac:dyDescent="0.25">
      <c r="B122" s="72"/>
      <c r="C122" s="72"/>
      <c r="D122" s="72"/>
      <c r="E122" s="72"/>
      <c r="F122" s="72"/>
      <c r="G122" s="72"/>
      <c r="H122" s="72"/>
      <c r="I122" s="72"/>
      <c r="J122" s="72"/>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c r="BH122" s="72"/>
      <c r="BI122" s="72"/>
      <c r="BJ122" s="72"/>
      <c r="BK122" s="72"/>
    </row>
    <row r="123" spans="1:63" x14ac:dyDescent="0.25">
      <c r="B123" s="72"/>
      <c r="C123" s="72"/>
      <c r="D123" s="72"/>
      <c r="E123" s="72"/>
      <c r="F123" s="72"/>
      <c r="G123" s="72"/>
      <c r="H123" s="72"/>
      <c r="I123" s="72"/>
      <c r="J123" s="72"/>
      <c r="K123" s="72"/>
      <c r="L123" s="72"/>
      <c r="M123" s="72"/>
      <c r="N123" s="72"/>
      <c r="O123" s="72"/>
      <c r="P123" s="72"/>
      <c r="Q123" s="72"/>
      <c r="R123" s="72"/>
      <c r="S123" s="72"/>
      <c r="T123" s="72"/>
      <c r="U123" s="72"/>
      <c r="V123" s="72"/>
      <c r="W123" s="72"/>
      <c r="X123" s="72"/>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c r="BH123" s="72"/>
      <c r="BI123" s="72"/>
      <c r="BJ123" s="72"/>
      <c r="BK123" s="72"/>
    </row>
    <row r="124" spans="1:63" x14ac:dyDescent="0.25">
      <c r="B124" s="72"/>
      <c r="C124" s="72"/>
      <c r="D124" s="72"/>
      <c r="E124" s="72"/>
      <c r="F124" s="72"/>
      <c r="G124" s="72"/>
      <c r="H124" s="72"/>
      <c r="I124" s="72"/>
      <c r="J124" s="72"/>
      <c r="K124" s="72"/>
      <c r="L124" s="72"/>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c r="BH124" s="72"/>
      <c r="BI124" s="72"/>
      <c r="BJ124" s="72"/>
      <c r="BK124" s="72"/>
    </row>
    <row r="125" spans="1:63" x14ac:dyDescent="0.25">
      <c r="B125" s="72"/>
      <c r="C125" s="72"/>
      <c r="D125" s="72"/>
      <c r="E125" s="72"/>
      <c r="F125" s="72"/>
      <c r="G125" s="72"/>
      <c r="H125" s="72"/>
      <c r="I125" s="72"/>
      <c r="J125" s="72"/>
      <c r="K125" s="72"/>
      <c r="L125" s="72"/>
      <c r="M125" s="72"/>
      <c r="N125" s="72"/>
      <c r="O125" s="72"/>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row>
    <row r="126" spans="1:63" x14ac:dyDescent="0.25">
      <c r="B126" s="7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row>
    <row r="127" spans="1:63" x14ac:dyDescent="0.25">
      <c r="B127" s="72"/>
      <c r="C127" s="72"/>
      <c r="D127" s="72"/>
      <c r="E127" s="72"/>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c r="BH127" s="72"/>
      <c r="BI127" s="72"/>
      <c r="BJ127" s="72"/>
      <c r="BK127" s="72"/>
    </row>
    <row r="128" spans="1:63" x14ac:dyDescent="0.25">
      <c r="B128" s="72"/>
      <c r="C128" s="72"/>
      <c r="D128" s="72"/>
      <c r="E128" s="72"/>
      <c r="F128" s="72"/>
      <c r="G128" s="72"/>
      <c r="H128" s="72"/>
      <c r="I128" s="72"/>
      <c r="J128" s="72"/>
      <c r="K128" s="72"/>
      <c r="L128" s="72"/>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2"/>
      <c r="BC128" s="72"/>
      <c r="BD128" s="72"/>
      <c r="BE128" s="72"/>
      <c r="BF128" s="72"/>
      <c r="BG128" s="72"/>
      <c r="BH128" s="72"/>
      <c r="BI128" s="72"/>
      <c r="BJ128" s="72"/>
      <c r="BK128" s="72"/>
    </row>
    <row r="129" spans="2:63" x14ac:dyDescent="0.25">
      <c r="B129" s="72"/>
      <c r="C129" s="72"/>
      <c r="D129" s="72"/>
      <c r="E129" s="72"/>
      <c r="F129" s="72"/>
      <c r="G129" s="72"/>
      <c r="H129" s="72"/>
      <c r="I129" s="72"/>
      <c r="J129" s="72"/>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c r="AK129" s="72"/>
      <c r="AL129" s="72"/>
      <c r="AM129" s="72"/>
      <c r="AN129" s="72"/>
      <c r="AO129" s="72"/>
      <c r="AP129" s="72"/>
      <c r="AQ129" s="72"/>
      <c r="AR129" s="72"/>
      <c r="AS129" s="72"/>
      <c r="AT129" s="72"/>
      <c r="AU129" s="72"/>
      <c r="AV129" s="72"/>
      <c r="AW129" s="72"/>
      <c r="AX129" s="72"/>
      <c r="AY129" s="72"/>
      <c r="AZ129" s="72"/>
      <c r="BA129" s="72"/>
      <c r="BB129" s="72"/>
      <c r="BC129" s="72"/>
      <c r="BD129" s="72"/>
      <c r="BE129" s="72"/>
      <c r="BF129" s="72"/>
      <c r="BG129" s="72"/>
      <c r="BH129" s="72"/>
      <c r="BI129" s="72"/>
      <c r="BJ129" s="72"/>
      <c r="BK129" s="72"/>
    </row>
    <row r="130" spans="2:63" x14ac:dyDescent="0.25">
      <c r="B130" s="72"/>
      <c r="C130" s="72"/>
      <c r="D130" s="72"/>
      <c r="E130" s="72"/>
      <c r="F130" s="72"/>
      <c r="G130" s="72"/>
      <c r="H130" s="72"/>
      <c r="I130" s="72"/>
      <c r="J130" s="72"/>
      <c r="K130" s="72"/>
      <c r="L130" s="72"/>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2"/>
      <c r="BC130" s="72"/>
      <c r="BD130" s="72"/>
      <c r="BE130" s="72"/>
      <c r="BF130" s="72"/>
      <c r="BG130" s="72"/>
      <c r="BH130" s="72"/>
      <c r="BI130" s="72"/>
      <c r="BJ130" s="72"/>
      <c r="BK130" s="72"/>
    </row>
    <row r="131" spans="2:63" x14ac:dyDescent="0.25">
      <c r="B131" s="72"/>
      <c r="C131" s="72"/>
      <c r="D131" s="72"/>
      <c r="E131" s="72"/>
      <c r="F131" s="72"/>
      <c r="G131" s="72"/>
      <c r="H131" s="72"/>
      <c r="I131" s="72"/>
      <c r="J131" s="72"/>
      <c r="K131" s="72"/>
      <c r="L131" s="72"/>
      <c r="M131" s="72"/>
      <c r="N131" s="72"/>
      <c r="O131" s="72"/>
      <c r="P131" s="72"/>
      <c r="Q131" s="72"/>
      <c r="R131" s="72"/>
      <c r="S131" s="72"/>
      <c r="T131" s="72"/>
      <c r="U131" s="72"/>
      <c r="V131" s="72"/>
      <c r="W131" s="72"/>
      <c r="X131" s="72"/>
      <c r="Y131" s="72"/>
      <c r="Z131" s="72"/>
      <c r="AA131" s="72"/>
      <c r="AB131" s="72"/>
      <c r="AC131" s="72"/>
      <c r="AD131" s="72"/>
      <c r="AE131" s="72"/>
      <c r="AF131" s="72"/>
      <c r="AG131" s="72"/>
      <c r="AH131" s="72"/>
      <c r="AI131" s="72"/>
      <c r="AJ131" s="72"/>
      <c r="AK131" s="72"/>
      <c r="AL131" s="72"/>
      <c r="AM131" s="72"/>
      <c r="AN131" s="72"/>
      <c r="AO131" s="72"/>
      <c r="AP131" s="72"/>
      <c r="AQ131" s="72"/>
      <c r="AR131" s="72"/>
      <c r="AS131" s="72"/>
      <c r="AT131" s="72"/>
      <c r="AU131" s="72"/>
      <c r="AV131" s="72"/>
      <c r="AW131" s="72"/>
      <c r="AX131" s="72"/>
      <c r="AY131" s="72"/>
      <c r="AZ131" s="72"/>
      <c r="BA131" s="72"/>
      <c r="BB131" s="72"/>
      <c r="BC131" s="72"/>
      <c r="BD131" s="72"/>
      <c r="BE131" s="72"/>
      <c r="BF131" s="72"/>
      <c r="BG131" s="72"/>
      <c r="BH131" s="72"/>
      <c r="BI131" s="72"/>
      <c r="BJ131" s="72"/>
      <c r="BK131" s="72"/>
    </row>
    <row r="132" spans="2:63" x14ac:dyDescent="0.25">
      <c r="B132" s="72"/>
      <c r="C132" s="72"/>
      <c r="D132" s="72"/>
      <c r="E132" s="72"/>
      <c r="F132" s="72"/>
      <c r="G132" s="72"/>
      <c r="H132" s="72"/>
      <c r="I132" s="72"/>
      <c r="J132" s="72"/>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72"/>
      <c r="AJ132" s="72"/>
      <c r="AK132" s="72"/>
      <c r="AL132" s="72"/>
      <c r="AM132" s="72"/>
      <c r="AN132" s="72"/>
      <c r="AO132" s="72"/>
      <c r="AP132" s="72"/>
      <c r="AQ132" s="72"/>
      <c r="AR132" s="72"/>
      <c r="AS132" s="72"/>
      <c r="AT132" s="72"/>
      <c r="AU132" s="72"/>
      <c r="AV132" s="72"/>
      <c r="AW132" s="72"/>
      <c r="AX132" s="72"/>
      <c r="AY132" s="72"/>
      <c r="AZ132" s="72"/>
      <c r="BA132" s="72"/>
      <c r="BB132" s="72"/>
      <c r="BC132" s="72"/>
      <c r="BD132" s="72"/>
      <c r="BE132" s="72"/>
      <c r="BF132" s="72"/>
      <c r="BG132" s="72"/>
      <c r="BH132" s="72"/>
      <c r="BI132" s="72"/>
      <c r="BJ132" s="72"/>
      <c r="BK132" s="72"/>
    </row>
    <row r="133" spans="2:63" x14ac:dyDescent="0.25">
      <c r="B133" s="72"/>
      <c r="C133" s="72"/>
      <c r="D133" s="72"/>
      <c r="E133" s="72"/>
      <c r="F133" s="72"/>
      <c r="G133" s="72"/>
      <c r="H133" s="72"/>
      <c r="I133" s="72"/>
      <c r="J133" s="72"/>
      <c r="K133" s="72"/>
      <c r="L133" s="72"/>
      <c r="M133" s="72"/>
      <c r="N133" s="72"/>
      <c r="O133" s="72"/>
      <c r="P133" s="72"/>
      <c r="Q133" s="72"/>
      <c r="R133" s="72"/>
      <c r="S133" s="72"/>
      <c r="T133" s="72"/>
      <c r="U133" s="72"/>
      <c r="V133" s="72"/>
      <c r="W133" s="72"/>
      <c r="X133" s="72"/>
      <c r="Y133" s="72"/>
      <c r="Z133" s="72"/>
      <c r="AA133" s="72"/>
      <c r="AB133" s="72"/>
      <c r="AC133" s="72"/>
      <c r="AD133" s="72"/>
      <c r="AE133" s="72"/>
      <c r="AF133" s="72"/>
      <c r="AG133" s="72"/>
      <c r="AH133" s="72"/>
      <c r="AI133" s="72"/>
      <c r="AJ133" s="72"/>
      <c r="AK133" s="72"/>
      <c r="AL133" s="72"/>
      <c r="AM133" s="72"/>
      <c r="AN133" s="72"/>
      <c r="AO133" s="72"/>
      <c r="AP133" s="72"/>
      <c r="AQ133" s="72"/>
      <c r="AR133" s="72"/>
      <c r="AS133" s="72"/>
      <c r="AT133" s="72"/>
      <c r="AU133" s="72"/>
      <c r="AV133" s="72"/>
      <c r="AW133" s="72"/>
      <c r="AX133" s="72"/>
      <c r="AY133" s="72"/>
      <c r="AZ133" s="72"/>
      <c r="BA133" s="72"/>
      <c r="BB133" s="72"/>
      <c r="BC133" s="72"/>
      <c r="BD133" s="72"/>
      <c r="BE133" s="72"/>
      <c r="BF133" s="72"/>
      <c r="BG133" s="72"/>
      <c r="BH133" s="72"/>
      <c r="BI133" s="72"/>
      <c r="BJ133" s="72"/>
      <c r="BK133" s="72"/>
    </row>
    <row r="134" spans="2:63" x14ac:dyDescent="0.25">
      <c r="B134" s="72"/>
      <c r="C134" s="72"/>
      <c r="D134" s="72"/>
      <c r="E134" s="72"/>
      <c r="F134" s="72"/>
      <c r="G134" s="72"/>
      <c r="H134" s="72"/>
      <c r="I134" s="72"/>
      <c r="J134" s="72"/>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2"/>
      <c r="AY134" s="72"/>
      <c r="AZ134" s="72"/>
      <c r="BA134" s="72"/>
      <c r="BB134" s="72"/>
      <c r="BC134" s="72"/>
      <c r="BD134" s="72"/>
      <c r="BE134" s="72"/>
      <c r="BF134" s="72"/>
      <c r="BG134" s="72"/>
      <c r="BH134" s="72"/>
      <c r="BI134" s="72"/>
      <c r="BJ134" s="72"/>
      <c r="BK134" s="72"/>
    </row>
    <row r="135" spans="2:63" x14ac:dyDescent="0.25">
      <c r="B135" s="72"/>
      <c r="C135" s="72"/>
      <c r="D135" s="72"/>
      <c r="E135" s="72"/>
      <c r="F135" s="72"/>
      <c r="G135" s="72"/>
      <c r="H135" s="72"/>
      <c r="I135" s="72"/>
      <c r="J135" s="72"/>
      <c r="K135" s="72"/>
      <c r="L135" s="72"/>
      <c r="M135" s="72"/>
      <c r="N135" s="72"/>
      <c r="O135" s="72"/>
      <c r="P135" s="72"/>
      <c r="Q135" s="72"/>
      <c r="R135" s="72"/>
      <c r="S135" s="72"/>
      <c r="T135" s="72"/>
      <c r="U135" s="72"/>
      <c r="V135" s="72"/>
      <c r="W135" s="72"/>
      <c r="X135" s="72"/>
      <c r="Y135" s="72"/>
      <c r="Z135" s="72"/>
      <c r="AA135" s="72"/>
      <c r="AB135" s="72"/>
      <c r="AC135" s="72"/>
      <c r="AD135" s="72"/>
      <c r="AE135" s="72"/>
      <c r="AF135" s="72"/>
      <c r="AG135" s="72"/>
      <c r="AH135" s="72"/>
      <c r="AI135" s="72"/>
      <c r="AJ135" s="72"/>
      <c r="AK135" s="72"/>
      <c r="AL135" s="72"/>
      <c r="AM135" s="72"/>
      <c r="AN135" s="72"/>
      <c r="AO135" s="72"/>
      <c r="AP135" s="72"/>
      <c r="AQ135" s="72"/>
      <c r="AR135" s="72"/>
      <c r="AS135" s="72"/>
      <c r="AT135" s="72"/>
      <c r="AU135" s="72"/>
      <c r="AV135" s="72"/>
      <c r="AW135" s="72"/>
      <c r="AX135" s="72"/>
      <c r="AY135" s="72"/>
      <c r="AZ135" s="72"/>
      <c r="BA135" s="72"/>
      <c r="BB135" s="72"/>
      <c r="BC135" s="72"/>
      <c r="BD135" s="72"/>
      <c r="BE135" s="72"/>
      <c r="BF135" s="72"/>
      <c r="BG135" s="72"/>
      <c r="BH135" s="72"/>
      <c r="BI135" s="72"/>
      <c r="BJ135" s="72"/>
      <c r="BK135" s="72"/>
    </row>
    <row r="136" spans="2:63" x14ac:dyDescent="0.25">
      <c r="B136" s="72"/>
      <c r="C136" s="72"/>
      <c r="D136" s="72"/>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c r="BG136" s="72"/>
      <c r="BH136" s="72"/>
      <c r="BI136" s="72"/>
      <c r="BJ136" s="72"/>
      <c r="BK136" s="72"/>
    </row>
    <row r="137" spans="2:63" x14ac:dyDescent="0.25">
      <c r="B137" s="72"/>
      <c r="C137" s="72"/>
      <c r="D137" s="72"/>
      <c r="E137" s="72"/>
      <c r="F137" s="72"/>
      <c r="G137" s="72"/>
      <c r="H137" s="72"/>
      <c r="I137" s="72"/>
    </row>
    <row r="138" spans="2:63" x14ac:dyDescent="0.25">
      <c r="B138" s="72"/>
      <c r="C138" s="72"/>
      <c r="D138" s="72"/>
      <c r="E138" s="72"/>
      <c r="F138" s="72"/>
      <c r="G138" s="72"/>
      <c r="H138" s="72"/>
      <c r="I138" s="72"/>
    </row>
    <row r="139" spans="2:63" x14ac:dyDescent="0.25">
      <c r="B139" s="72"/>
      <c r="C139" s="72"/>
      <c r="D139" s="72"/>
      <c r="E139" s="72"/>
      <c r="F139" s="72"/>
      <c r="G139" s="72"/>
      <c r="H139" s="72"/>
      <c r="I139" s="72"/>
    </row>
    <row r="140" spans="2:63" x14ac:dyDescent="0.25">
      <c r="B140" s="72"/>
      <c r="C140" s="72"/>
      <c r="D140" s="72"/>
      <c r="E140" s="72"/>
      <c r="F140" s="72"/>
      <c r="G140" s="72"/>
      <c r="H140" s="72"/>
      <c r="I140" s="72"/>
    </row>
  </sheetData>
  <mergeCells count="317">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AD16:AE17"/>
    <mergeCell ref="AF16:AG17"/>
    <mergeCell ref="AB18:AC19"/>
    <mergeCell ref="AD18:AE19"/>
    <mergeCell ref="AF18:AG19"/>
    <mergeCell ref="AB26:AC27"/>
    <mergeCell ref="AD26:AE27"/>
    <mergeCell ref="AF26:AG27"/>
    <mergeCell ref="AB20:AC21"/>
    <mergeCell ref="AD20:AE21"/>
    <mergeCell ref="AF20:AG21"/>
    <mergeCell ref="AB28:AC29"/>
    <mergeCell ref="AD28:AE29"/>
    <mergeCell ref="AF28:AG29"/>
    <mergeCell ref="AB22:AC23"/>
    <mergeCell ref="AD22:AE23"/>
    <mergeCell ref="AF22:AG23"/>
    <mergeCell ref="AB24:AC25"/>
    <mergeCell ref="AD24:AE25"/>
    <mergeCell ref="AF24:AG25"/>
    <mergeCell ref="AB44:AC45"/>
    <mergeCell ref="AD44:AE45"/>
    <mergeCell ref="AF44:AG45"/>
    <mergeCell ref="AB38:AC39"/>
    <mergeCell ref="AD38:AE39"/>
    <mergeCell ref="AF38:AG39"/>
    <mergeCell ref="AB40:AC41"/>
    <mergeCell ref="AD40:AE41"/>
    <mergeCell ref="AF40:AG41"/>
    <mergeCell ref="AB42:AC43"/>
    <mergeCell ref="AD42:AE43"/>
    <mergeCell ref="AF42:AG43"/>
    <mergeCell ref="AH10:AI11"/>
    <mergeCell ref="AJ10:AK11"/>
    <mergeCell ref="AL10:AM11"/>
    <mergeCell ref="AH12:AI13"/>
    <mergeCell ref="AJ12:AK13"/>
    <mergeCell ref="AL12:AM13"/>
    <mergeCell ref="AH6:AI7"/>
    <mergeCell ref="AJ6:AK7"/>
    <mergeCell ref="AL6:AM7"/>
    <mergeCell ref="AH8:AI9"/>
    <mergeCell ref="AJ8:AK9"/>
    <mergeCell ref="AL8:AM9"/>
    <mergeCell ref="AJ18:AK19"/>
    <mergeCell ref="AL18:AM19"/>
    <mergeCell ref="AH20:AI21"/>
    <mergeCell ref="AJ20:AK21"/>
    <mergeCell ref="AL20:AM21"/>
    <mergeCell ref="AH14:AI15"/>
    <mergeCell ref="AJ14:AK15"/>
    <mergeCell ref="AL14:AM15"/>
    <mergeCell ref="AH16:AI17"/>
    <mergeCell ref="AJ16:AK17"/>
    <mergeCell ref="AL16:AM17"/>
    <mergeCell ref="AH18:AI19"/>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42:AK43"/>
    <mergeCell ref="AL42:AM43"/>
    <mergeCell ref="AH44:AI45"/>
    <mergeCell ref="AJ44:AK45"/>
    <mergeCell ref="AL44:AM45"/>
    <mergeCell ref="AH38:AI39"/>
    <mergeCell ref="AJ38:AK39"/>
    <mergeCell ref="AL38:AM39"/>
    <mergeCell ref="AH40:AI41"/>
    <mergeCell ref="AJ40:AK41"/>
    <mergeCell ref="AL40:AM41"/>
    <mergeCell ref="AH42:AI43"/>
    <mergeCell ref="AB34:AC35"/>
    <mergeCell ref="AD34:AE35"/>
    <mergeCell ref="AF34:AG35"/>
    <mergeCell ref="AB36:AC37"/>
    <mergeCell ref="AD36:AE37"/>
    <mergeCell ref="AF36:AG37"/>
    <mergeCell ref="AB30:AC31"/>
    <mergeCell ref="AD30:AE31"/>
    <mergeCell ref="AF30:AG31"/>
    <mergeCell ref="AB32:AC33"/>
    <mergeCell ref="AD32:AE33"/>
    <mergeCell ref="AF32:AG33"/>
    <mergeCell ref="R18:S19"/>
    <mergeCell ref="T18:U19"/>
    <mergeCell ref="P20:Q21"/>
    <mergeCell ref="R20:S21"/>
    <mergeCell ref="T20:U21"/>
    <mergeCell ref="J22:K23"/>
    <mergeCell ref="L22:M23"/>
    <mergeCell ref="N22:O23"/>
    <mergeCell ref="J20:K21"/>
    <mergeCell ref="L20:M21"/>
    <mergeCell ref="N20:O21"/>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X22:Y23"/>
    <mergeCell ref="Z22:AA23"/>
    <mergeCell ref="V24:W25"/>
    <mergeCell ref="X24:Y25"/>
    <mergeCell ref="Z24:AA25"/>
    <mergeCell ref="V26:W27"/>
    <mergeCell ref="X26:Y27"/>
    <mergeCell ref="Z26:AA27"/>
    <mergeCell ref="R26:S27"/>
    <mergeCell ref="T26:U27"/>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45"/>
    </sheetView>
  </sheetViews>
  <sheetFormatPr baseColWidth="10"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72"/>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row>
    <row r="2" spans="1:91" ht="18" customHeight="1" x14ac:dyDescent="0.25">
      <c r="A2" s="72"/>
      <c r="B2" s="544" t="s">
        <v>147</v>
      </c>
      <c r="C2" s="545"/>
      <c r="D2" s="545"/>
      <c r="E2" s="545"/>
      <c r="F2" s="545"/>
      <c r="G2" s="545"/>
      <c r="H2" s="545"/>
      <c r="I2" s="545"/>
      <c r="J2" s="473" t="s">
        <v>2</v>
      </c>
      <c r="K2" s="473"/>
      <c r="L2" s="473"/>
      <c r="M2" s="473"/>
      <c r="N2" s="473"/>
      <c r="O2" s="473"/>
      <c r="P2" s="473"/>
      <c r="Q2" s="473"/>
      <c r="R2" s="473"/>
      <c r="S2" s="473"/>
      <c r="T2" s="473"/>
      <c r="U2" s="473"/>
      <c r="V2" s="473"/>
      <c r="W2" s="473"/>
      <c r="X2" s="473"/>
      <c r="Y2" s="473"/>
      <c r="Z2" s="473"/>
      <c r="AA2" s="473"/>
      <c r="AB2" s="473"/>
      <c r="AC2" s="473"/>
      <c r="AD2" s="473"/>
      <c r="AE2" s="473"/>
      <c r="AF2" s="473"/>
      <c r="AG2" s="473"/>
      <c r="AH2" s="473"/>
      <c r="AI2" s="473"/>
      <c r="AJ2" s="473"/>
      <c r="AK2" s="473"/>
      <c r="AL2" s="473"/>
      <c r="AM2" s="473"/>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c r="CH2" s="72"/>
      <c r="CI2" s="72"/>
      <c r="CJ2" s="72"/>
      <c r="CK2" s="72"/>
      <c r="CL2" s="72"/>
      <c r="CM2" s="72"/>
    </row>
    <row r="3" spans="1:91" ht="18.75" customHeight="1" x14ac:dyDescent="0.25">
      <c r="A3" s="72"/>
      <c r="B3" s="545"/>
      <c r="C3" s="545"/>
      <c r="D3" s="545"/>
      <c r="E3" s="545"/>
      <c r="F3" s="545"/>
      <c r="G3" s="545"/>
      <c r="H3" s="545"/>
      <c r="I3" s="545"/>
      <c r="J3" s="473"/>
      <c r="K3" s="473"/>
      <c r="L3" s="473"/>
      <c r="M3" s="473"/>
      <c r="N3" s="473"/>
      <c r="O3" s="473"/>
      <c r="P3" s="473"/>
      <c r="Q3" s="473"/>
      <c r="R3" s="473"/>
      <c r="S3" s="473"/>
      <c r="T3" s="473"/>
      <c r="U3" s="473"/>
      <c r="V3" s="473"/>
      <c r="W3" s="473"/>
      <c r="X3" s="473"/>
      <c r="Y3" s="473"/>
      <c r="Z3" s="473"/>
      <c r="AA3" s="473"/>
      <c r="AB3" s="473"/>
      <c r="AC3" s="473"/>
      <c r="AD3" s="473"/>
      <c r="AE3" s="473"/>
      <c r="AF3" s="473"/>
      <c r="AG3" s="473"/>
      <c r="AH3" s="473"/>
      <c r="AI3" s="473"/>
      <c r="AJ3" s="473"/>
      <c r="AK3" s="473"/>
      <c r="AL3" s="473"/>
      <c r="AM3" s="473"/>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row>
    <row r="4" spans="1:91" ht="15" customHeight="1" x14ac:dyDescent="0.25">
      <c r="A4" s="72"/>
      <c r="B4" s="545"/>
      <c r="C4" s="545"/>
      <c r="D4" s="545"/>
      <c r="E4" s="545"/>
      <c r="F4" s="545"/>
      <c r="G4" s="545"/>
      <c r="H4" s="545"/>
      <c r="I4" s="545"/>
      <c r="J4" s="473"/>
      <c r="K4" s="473"/>
      <c r="L4" s="473"/>
      <c r="M4" s="473"/>
      <c r="N4" s="473"/>
      <c r="O4" s="473"/>
      <c r="P4" s="473"/>
      <c r="Q4" s="473"/>
      <c r="R4" s="473"/>
      <c r="S4" s="473"/>
      <c r="T4" s="473"/>
      <c r="U4" s="473"/>
      <c r="V4" s="473"/>
      <c r="W4" s="473"/>
      <c r="X4" s="473"/>
      <c r="Y4" s="473"/>
      <c r="Z4" s="473"/>
      <c r="AA4" s="473"/>
      <c r="AB4" s="473"/>
      <c r="AC4" s="473"/>
      <c r="AD4" s="473"/>
      <c r="AE4" s="473"/>
      <c r="AF4" s="473"/>
      <c r="AG4" s="473"/>
      <c r="AH4" s="473"/>
      <c r="AI4" s="473"/>
      <c r="AJ4" s="473"/>
      <c r="AK4" s="473"/>
      <c r="AL4" s="473"/>
      <c r="AM4" s="473"/>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c r="CJ4" s="72"/>
      <c r="CK4" s="72"/>
      <c r="CL4" s="72"/>
      <c r="CM4" s="72"/>
    </row>
    <row r="5" spans="1:91" ht="15.75" thickBot="1" x14ac:dyDescent="0.3">
      <c r="A5" s="72"/>
      <c r="B5" s="72"/>
      <c r="C5" s="72"/>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row>
    <row r="6" spans="1:91" ht="15" customHeight="1" x14ac:dyDescent="0.25">
      <c r="A6" s="72"/>
      <c r="B6" s="521" t="s">
        <v>4</v>
      </c>
      <c r="C6" s="521"/>
      <c r="D6" s="522"/>
      <c r="E6" s="523" t="s">
        <v>114</v>
      </c>
      <c r="F6" s="524"/>
      <c r="G6" s="524"/>
      <c r="H6" s="524"/>
      <c r="I6" s="525"/>
      <c r="J6" s="34" t="str">
        <f>IF(AND('Mapa final'!$AA$13="Muy Alta",'Mapa final'!$AC$13="Leve"),CONCATENATE("R1C",'Mapa final'!$Q$13),"")</f>
        <v/>
      </c>
      <c r="K6" s="35" t="str">
        <f>IF(AND('Mapa final'!$AA$14="Muy Alta",'Mapa final'!$AC$14="Leve"),CONCATENATE("R1C",'Mapa final'!$Q$14),"")</f>
        <v/>
      </c>
      <c r="L6" s="35" t="str">
        <f>IF(AND('Mapa final'!$AA$15="Muy Alta",'Mapa final'!$AC$15="Leve"),CONCATENATE("R1C",'Mapa final'!$Q$15),"")</f>
        <v/>
      </c>
      <c r="M6" s="35" t="str">
        <f>IF(AND('Mapa final'!$AA$16="Muy Alta",'Mapa final'!$AC$16="Leve"),CONCATENATE("R1C",'Mapa final'!$Q$16),"")</f>
        <v/>
      </c>
      <c r="N6" s="35" t="str">
        <f>IF(AND('Mapa final'!$AA$17="Muy Alta",'Mapa final'!$AC$17="Leve"),CONCATENATE("R1C",'Mapa final'!$Q$17),"")</f>
        <v/>
      </c>
      <c r="O6" s="36" t="str">
        <f>IF(AND('Mapa final'!$AA$18="Muy Alta",'Mapa final'!$AC$18="Leve"),CONCATENATE("R1C",'Mapa final'!$Q$18),"")</f>
        <v/>
      </c>
      <c r="P6" s="34" t="str">
        <f>IF(AND('Mapa final'!$AA$13="Muy Alta",'Mapa final'!$AC$13="Menor"),CONCATENATE("R1C",'Mapa final'!$Q$13),"")</f>
        <v/>
      </c>
      <c r="Q6" s="35" t="str">
        <f>IF(AND('Mapa final'!$AA$14="Muy Alta",'Mapa final'!$AC$14="Menor"),CONCATENATE("R1C",'Mapa final'!$Q$14),"")</f>
        <v/>
      </c>
      <c r="R6" s="35" t="str">
        <f>IF(AND('Mapa final'!$AA$15="Muy Alta",'Mapa final'!$AC$15="Menor"),CONCATENATE("R1C",'Mapa final'!$Q$15),"")</f>
        <v/>
      </c>
      <c r="S6" s="35" t="str">
        <f>IF(AND('Mapa final'!$AA$16="Muy Alta",'Mapa final'!$AC$16="Menor"),CONCATENATE("R1C",'Mapa final'!$Q$16),"")</f>
        <v/>
      </c>
      <c r="T6" s="35" t="str">
        <f>IF(AND('Mapa final'!$AA$17="Muy Alta",'Mapa final'!$AC$17="Menor"),CONCATENATE("R1C",'Mapa final'!$Q$17),"")</f>
        <v/>
      </c>
      <c r="U6" s="36" t="str">
        <f>IF(AND('Mapa final'!$AA$18="Muy Alta",'Mapa final'!$AC$18="Menor"),CONCATENATE("R1C",'Mapa final'!$Q$18),"")</f>
        <v/>
      </c>
      <c r="V6" s="34" t="str">
        <f>IF(AND('Mapa final'!$AA$13="Muy Alta",'Mapa final'!$AC$13="Moderado"),CONCATENATE("R1C",'Mapa final'!$Q$13),"")</f>
        <v/>
      </c>
      <c r="W6" s="35" t="str">
        <f>IF(AND('Mapa final'!$AA$14="Muy Alta",'Mapa final'!$AC$14="Moderado"),CONCATENATE("R1C",'Mapa final'!$Q$14),"")</f>
        <v/>
      </c>
      <c r="X6" s="35" t="str">
        <f>IF(AND('Mapa final'!$AA$15="Muy Alta",'Mapa final'!$AC$15="Moderado"),CONCATENATE("R1C",'Mapa final'!$Q$15),"")</f>
        <v/>
      </c>
      <c r="Y6" s="35" t="str">
        <f>IF(AND('Mapa final'!$AA$16="Muy Alta",'Mapa final'!$AC$16="Moderado"),CONCATENATE("R1C",'Mapa final'!$Q$16),"")</f>
        <v/>
      </c>
      <c r="Z6" s="35" t="str">
        <f>IF(AND('Mapa final'!$AA$17="Muy Alta",'Mapa final'!$AC$17="Moderado"),CONCATENATE("R1C",'Mapa final'!$Q$17),"")</f>
        <v/>
      </c>
      <c r="AA6" s="36" t="str">
        <f>IF(AND('Mapa final'!$AA$18="Muy Alta",'Mapa final'!$AC$18="Moderado"),CONCATENATE("R1C",'Mapa final'!$Q$18),"")</f>
        <v/>
      </c>
      <c r="AB6" s="34" t="str">
        <f>IF(AND('Mapa final'!$AA$13="Muy Alta",'Mapa final'!$AC$13="Mayor"),CONCATENATE("R1C",'Mapa final'!$Q$13),"")</f>
        <v/>
      </c>
      <c r="AC6" s="35" t="str">
        <f>IF(AND('Mapa final'!$AA$14="Muy Alta",'Mapa final'!$AC$14="Mayor"),CONCATENATE("R1C",'Mapa final'!$Q$14),"")</f>
        <v/>
      </c>
      <c r="AD6" s="35" t="str">
        <f>IF(AND('Mapa final'!$AA$15="Muy Alta",'Mapa final'!$AC$15="Mayor"),CONCATENATE("R1C",'Mapa final'!$Q$15),"")</f>
        <v/>
      </c>
      <c r="AE6" s="35" t="str">
        <f>IF(AND('Mapa final'!$AA$16="Muy Alta",'Mapa final'!$AC$16="Mayor"),CONCATENATE("R1C",'Mapa final'!$Q$16),"")</f>
        <v/>
      </c>
      <c r="AF6" s="35" t="str">
        <f>IF(AND('Mapa final'!$AA$17="Muy Alta",'Mapa final'!$AC$17="Mayor"),CONCATENATE("R1C",'Mapa final'!$Q$17),"")</f>
        <v/>
      </c>
      <c r="AG6" s="36" t="str">
        <f>IF(AND('Mapa final'!$AA$18="Muy Alta",'Mapa final'!$AC$18="Mayor"),CONCATENATE("R1C",'Mapa final'!$Q$18),"")</f>
        <v/>
      </c>
      <c r="AH6" s="37" t="str">
        <f>IF(AND('Mapa final'!$AA$13="Muy Alta",'Mapa final'!$AC$13="Catastrófico"),CONCATENATE("R1C",'Mapa final'!$Q$13),"")</f>
        <v/>
      </c>
      <c r="AI6" s="38" t="str">
        <f>IF(AND('Mapa final'!$AA$14="Muy Alta",'Mapa final'!$AC$14="Catastrófico"),CONCATENATE("R1C",'Mapa final'!$Q$14),"")</f>
        <v/>
      </c>
      <c r="AJ6" s="38" t="str">
        <f>IF(AND('Mapa final'!$AA$15="Muy Alta",'Mapa final'!$AC$15="Catastrófico"),CONCATENATE("R1C",'Mapa final'!$Q$15),"")</f>
        <v/>
      </c>
      <c r="AK6" s="38" t="str">
        <f>IF(AND('Mapa final'!$AA$16="Muy Alta",'Mapa final'!$AC$16="Catastrófico"),CONCATENATE("R1C",'Mapa final'!$Q$16),"")</f>
        <v/>
      </c>
      <c r="AL6" s="38" t="str">
        <f>IF(AND('Mapa final'!$AA$17="Muy Alta",'Mapa final'!$AC$17="Catastrófico"),CONCATENATE("R1C",'Mapa final'!$Q$17),"")</f>
        <v/>
      </c>
      <c r="AM6" s="39" t="str">
        <f>IF(AND('Mapa final'!$AA$18="Muy Alta",'Mapa final'!$AC$18="Catastrófico"),CONCATENATE("R1C",'Mapa final'!$Q$18),"")</f>
        <v/>
      </c>
      <c r="AN6" s="72"/>
      <c r="AO6" s="535" t="s">
        <v>79</v>
      </c>
      <c r="AP6" s="536"/>
      <c r="AQ6" s="536"/>
      <c r="AR6" s="536"/>
      <c r="AS6" s="536"/>
      <c r="AT6" s="537"/>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row>
    <row r="7" spans="1:91" ht="15" customHeight="1" x14ac:dyDescent="0.25">
      <c r="A7" s="72"/>
      <c r="B7" s="521"/>
      <c r="C7" s="521"/>
      <c r="D7" s="522"/>
      <c r="E7" s="526"/>
      <c r="F7" s="527"/>
      <c r="G7" s="527"/>
      <c r="H7" s="527"/>
      <c r="I7" s="528"/>
      <c r="J7" s="40" t="e">
        <f>IF(AND('Mapa final'!#REF!="Muy Alta",'Mapa final'!#REF!="Leve"),CONCATENATE("R2C",'Mapa final'!#REF!),"")</f>
        <v>#REF!</v>
      </c>
      <c r="K7" s="41" t="e">
        <f>IF(AND('Mapa final'!#REF!="Muy Alta",'Mapa final'!#REF!="Leve"),CONCATENATE("R2C",'Mapa final'!#REF!),"")</f>
        <v>#REF!</v>
      </c>
      <c r="L7" s="41" t="e">
        <f>IF(AND('Mapa final'!#REF!="Muy Alta",'Mapa final'!#REF!="Leve"),CONCATENATE("R2C",'Mapa final'!#REF!),"")</f>
        <v>#REF!</v>
      </c>
      <c r="M7" s="41" t="e">
        <f>IF(AND('Mapa final'!#REF!="Muy Alta",'Mapa final'!#REF!="Leve"),CONCATENATE("R2C",'Mapa final'!#REF!),"")</f>
        <v>#REF!</v>
      </c>
      <c r="N7" s="41" t="e">
        <f>IF(AND('Mapa final'!#REF!="Muy Alta",'Mapa final'!#REF!="Leve"),CONCATENATE("R2C",'Mapa final'!#REF!),"")</f>
        <v>#REF!</v>
      </c>
      <c r="O7" s="42" t="e">
        <f>IF(AND('Mapa final'!#REF!="Muy Alta",'Mapa final'!#REF!="Leve"),CONCATENATE("R2C",'Mapa final'!#REF!),"")</f>
        <v>#REF!</v>
      </c>
      <c r="P7" s="40" t="e">
        <f>IF(AND('Mapa final'!#REF!="Muy Alta",'Mapa final'!#REF!="Menor"),CONCATENATE("R2C",'Mapa final'!#REF!),"")</f>
        <v>#REF!</v>
      </c>
      <c r="Q7" s="41" t="e">
        <f>IF(AND('Mapa final'!#REF!="Muy Alta",'Mapa final'!#REF!="Menor"),CONCATENATE("R2C",'Mapa final'!#REF!),"")</f>
        <v>#REF!</v>
      </c>
      <c r="R7" s="41" t="e">
        <f>IF(AND('Mapa final'!#REF!="Muy Alta",'Mapa final'!#REF!="Menor"),CONCATENATE("R2C",'Mapa final'!#REF!),"")</f>
        <v>#REF!</v>
      </c>
      <c r="S7" s="41" t="e">
        <f>IF(AND('Mapa final'!#REF!="Muy Alta",'Mapa final'!#REF!="Menor"),CONCATENATE("R2C",'Mapa final'!#REF!),"")</f>
        <v>#REF!</v>
      </c>
      <c r="T7" s="41" t="e">
        <f>IF(AND('Mapa final'!#REF!="Muy Alta",'Mapa final'!#REF!="Menor"),CONCATENATE("R2C",'Mapa final'!#REF!),"")</f>
        <v>#REF!</v>
      </c>
      <c r="U7" s="42" t="e">
        <f>IF(AND('Mapa final'!#REF!="Muy Alta",'Mapa final'!#REF!="Menor"),CONCATENATE("R2C",'Mapa final'!#REF!),"")</f>
        <v>#REF!</v>
      </c>
      <c r="V7" s="40" t="e">
        <f>IF(AND('Mapa final'!#REF!="Muy Alta",'Mapa final'!#REF!="Moderado"),CONCATENATE("R2C",'Mapa final'!#REF!),"")</f>
        <v>#REF!</v>
      </c>
      <c r="W7" s="41" t="e">
        <f>IF(AND('Mapa final'!#REF!="Muy Alta",'Mapa final'!#REF!="Moderado"),CONCATENATE("R2C",'Mapa final'!#REF!),"")</f>
        <v>#REF!</v>
      </c>
      <c r="X7" s="41" t="e">
        <f>IF(AND('Mapa final'!#REF!="Muy Alta",'Mapa final'!#REF!="Moderado"),CONCATENATE("R2C",'Mapa final'!#REF!),"")</f>
        <v>#REF!</v>
      </c>
      <c r="Y7" s="41" t="e">
        <f>IF(AND('Mapa final'!#REF!="Muy Alta",'Mapa final'!#REF!="Moderado"),CONCATENATE("R2C",'Mapa final'!#REF!),"")</f>
        <v>#REF!</v>
      </c>
      <c r="Z7" s="41" t="e">
        <f>IF(AND('Mapa final'!#REF!="Muy Alta",'Mapa final'!#REF!="Moderado"),CONCATENATE("R2C",'Mapa final'!#REF!),"")</f>
        <v>#REF!</v>
      </c>
      <c r="AA7" s="42" t="e">
        <f>IF(AND('Mapa final'!#REF!="Muy Alta",'Mapa final'!#REF!="Moderado"),CONCATENATE("R2C",'Mapa final'!#REF!),"")</f>
        <v>#REF!</v>
      </c>
      <c r="AB7" s="40" t="e">
        <f>IF(AND('Mapa final'!#REF!="Muy Alta",'Mapa final'!#REF!="Mayor"),CONCATENATE("R2C",'Mapa final'!#REF!),"")</f>
        <v>#REF!</v>
      </c>
      <c r="AC7" s="41" t="e">
        <f>IF(AND('Mapa final'!#REF!="Muy Alta",'Mapa final'!#REF!="Mayor"),CONCATENATE("R2C",'Mapa final'!#REF!),"")</f>
        <v>#REF!</v>
      </c>
      <c r="AD7" s="41" t="e">
        <f>IF(AND('Mapa final'!#REF!="Muy Alta",'Mapa final'!#REF!="Mayor"),CONCATENATE("R2C",'Mapa final'!#REF!),"")</f>
        <v>#REF!</v>
      </c>
      <c r="AE7" s="41" t="e">
        <f>IF(AND('Mapa final'!#REF!="Muy Alta",'Mapa final'!#REF!="Mayor"),CONCATENATE("R2C",'Mapa final'!#REF!),"")</f>
        <v>#REF!</v>
      </c>
      <c r="AF7" s="41" t="e">
        <f>IF(AND('Mapa final'!#REF!="Muy Alta",'Mapa final'!#REF!="Mayor"),CONCATENATE("R2C",'Mapa final'!#REF!),"")</f>
        <v>#REF!</v>
      </c>
      <c r="AG7" s="42" t="e">
        <f>IF(AND('Mapa final'!#REF!="Muy Alta",'Mapa final'!#REF!="Mayor"),CONCATENATE("R2C",'Mapa final'!#REF!),"")</f>
        <v>#REF!</v>
      </c>
      <c r="AH7" s="43" t="e">
        <f>IF(AND('Mapa final'!#REF!="Muy Alta",'Mapa final'!#REF!="Catastrófico"),CONCATENATE("R2C",'Mapa final'!#REF!),"")</f>
        <v>#REF!</v>
      </c>
      <c r="AI7" s="44" t="e">
        <f>IF(AND('Mapa final'!#REF!="Muy Alta",'Mapa final'!#REF!="Catastrófico"),CONCATENATE("R2C",'Mapa final'!#REF!),"")</f>
        <v>#REF!</v>
      </c>
      <c r="AJ7" s="44" t="e">
        <f>IF(AND('Mapa final'!#REF!="Muy Alta",'Mapa final'!#REF!="Catastrófico"),CONCATENATE("R2C",'Mapa final'!#REF!),"")</f>
        <v>#REF!</v>
      </c>
      <c r="AK7" s="44" t="e">
        <f>IF(AND('Mapa final'!#REF!="Muy Alta",'Mapa final'!#REF!="Catastrófico"),CONCATENATE("R2C",'Mapa final'!#REF!),"")</f>
        <v>#REF!</v>
      </c>
      <c r="AL7" s="44" t="e">
        <f>IF(AND('Mapa final'!#REF!="Muy Alta",'Mapa final'!#REF!="Catastrófico"),CONCATENATE("R2C",'Mapa final'!#REF!),"")</f>
        <v>#REF!</v>
      </c>
      <c r="AM7" s="45" t="e">
        <f>IF(AND('Mapa final'!#REF!="Muy Alta",'Mapa final'!#REF!="Catastrófico"),CONCATENATE("R2C",'Mapa final'!#REF!),"")</f>
        <v>#REF!</v>
      </c>
      <c r="AN7" s="72"/>
      <c r="AO7" s="538"/>
      <c r="AP7" s="539"/>
      <c r="AQ7" s="539"/>
      <c r="AR7" s="539"/>
      <c r="AS7" s="539"/>
      <c r="AT7" s="540"/>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row>
    <row r="8" spans="1:91" ht="15" customHeight="1" x14ac:dyDescent="0.25">
      <c r="A8" s="72"/>
      <c r="B8" s="521"/>
      <c r="C8" s="521"/>
      <c r="D8" s="522"/>
      <c r="E8" s="526"/>
      <c r="F8" s="527"/>
      <c r="G8" s="527"/>
      <c r="H8" s="527"/>
      <c r="I8" s="528"/>
      <c r="J8" s="40" t="e">
        <f>IF(AND('Mapa final'!#REF!="Muy Alta",'Mapa final'!#REF!="Leve"),CONCATENATE("R3C",'Mapa final'!#REF!),"")</f>
        <v>#REF!</v>
      </c>
      <c r="K8" s="41" t="e">
        <f>IF(AND('Mapa final'!#REF!="Muy Alta",'Mapa final'!#REF!="Leve"),CONCATENATE("R3C",'Mapa final'!#REF!),"")</f>
        <v>#REF!</v>
      </c>
      <c r="L8" s="41" t="e">
        <f>IF(AND('Mapa final'!#REF!="Muy Alta",'Mapa final'!#REF!="Leve"),CONCATENATE("R3C",'Mapa final'!#REF!),"")</f>
        <v>#REF!</v>
      </c>
      <c r="M8" s="41" t="e">
        <f>IF(AND('Mapa final'!#REF!="Muy Alta",'Mapa final'!#REF!="Leve"),CONCATENATE("R3C",'Mapa final'!#REF!),"")</f>
        <v>#REF!</v>
      </c>
      <c r="N8" s="41" t="e">
        <f>IF(AND('Mapa final'!#REF!="Muy Alta",'Mapa final'!#REF!="Leve"),CONCATENATE("R3C",'Mapa final'!#REF!),"")</f>
        <v>#REF!</v>
      </c>
      <c r="O8" s="42" t="e">
        <f>IF(AND('Mapa final'!#REF!="Muy Alta",'Mapa final'!#REF!="Leve"),CONCATENATE("R3C",'Mapa final'!#REF!),"")</f>
        <v>#REF!</v>
      </c>
      <c r="P8" s="40" t="e">
        <f>IF(AND('Mapa final'!#REF!="Muy Alta",'Mapa final'!#REF!="Menor"),CONCATENATE("R3C",'Mapa final'!#REF!),"")</f>
        <v>#REF!</v>
      </c>
      <c r="Q8" s="41" t="e">
        <f>IF(AND('Mapa final'!#REF!="Muy Alta",'Mapa final'!#REF!="Menor"),CONCATENATE("R3C",'Mapa final'!#REF!),"")</f>
        <v>#REF!</v>
      </c>
      <c r="R8" s="41" t="e">
        <f>IF(AND('Mapa final'!#REF!="Muy Alta",'Mapa final'!#REF!="Menor"),CONCATENATE("R3C",'Mapa final'!#REF!),"")</f>
        <v>#REF!</v>
      </c>
      <c r="S8" s="41" t="e">
        <f>IF(AND('Mapa final'!#REF!="Muy Alta",'Mapa final'!#REF!="Menor"),CONCATENATE("R3C",'Mapa final'!#REF!),"")</f>
        <v>#REF!</v>
      </c>
      <c r="T8" s="41" t="e">
        <f>IF(AND('Mapa final'!#REF!="Muy Alta",'Mapa final'!#REF!="Menor"),CONCATENATE("R3C",'Mapa final'!#REF!),"")</f>
        <v>#REF!</v>
      </c>
      <c r="U8" s="42" t="e">
        <f>IF(AND('Mapa final'!#REF!="Muy Alta",'Mapa final'!#REF!="Menor"),CONCATENATE("R3C",'Mapa final'!#REF!),"")</f>
        <v>#REF!</v>
      </c>
      <c r="V8" s="40" t="e">
        <f>IF(AND('Mapa final'!#REF!="Muy Alta",'Mapa final'!#REF!="Moderado"),CONCATENATE("R3C",'Mapa final'!#REF!),"")</f>
        <v>#REF!</v>
      </c>
      <c r="W8" s="41" t="e">
        <f>IF(AND('Mapa final'!#REF!="Muy Alta",'Mapa final'!#REF!="Moderado"),CONCATENATE("R3C",'Mapa final'!#REF!),"")</f>
        <v>#REF!</v>
      </c>
      <c r="X8" s="41" t="e">
        <f>IF(AND('Mapa final'!#REF!="Muy Alta",'Mapa final'!#REF!="Moderado"),CONCATENATE("R3C",'Mapa final'!#REF!),"")</f>
        <v>#REF!</v>
      </c>
      <c r="Y8" s="41" t="e">
        <f>IF(AND('Mapa final'!#REF!="Muy Alta",'Mapa final'!#REF!="Moderado"),CONCATENATE("R3C",'Mapa final'!#REF!),"")</f>
        <v>#REF!</v>
      </c>
      <c r="Z8" s="41" t="e">
        <f>IF(AND('Mapa final'!#REF!="Muy Alta",'Mapa final'!#REF!="Moderado"),CONCATENATE("R3C",'Mapa final'!#REF!),"")</f>
        <v>#REF!</v>
      </c>
      <c r="AA8" s="42" t="e">
        <f>IF(AND('Mapa final'!#REF!="Muy Alta",'Mapa final'!#REF!="Moderado"),CONCATENATE("R3C",'Mapa final'!#REF!),"")</f>
        <v>#REF!</v>
      </c>
      <c r="AB8" s="40" t="e">
        <f>IF(AND('Mapa final'!#REF!="Muy Alta",'Mapa final'!#REF!="Mayor"),CONCATENATE("R3C",'Mapa final'!#REF!),"")</f>
        <v>#REF!</v>
      </c>
      <c r="AC8" s="41" t="e">
        <f>IF(AND('Mapa final'!#REF!="Muy Alta",'Mapa final'!#REF!="Mayor"),CONCATENATE("R3C",'Mapa final'!#REF!),"")</f>
        <v>#REF!</v>
      </c>
      <c r="AD8" s="41" t="e">
        <f>IF(AND('Mapa final'!#REF!="Muy Alta",'Mapa final'!#REF!="Mayor"),CONCATENATE("R3C",'Mapa final'!#REF!),"")</f>
        <v>#REF!</v>
      </c>
      <c r="AE8" s="41" t="e">
        <f>IF(AND('Mapa final'!#REF!="Muy Alta",'Mapa final'!#REF!="Mayor"),CONCATENATE("R3C",'Mapa final'!#REF!),"")</f>
        <v>#REF!</v>
      </c>
      <c r="AF8" s="41" t="e">
        <f>IF(AND('Mapa final'!#REF!="Muy Alta",'Mapa final'!#REF!="Mayor"),CONCATENATE("R3C",'Mapa final'!#REF!),"")</f>
        <v>#REF!</v>
      </c>
      <c r="AG8" s="42" t="e">
        <f>IF(AND('Mapa final'!#REF!="Muy Alta",'Mapa final'!#REF!="Mayor"),CONCATENATE("R3C",'Mapa final'!#REF!),"")</f>
        <v>#REF!</v>
      </c>
      <c r="AH8" s="43" t="e">
        <f>IF(AND('Mapa final'!#REF!="Muy Alta",'Mapa final'!#REF!="Catastrófico"),CONCATENATE("R3C",'Mapa final'!#REF!),"")</f>
        <v>#REF!</v>
      </c>
      <c r="AI8" s="44" t="e">
        <f>IF(AND('Mapa final'!#REF!="Muy Alta",'Mapa final'!#REF!="Catastrófico"),CONCATENATE("R3C",'Mapa final'!#REF!),"")</f>
        <v>#REF!</v>
      </c>
      <c r="AJ8" s="44" t="e">
        <f>IF(AND('Mapa final'!#REF!="Muy Alta",'Mapa final'!#REF!="Catastrófico"),CONCATENATE("R3C",'Mapa final'!#REF!),"")</f>
        <v>#REF!</v>
      </c>
      <c r="AK8" s="44" t="e">
        <f>IF(AND('Mapa final'!#REF!="Muy Alta",'Mapa final'!#REF!="Catastrófico"),CONCATENATE("R3C",'Mapa final'!#REF!),"")</f>
        <v>#REF!</v>
      </c>
      <c r="AL8" s="44" t="e">
        <f>IF(AND('Mapa final'!#REF!="Muy Alta",'Mapa final'!#REF!="Catastrófico"),CONCATENATE("R3C",'Mapa final'!#REF!),"")</f>
        <v>#REF!</v>
      </c>
      <c r="AM8" s="45" t="e">
        <f>IF(AND('Mapa final'!#REF!="Muy Alta",'Mapa final'!#REF!="Catastrófico"),CONCATENATE("R3C",'Mapa final'!#REF!),"")</f>
        <v>#REF!</v>
      </c>
      <c r="AN8" s="72"/>
      <c r="AO8" s="538"/>
      <c r="AP8" s="539"/>
      <c r="AQ8" s="539"/>
      <c r="AR8" s="539"/>
      <c r="AS8" s="539"/>
      <c r="AT8" s="540"/>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row>
    <row r="9" spans="1:91" ht="15" customHeight="1" x14ac:dyDescent="0.25">
      <c r="A9" s="72"/>
      <c r="B9" s="521"/>
      <c r="C9" s="521"/>
      <c r="D9" s="522"/>
      <c r="E9" s="526"/>
      <c r="F9" s="527"/>
      <c r="G9" s="527"/>
      <c r="H9" s="527"/>
      <c r="I9" s="528"/>
      <c r="J9" s="40" t="e">
        <f>IF(AND('Mapa final'!#REF!="Muy Alta",'Mapa final'!#REF!="Leve"),CONCATENATE("R4C",'Mapa final'!#REF!),"")</f>
        <v>#REF!</v>
      </c>
      <c r="K9" s="41" t="e">
        <f>IF(AND('Mapa final'!#REF!="Muy Alta",'Mapa final'!#REF!="Leve"),CONCATENATE("R4C",'Mapa final'!#REF!),"")</f>
        <v>#REF!</v>
      </c>
      <c r="L9" s="46" t="e">
        <f>IF(AND('Mapa final'!#REF!="Muy Alta",'Mapa final'!#REF!="Leve"),CONCATENATE("R4C",'Mapa final'!#REF!),"")</f>
        <v>#REF!</v>
      </c>
      <c r="M9" s="46" t="e">
        <f>IF(AND('Mapa final'!#REF!="Muy Alta",'Mapa final'!#REF!="Leve"),CONCATENATE("R4C",'Mapa final'!#REF!),"")</f>
        <v>#REF!</v>
      </c>
      <c r="N9" s="46" t="e">
        <f>IF(AND('Mapa final'!#REF!="Muy Alta",'Mapa final'!#REF!="Leve"),CONCATENATE("R4C",'Mapa final'!#REF!),"")</f>
        <v>#REF!</v>
      </c>
      <c r="O9" s="42" t="e">
        <f>IF(AND('Mapa final'!#REF!="Muy Alta",'Mapa final'!#REF!="Leve"),CONCATENATE("R4C",'Mapa final'!#REF!),"")</f>
        <v>#REF!</v>
      </c>
      <c r="P9" s="40" t="e">
        <f>IF(AND('Mapa final'!#REF!="Muy Alta",'Mapa final'!#REF!="Menor"),CONCATENATE("R4C",'Mapa final'!#REF!),"")</f>
        <v>#REF!</v>
      </c>
      <c r="Q9" s="41" t="e">
        <f>IF(AND('Mapa final'!#REF!="Muy Alta",'Mapa final'!#REF!="Menor"),CONCATENATE("R4C",'Mapa final'!#REF!),"")</f>
        <v>#REF!</v>
      </c>
      <c r="R9" s="46" t="e">
        <f>IF(AND('Mapa final'!#REF!="Muy Alta",'Mapa final'!#REF!="Menor"),CONCATENATE("R4C",'Mapa final'!#REF!),"")</f>
        <v>#REF!</v>
      </c>
      <c r="S9" s="46" t="e">
        <f>IF(AND('Mapa final'!#REF!="Muy Alta",'Mapa final'!#REF!="Menor"),CONCATENATE("R4C",'Mapa final'!#REF!),"")</f>
        <v>#REF!</v>
      </c>
      <c r="T9" s="46" t="e">
        <f>IF(AND('Mapa final'!#REF!="Muy Alta",'Mapa final'!#REF!="Menor"),CONCATENATE("R4C",'Mapa final'!#REF!),"")</f>
        <v>#REF!</v>
      </c>
      <c r="U9" s="42" t="e">
        <f>IF(AND('Mapa final'!#REF!="Muy Alta",'Mapa final'!#REF!="Menor"),CONCATENATE("R4C",'Mapa final'!#REF!),"")</f>
        <v>#REF!</v>
      </c>
      <c r="V9" s="40" t="e">
        <f>IF(AND('Mapa final'!#REF!="Muy Alta",'Mapa final'!#REF!="Moderado"),CONCATENATE("R4C",'Mapa final'!#REF!),"")</f>
        <v>#REF!</v>
      </c>
      <c r="W9" s="41" t="e">
        <f>IF(AND('Mapa final'!#REF!="Muy Alta",'Mapa final'!#REF!="Moderado"),CONCATENATE("R4C",'Mapa final'!#REF!),"")</f>
        <v>#REF!</v>
      </c>
      <c r="X9" s="46" t="e">
        <f>IF(AND('Mapa final'!#REF!="Muy Alta",'Mapa final'!#REF!="Moderado"),CONCATENATE("R4C",'Mapa final'!#REF!),"")</f>
        <v>#REF!</v>
      </c>
      <c r="Y9" s="46" t="e">
        <f>IF(AND('Mapa final'!#REF!="Muy Alta",'Mapa final'!#REF!="Moderado"),CONCATENATE("R4C",'Mapa final'!#REF!),"")</f>
        <v>#REF!</v>
      </c>
      <c r="Z9" s="46" t="e">
        <f>IF(AND('Mapa final'!#REF!="Muy Alta",'Mapa final'!#REF!="Moderado"),CONCATENATE("R4C",'Mapa final'!#REF!),"")</f>
        <v>#REF!</v>
      </c>
      <c r="AA9" s="42" t="e">
        <f>IF(AND('Mapa final'!#REF!="Muy Alta",'Mapa final'!#REF!="Moderado"),CONCATENATE("R4C",'Mapa final'!#REF!),"")</f>
        <v>#REF!</v>
      </c>
      <c r="AB9" s="40" t="e">
        <f>IF(AND('Mapa final'!#REF!="Muy Alta",'Mapa final'!#REF!="Mayor"),CONCATENATE("R4C",'Mapa final'!#REF!),"")</f>
        <v>#REF!</v>
      </c>
      <c r="AC9" s="41" t="e">
        <f>IF(AND('Mapa final'!#REF!="Muy Alta",'Mapa final'!#REF!="Mayor"),CONCATENATE("R4C",'Mapa final'!#REF!),"")</f>
        <v>#REF!</v>
      </c>
      <c r="AD9" s="46" t="e">
        <f>IF(AND('Mapa final'!#REF!="Muy Alta",'Mapa final'!#REF!="Mayor"),CONCATENATE("R4C",'Mapa final'!#REF!),"")</f>
        <v>#REF!</v>
      </c>
      <c r="AE9" s="46" t="e">
        <f>IF(AND('Mapa final'!#REF!="Muy Alta",'Mapa final'!#REF!="Mayor"),CONCATENATE("R4C",'Mapa final'!#REF!),"")</f>
        <v>#REF!</v>
      </c>
      <c r="AF9" s="46" t="e">
        <f>IF(AND('Mapa final'!#REF!="Muy Alta",'Mapa final'!#REF!="Mayor"),CONCATENATE("R4C",'Mapa final'!#REF!),"")</f>
        <v>#REF!</v>
      </c>
      <c r="AG9" s="42" t="e">
        <f>IF(AND('Mapa final'!#REF!="Muy Alta",'Mapa final'!#REF!="Mayor"),CONCATENATE("R4C",'Mapa final'!#REF!),"")</f>
        <v>#REF!</v>
      </c>
      <c r="AH9" s="43" t="e">
        <f>IF(AND('Mapa final'!#REF!="Muy Alta",'Mapa final'!#REF!="Catastrófico"),CONCATENATE("R4C",'Mapa final'!#REF!),"")</f>
        <v>#REF!</v>
      </c>
      <c r="AI9" s="44" t="e">
        <f>IF(AND('Mapa final'!#REF!="Muy Alta",'Mapa final'!#REF!="Catastrófico"),CONCATENATE("R4C",'Mapa final'!#REF!),"")</f>
        <v>#REF!</v>
      </c>
      <c r="AJ9" s="44" t="e">
        <f>IF(AND('Mapa final'!#REF!="Muy Alta",'Mapa final'!#REF!="Catastrófico"),CONCATENATE("R4C",'Mapa final'!#REF!),"")</f>
        <v>#REF!</v>
      </c>
      <c r="AK9" s="44" t="e">
        <f>IF(AND('Mapa final'!#REF!="Muy Alta",'Mapa final'!#REF!="Catastrófico"),CONCATENATE("R4C",'Mapa final'!#REF!),"")</f>
        <v>#REF!</v>
      </c>
      <c r="AL9" s="44" t="e">
        <f>IF(AND('Mapa final'!#REF!="Muy Alta",'Mapa final'!#REF!="Catastrófico"),CONCATENATE("R4C",'Mapa final'!#REF!),"")</f>
        <v>#REF!</v>
      </c>
      <c r="AM9" s="45" t="e">
        <f>IF(AND('Mapa final'!#REF!="Muy Alta",'Mapa final'!#REF!="Catastrófico"),CONCATENATE("R4C",'Mapa final'!#REF!),"")</f>
        <v>#REF!</v>
      </c>
      <c r="AN9" s="72"/>
      <c r="AO9" s="538"/>
      <c r="AP9" s="539"/>
      <c r="AQ9" s="539"/>
      <c r="AR9" s="539"/>
      <c r="AS9" s="539"/>
      <c r="AT9" s="540"/>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row>
    <row r="10" spans="1:91" ht="15" customHeight="1" x14ac:dyDescent="0.25">
      <c r="A10" s="72"/>
      <c r="B10" s="521"/>
      <c r="C10" s="521"/>
      <c r="D10" s="522"/>
      <c r="E10" s="526"/>
      <c r="F10" s="527"/>
      <c r="G10" s="527"/>
      <c r="H10" s="527"/>
      <c r="I10" s="528"/>
      <c r="J10" s="40" t="e">
        <f>IF(AND('Mapa final'!#REF!="Muy Alta",'Mapa final'!#REF!="Leve"),CONCATENATE("R5C",'Mapa final'!#REF!),"")</f>
        <v>#REF!</v>
      </c>
      <c r="K10" s="41" t="e">
        <f>IF(AND('Mapa final'!#REF!="Muy Alta",'Mapa final'!#REF!="Leve"),CONCATENATE("R5C",'Mapa final'!#REF!),"")</f>
        <v>#REF!</v>
      </c>
      <c r="L10" s="46" t="e">
        <f>IF(AND('Mapa final'!#REF!="Muy Alta",'Mapa final'!#REF!="Leve"),CONCATENATE("R5C",'Mapa final'!#REF!),"")</f>
        <v>#REF!</v>
      </c>
      <c r="M10" s="46" t="e">
        <f>IF(AND('Mapa final'!#REF!="Muy Alta",'Mapa final'!#REF!="Leve"),CONCATENATE("R5C",'Mapa final'!#REF!),"")</f>
        <v>#REF!</v>
      </c>
      <c r="N10" s="46" t="e">
        <f>IF(AND('Mapa final'!#REF!="Muy Alta",'Mapa final'!#REF!="Leve"),CONCATENATE("R5C",'Mapa final'!#REF!),"")</f>
        <v>#REF!</v>
      </c>
      <c r="O10" s="42" t="e">
        <f>IF(AND('Mapa final'!#REF!="Muy Alta",'Mapa final'!#REF!="Leve"),CONCATENATE("R5C",'Mapa final'!#REF!),"")</f>
        <v>#REF!</v>
      </c>
      <c r="P10" s="40" t="e">
        <f>IF(AND('Mapa final'!#REF!="Muy Alta",'Mapa final'!#REF!="Menor"),CONCATENATE("R5C",'Mapa final'!#REF!),"")</f>
        <v>#REF!</v>
      </c>
      <c r="Q10" s="41" t="e">
        <f>IF(AND('Mapa final'!#REF!="Muy Alta",'Mapa final'!#REF!="Menor"),CONCATENATE("R5C",'Mapa final'!#REF!),"")</f>
        <v>#REF!</v>
      </c>
      <c r="R10" s="46" t="e">
        <f>IF(AND('Mapa final'!#REF!="Muy Alta",'Mapa final'!#REF!="Menor"),CONCATENATE("R5C",'Mapa final'!#REF!),"")</f>
        <v>#REF!</v>
      </c>
      <c r="S10" s="46" t="e">
        <f>IF(AND('Mapa final'!#REF!="Muy Alta",'Mapa final'!#REF!="Menor"),CONCATENATE("R5C",'Mapa final'!#REF!),"")</f>
        <v>#REF!</v>
      </c>
      <c r="T10" s="46" t="e">
        <f>IF(AND('Mapa final'!#REF!="Muy Alta",'Mapa final'!#REF!="Menor"),CONCATENATE("R5C",'Mapa final'!#REF!),"")</f>
        <v>#REF!</v>
      </c>
      <c r="U10" s="42" t="e">
        <f>IF(AND('Mapa final'!#REF!="Muy Alta",'Mapa final'!#REF!="Menor"),CONCATENATE("R5C",'Mapa final'!#REF!),"")</f>
        <v>#REF!</v>
      </c>
      <c r="V10" s="40" t="e">
        <f>IF(AND('Mapa final'!#REF!="Muy Alta",'Mapa final'!#REF!="Moderado"),CONCATENATE("R5C",'Mapa final'!#REF!),"")</f>
        <v>#REF!</v>
      </c>
      <c r="W10" s="41" t="e">
        <f>IF(AND('Mapa final'!#REF!="Muy Alta",'Mapa final'!#REF!="Moderado"),CONCATENATE("R5C",'Mapa final'!#REF!),"")</f>
        <v>#REF!</v>
      </c>
      <c r="X10" s="46" t="e">
        <f>IF(AND('Mapa final'!#REF!="Muy Alta",'Mapa final'!#REF!="Moderado"),CONCATENATE("R5C",'Mapa final'!#REF!),"")</f>
        <v>#REF!</v>
      </c>
      <c r="Y10" s="46" t="e">
        <f>IF(AND('Mapa final'!#REF!="Muy Alta",'Mapa final'!#REF!="Moderado"),CONCATENATE("R5C",'Mapa final'!#REF!),"")</f>
        <v>#REF!</v>
      </c>
      <c r="Z10" s="46" t="e">
        <f>IF(AND('Mapa final'!#REF!="Muy Alta",'Mapa final'!#REF!="Moderado"),CONCATENATE("R5C",'Mapa final'!#REF!),"")</f>
        <v>#REF!</v>
      </c>
      <c r="AA10" s="42" t="e">
        <f>IF(AND('Mapa final'!#REF!="Muy Alta",'Mapa final'!#REF!="Moderado"),CONCATENATE("R5C",'Mapa final'!#REF!),"")</f>
        <v>#REF!</v>
      </c>
      <c r="AB10" s="40" t="e">
        <f>IF(AND('Mapa final'!#REF!="Muy Alta",'Mapa final'!#REF!="Mayor"),CONCATENATE("R5C",'Mapa final'!#REF!),"")</f>
        <v>#REF!</v>
      </c>
      <c r="AC10" s="41" t="e">
        <f>IF(AND('Mapa final'!#REF!="Muy Alta",'Mapa final'!#REF!="Mayor"),CONCATENATE("R5C",'Mapa final'!#REF!),"")</f>
        <v>#REF!</v>
      </c>
      <c r="AD10" s="46" t="e">
        <f>IF(AND('Mapa final'!#REF!="Muy Alta",'Mapa final'!#REF!="Mayor"),CONCATENATE("R5C",'Mapa final'!#REF!),"")</f>
        <v>#REF!</v>
      </c>
      <c r="AE10" s="46" t="e">
        <f>IF(AND('Mapa final'!#REF!="Muy Alta",'Mapa final'!#REF!="Mayor"),CONCATENATE("R5C",'Mapa final'!#REF!),"")</f>
        <v>#REF!</v>
      </c>
      <c r="AF10" s="46" t="e">
        <f>IF(AND('Mapa final'!#REF!="Muy Alta",'Mapa final'!#REF!="Mayor"),CONCATENATE("R5C",'Mapa final'!#REF!),"")</f>
        <v>#REF!</v>
      </c>
      <c r="AG10" s="42" t="e">
        <f>IF(AND('Mapa final'!#REF!="Muy Alta",'Mapa final'!#REF!="Mayor"),CONCATENATE("R5C",'Mapa final'!#REF!),"")</f>
        <v>#REF!</v>
      </c>
      <c r="AH10" s="43" t="e">
        <f>IF(AND('Mapa final'!#REF!="Muy Alta",'Mapa final'!#REF!="Catastrófico"),CONCATENATE("R5C",'Mapa final'!#REF!),"")</f>
        <v>#REF!</v>
      </c>
      <c r="AI10" s="44" t="e">
        <f>IF(AND('Mapa final'!#REF!="Muy Alta",'Mapa final'!#REF!="Catastrófico"),CONCATENATE("R5C",'Mapa final'!#REF!),"")</f>
        <v>#REF!</v>
      </c>
      <c r="AJ10" s="44" t="e">
        <f>IF(AND('Mapa final'!#REF!="Muy Alta",'Mapa final'!#REF!="Catastrófico"),CONCATENATE("R5C",'Mapa final'!#REF!),"")</f>
        <v>#REF!</v>
      </c>
      <c r="AK10" s="44" t="e">
        <f>IF(AND('Mapa final'!#REF!="Muy Alta",'Mapa final'!#REF!="Catastrófico"),CONCATENATE("R5C",'Mapa final'!#REF!),"")</f>
        <v>#REF!</v>
      </c>
      <c r="AL10" s="44" t="e">
        <f>IF(AND('Mapa final'!#REF!="Muy Alta",'Mapa final'!#REF!="Catastrófico"),CONCATENATE("R5C",'Mapa final'!#REF!),"")</f>
        <v>#REF!</v>
      </c>
      <c r="AM10" s="45" t="e">
        <f>IF(AND('Mapa final'!#REF!="Muy Alta",'Mapa final'!#REF!="Catastrófico"),CONCATENATE("R5C",'Mapa final'!#REF!),"")</f>
        <v>#REF!</v>
      </c>
      <c r="AN10" s="72"/>
      <c r="AO10" s="538"/>
      <c r="AP10" s="539"/>
      <c r="AQ10" s="539"/>
      <c r="AR10" s="539"/>
      <c r="AS10" s="539"/>
      <c r="AT10" s="540"/>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row>
    <row r="11" spans="1:91" ht="15" customHeight="1" x14ac:dyDescent="0.25">
      <c r="A11" s="72"/>
      <c r="B11" s="521"/>
      <c r="C11" s="521"/>
      <c r="D11" s="522"/>
      <c r="E11" s="526"/>
      <c r="F11" s="527"/>
      <c r="G11" s="527"/>
      <c r="H11" s="527"/>
      <c r="I11" s="528"/>
      <c r="J11" s="40" t="e">
        <f>IF(AND('Mapa final'!#REF!="Muy Alta",'Mapa final'!#REF!="Leve"),CONCATENATE("R6C",'Mapa final'!#REF!),"")</f>
        <v>#REF!</v>
      </c>
      <c r="K11" s="41" t="e">
        <f>IF(AND('Mapa final'!#REF!="Muy Alta",'Mapa final'!#REF!="Leve"),CONCATENATE("R6C",'Mapa final'!#REF!),"")</f>
        <v>#REF!</v>
      </c>
      <c r="L11" s="46" t="e">
        <f>IF(AND('Mapa final'!#REF!="Muy Alta",'Mapa final'!#REF!="Leve"),CONCATENATE("R6C",'Mapa final'!#REF!),"")</f>
        <v>#REF!</v>
      </c>
      <c r="M11" s="46" t="e">
        <f>IF(AND('Mapa final'!#REF!="Muy Alta",'Mapa final'!#REF!="Leve"),CONCATENATE("R6C",'Mapa final'!#REF!),"")</f>
        <v>#REF!</v>
      </c>
      <c r="N11" s="46" t="e">
        <f>IF(AND('Mapa final'!#REF!="Muy Alta",'Mapa final'!#REF!="Leve"),CONCATENATE("R6C",'Mapa final'!#REF!),"")</f>
        <v>#REF!</v>
      </c>
      <c r="O11" s="42" t="e">
        <f>IF(AND('Mapa final'!#REF!="Muy Alta",'Mapa final'!#REF!="Leve"),CONCATENATE("R6C",'Mapa final'!#REF!),"")</f>
        <v>#REF!</v>
      </c>
      <c r="P11" s="40" t="e">
        <f>IF(AND('Mapa final'!#REF!="Muy Alta",'Mapa final'!#REF!="Menor"),CONCATENATE("R6C",'Mapa final'!#REF!),"")</f>
        <v>#REF!</v>
      </c>
      <c r="Q11" s="41" t="e">
        <f>IF(AND('Mapa final'!#REF!="Muy Alta",'Mapa final'!#REF!="Menor"),CONCATENATE("R6C",'Mapa final'!#REF!),"")</f>
        <v>#REF!</v>
      </c>
      <c r="R11" s="46" t="e">
        <f>IF(AND('Mapa final'!#REF!="Muy Alta",'Mapa final'!#REF!="Menor"),CONCATENATE("R6C",'Mapa final'!#REF!),"")</f>
        <v>#REF!</v>
      </c>
      <c r="S11" s="46" t="e">
        <f>IF(AND('Mapa final'!#REF!="Muy Alta",'Mapa final'!#REF!="Menor"),CONCATENATE("R6C",'Mapa final'!#REF!),"")</f>
        <v>#REF!</v>
      </c>
      <c r="T11" s="46" t="e">
        <f>IF(AND('Mapa final'!#REF!="Muy Alta",'Mapa final'!#REF!="Menor"),CONCATENATE("R6C",'Mapa final'!#REF!),"")</f>
        <v>#REF!</v>
      </c>
      <c r="U11" s="42" t="e">
        <f>IF(AND('Mapa final'!#REF!="Muy Alta",'Mapa final'!#REF!="Menor"),CONCATENATE("R6C",'Mapa final'!#REF!),"")</f>
        <v>#REF!</v>
      </c>
      <c r="V11" s="40" t="e">
        <f>IF(AND('Mapa final'!#REF!="Muy Alta",'Mapa final'!#REF!="Moderado"),CONCATENATE("R6C",'Mapa final'!#REF!),"")</f>
        <v>#REF!</v>
      </c>
      <c r="W11" s="41" t="e">
        <f>IF(AND('Mapa final'!#REF!="Muy Alta",'Mapa final'!#REF!="Moderado"),CONCATENATE("R6C",'Mapa final'!#REF!),"")</f>
        <v>#REF!</v>
      </c>
      <c r="X11" s="46" t="e">
        <f>IF(AND('Mapa final'!#REF!="Muy Alta",'Mapa final'!#REF!="Moderado"),CONCATENATE("R6C",'Mapa final'!#REF!),"")</f>
        <v>#REF!</v>
      </c>
      <c r="Y11" s="46" t="e">
        <f>IF(AND('Mapa final'!#REF!="Muy Alta",'Mapa final'!#REF!="Moderado"),CONCATENATE("R6C",'Mapa final'!#REF!),"")</f>
        <v>#REF!</v>
      </c>
      <c r="Z11" s="46" t="e">
        <f>IF(AND('Mapa final'!#REF!="Muy Alta",'Mapa final'!#REF!="Moderado"),CONCATENATE("R6C",'Mapa final'!#REF!),"")</f>
        <v>#REF!</v>
      </c>
      <c r="AA11" s="42" t="e">
        <f>IF(AND('Mapa final'!#REF!="Muy Alta",'Mapa final'!#REF!="Moderado"),CONCATENATE("R6C",'Mapa final'!#REF!),"")</f>
        <v>#REF!</v>
      </c>
      <c r="AB11" s="40" t="e">
        <f>IF(AND('Mapa final'!#REF!="Muy Alta",'Mapa final'!#REF!="Mayor"),CONCATENATE("R6C",'Mapa final'!#REF!),"")</f>
        <v>#REF!</v>
      </c>
      <c r="AC11" s="41" t="e">
        <f>IF(AND('Mapa final'!#REF!="Muy Alta",'Mapa final'!#REF!="Mayor"),CONCATENATE("R6C",'Mapa final'!#REF!),"")</f>
        <v>#REF!</v>
      </c>
      <c r="AD11" s="46" t="e">
        <f>IF(AND('Mapa final'!#REF!="Muy Alta",'Mapa final'!#REF!="Mayor"),CONCATENATE("R6C",'Mapa final'!#REF!),"")</f>
        <v>#REF!</v>
      </c>
      <c r="AE11" s="46" t="e">
        <f>IF(AND('Mapa final'!#REF!="Muy Alta",'Mapa final'!#REF!="Mayor"),CONCATENATE("R6C",'Mapa final'!#REF!),"")</f>
        <v>#REF!</v>
      </c>
      <c r="AF11" s="46" t="e">
        <f>IF(AND('Mapa final'!#REF!="Muy Alta",'Mapa final'!#REF!="Mayor"),CONCATENATE("R6C",'Mapa final'!#REF!),"")</f>
        <v>#REF!</v>
      </c>
      <c r="AG11" s="42" t="e">
        <f>IF(AND('Mapa final'!#REF!="Muy Alta",'Mapa final'!#REF!="Mayor"),CONCATENATE("R6C",'Mapa final'!#REF!),"")</f>
        <v>#REF!</v>
      </c>
      <c r="AH11" s="43" t="e">
        <f>IF(AND('Mapa final'!#REF!="Muy Alta",'Mapa final'!#REF!="Catastrófico"),CONCATENATE("R6C",'Mapa final'!#REF!),"")</f>
        <v>#REF!</v>
      </c>
      <c r="AI11" s="44" t="e">
        <f>IF(AND('Mapa final'!#REF!="Muy Alta",'Mapa final'!#REF!="Catastrófico"),CONCATENATE("R6C",'Mapa final'!#REF!),"")</f>
        <v>#REF!</v>
      </c>
      <c r="AJ11" s="44" t="e">
        <f>IF(AND('Mapa final'!#REF!="Muy Alta",'Mapa final'!#REF!="Catastrófico"),CONCATENATE("R6C",'Mapa final'!#REF!),"")</f>
        <v>#REF!</v>
      </c>
      <c r="AK11" s="44" t="e">
        <f>IF(AND('Mapa final'!#REF!="Muy Alta",'Mapa final'!#REF!="Catastrófico"),CONCATENATE("R6C",'Mapa final'!#REF!),"")</f>
        <v>#REF!</v>
      </c>
      <c r="AL11" s="44" t="e">
        <f>IF(AND('Mapa final'!#REF!="Muy Alta",'Mapa final'!#REF!="Catastrófico"),CONCATENATE("R6C",'Mapa final'!#REF!),"")</f>
        <v>#REF!</v>
      </c>
      <c r="AM11" s="45" t="e">
        <f>IF(AND('Mapa final'!#REF!="Muy Alta",'Mapa final'!#REF!="Catastrófico"),CONCATENATE("R6C",'Mapa final'!#REF!),"")</f>
        <v>#REF!</v>
      </c>
      <c r="AN11" s="72"/>
      <c r="AO11" s="538"/>
      <c r="AP11" s="539"/>
      <c r="AQ11" s="539"/>
      <c r="AR11" s="539"/>
      <c r="AS11" s="539"/>
      <c r="AT11" s="540"/>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row>
    <row r="12" spans="1:91" ht="15" customHeight="1" x14ac:dyDescent="0.25">
      <c r="A12" s="72"/>
      <c r="B12" s="521"/>
      <c r="C12" s="521"/>
      <c r="D12" s="522"/>
      <c r="E12" s="526"/>
      <c r="F12" s="527"/>
      <c r="G12" s="527"/>
      <c r="H12" s="527"/>
      <c r="I12" s="528"/>
      <c r="J12" s="40" t="e">
        <f>IF(AND('Mapa final'!#REF!="Muy Alta",'Mapa final'!#REF!="Leve"),CONCATENATE("R7C",'Mapa final'!#REF!),"")</f>
        <v>#REF!</v>
      </c>
      <c r="K12" s="41" t="e">
        <f>IF(AND('Mapa final'!#REF!="Muy Alta",'Mapa final'!#REF!="Leve"),CONCATENATE("R7C",'Mapa final'!#REF!),"")</f>
        <v>#REF!</v>
      </c>
      <c r="L12" s="46" t="e">
        <f>IF(AND('Mapa final'!#REF!="Muy Alta",'Mapa final'!#REF!="Leve"),CONCATENATE("R7C",'Mapa final'!#REF!),"")</f>
        <v>#REF!</v>
      </c>
      <c r="M12" s="46" t="e">
        <f>IF(AND('Mapa final'!#REF!="Muy Alta",'Mapa final'!#REF!="Leve"),CONCATENATE("R7C",'Mapa final'!#REF!),"")</f>
        <v>#REF!</v>
      </c>
      <c r="N12" s="46" t="e">
        <f>IF(AND('Mapa final'!#REF!="Muy Alta",'Mapa final'!#REF!="Leve"),CONCATENATE("R7C",'Mapa final'!#REF!),"")</f>
        <v>#REF!</v>
      </c>
      <c r="O12" s="42" t="e">
        <f>IF(AND('Mapa final'!#REF!="Muy Alta",'Mapa final'!#REF!="Leve"),CONCATENATE("R7C",'Mapa final'!#REF!),"")</f>
        <v>#REF!</v>
      </c>
      <c r="P12" s="40" t="e">
        <f>IF(AND('Mapa final'!#REF!="Muy Alta",'Mapa final'!#REF!="Menor"),CONCATENATE("R7C",'Mapa final'!#REF!),"")</f>
        <v>#REF!</v>
      </c>
      <c r="Q12" s="41" t="e">
        <f>IF(AND('Mapa final'!#REF!="Muy Alta",'Mapa final'!#REF!="Menor"),CONCATENATE("R7C",'Mapa final'!#REF!),"")</f>
        <v>#REF!</v>
      </c>
      <c r="R12" s="46" t="e">
        <f>IF(AND('Mapa final'!#REF!="Muy Alta",'Mapa final'!#REF!="Menor"),CONCATENATE("R7C",'Mapa final'!#REF!),"")</f>
        <v>#REF!</v>
      </c>
      <c r="S12" s="46" t="e">
        <f>IF(AND('Mapa final'!#REF!="Muy Alta",'Mapa final'!#REF!="Menor"),CONCATENATE("R7C",'Mapa final'!#REF!),"")</f>
        <v>#REF!</v>
      </c>
      <c r="T12" s="46" t="e">
        <f>IF(AND('Mapa final'!#REF!="Muy Alta",'Mapa final'!#REF!="Menor"),CONCATENATE("R7C",'Mapa final'!#REF!),"")</f>
        <v>#REF!</v>
      </c>
      <c r="U12" s="42" t="e">
        <f>IF(AND('Mapa final'!#REF!="Muy Alta",'Mapa final'!#REF!="Menor"),CONCATENATE("R7C",'Mapa final'!#REF!),"")</f>
        <v>#REF!</v>
      </c>
      <c r="V12" s="40" t="e">
        <f>IF(AND('Mapa final'!#REF!="Muy Alta",'Mapa final'!#REF!="Moderado"),CONCATENATE("R7C",'Mapa final'!#REF!),"")</f>
        <v>#REF!</v>
      </c>
      <c r="W12" s="41" t="e">
        <f>IF(AND('Mapa final'!#REF!="Muy Alta",'Mapa final'!#REF!="Moderado"),CONCATENATE("R7C",'Mapa final'!#REF!),"")</f>
        <v>#REF!</v>
      </c>
      <c r="X12" s="46" t="e">
        <f>IF(AND('Mapa final'!#REF!="Muy Alta",'Mapa final'!#REF!="Moderado"),CONCATENATE("R7C",'Mapa final'!#REF!),"")</f>
        <v>#REF!</v>
      </c>
      <c r="Y12" s="46" t="e">
        <f>IF(AND('Mapa final'!#REF!="Muy Alta",'Mapa final'!#REF!="Moderado"),CONCATENATE("R7C",'Mapa final'!#REF!),"")</f>
        <v>#REF!</v>
      </c>
      <c r="Z12" s="46" t="e">
        <f>IF(AND('Mapa final'!#REF!="Muy Alta",'Mapa final'!#REF!="Moderado"),CONCATENATE("R7C",'Mapa final'!#REF!),"")</f>
        <v>#REF!</v>
      </c>
      <c r="AA12" s="42" t="e">
        <f>IF(AND('Mapa final'!#REF!="Muy Alta",'Mapa final'!#REF!="Moderado"),CONCATENATE("R7C",'Mapa final'!#REF!),"")</f>
        <v>#REF!</v>
      </c>
      <c r="AB12" s="40" t="e">
        <f>IF(AND('Mapa final'!#REF!="Muy Alta",'Mapa final'!#REF!="Mayor"),CONCATENATE("R7C",'Mapa final'!#REF!),"")</f>
        <v>#REF!</v>
      </c>
      <c r="AC12" s="41" t="e">
        <f>IF(AND('Mapa final'!#REF!="Muy Alta",'Mapa final'!#REF!="Mayor"),CONCATENATE("R7C",'Mapa final'!#REF!),"")</f>
        <v>#REF!</v>
      </c>
      <c r="AD12" s="46" t="e">
        <f>IF(AND('Mapa final'!#REF!="Muy Alta",'Mapa final'!#REF!="Mayor"),CONCATENATE("R7C",'Mapa final'!#REF!),"")</f>
        <v>#REF!</v>
      </c>
      <c r="AE12" s="46" t="e">
        <f>IF(AND('Mapa final'!#REF!="Muy Alta",'Mapa final'!#REF!="Mayor"),CONCATENATE("R7C",'Mapa final'!#REF!),"")</f>
        <v>#REF!</v>
      </c>
      <c r="AF12" s="46" t="e">
        <f>IF(AND('Mapa final'!#REF!="Muy Alta",'Mapa final'!#REF!="Mayor"),CONCATENATE("R7C",'Mapa final'!#REF!),"")</f>
        <v>#REF!</v>
      </c>
      <c r="AG12" s="42" t="e">
        <f>IF(AND('Mapa final'!#REF!="Muy Alta",'Mapa final'!#REF!="Mayor"),CONCATENATE("R7C",'Mapa final'!#REF!),"")</f>
        <v>#REF!</v>
      </c>
      <c r="AH12" s="43" t="e">
        <f>IF(AND('Mapa final'!#REF!="Muy Alta",'Mapa final'!#REF!="Catastrófico"),CONCATENATE("R7C",'Mapa final'!#REF!),"")</f>
        <v>#REF!</v>
      </c>
      <c r="AI12" s="44" t="e">
        <f>IF(AND('Mapa final'!#REF!="Muy Alta",'Mapa final'!#REF!="Catastrófico"),CONCATENATE("R7C",'Mapa final'!#REF!),"")</f>
        <v>#REF!</v>
      </c>
      <c r="AJ12" s="44" t="e">
        <f>IF(AND('Mapa final'!#REF!="Muy Alta",'Mapa final'!#REF!="Catastrófico"),CONCATENATE("R7C",'Mapa final'!#REF!),"")</f>
        <v>#REF!</v>
      </c>
      <c r="AK12" s="44" t="e">
        <f>IF(AND('Mapa final'!#REF!="Muy Alta",'Mapa final'!#REF!="Catastrófico"),CONCATENATE("R7C",'Mapa final'!#REF!),"")</f>
        <v>#REF!</v>
      </c>
      <c r="AL12" s="44" t="e">
        <f>IF(AND('Mapa final'!#REF!="Muy Alta",'Mapa final'!#REF!="Catastrófico"),CONCATENATE("R7C",'Mapa final'!#REF!),"")</f>
        <v>#REF!</v>
      </c>
      <c r="AM12" s="45" t="e">
        <f>IF(AND('Mapa final'!#REF!="Muy Alta",'Mapa final'!#REF!="Catastrófico"),CONCATENATE("R7C",'Mapa final'!#REF!),"")</f>
        <v>#REF!</v>
      </c>
      <c r="AN12" s="72"/>
      <c r="AO12" s="538"/>
      <c r="AP12" s="539"/>
      <c r="AQ12" s="539"/>
      <c r="AR12" s="539"/>
      <c r="AS12" s="539"/>
      <c r="AT12" s="540"/>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row>
    <row r="13" spans="1:91" ht="15" customHeight="1" x14ac:dyDescent="0.25">
      <c r="A13" s="72"/>
      <c r="B13" s="521"/>
      <c r="C13" s="521"/>
      <c r="D13" s="522"/>
      <c r="E13" s="526"/>
      <c r="F13" s="527"/>
      <c r="G13" s="527"/>
      <c r="H13" s="527"/>
      <c r="I13" s="528"/>
      <c r="J13" s="40" t="e">
        <f>IF(AND('Mapa final'!#REF!="Muy Alta",'Mapa final'!#REF!="Leve"),CONCATENATE("R8C",'Mapa final'!#REF!),"")</f>
        <v>#REF!</v>
      </c>
      <c r="K13" s="41" t="e">
        <f>IF(AND('Mapa final'!#REF!="Muy Alta",'Mapa final'!#REF!="Leve"),CONCATENATE("R8C",'Mapa final'!#REF!),"")</f>
        <v>#REF!</v>
      </c>
      <c r="L13" s="46" t="e">
        <f>IF(AND('Mapa final'!#REF!="Muy Alta",'Mapa final'!#REF!="Leve"),CONCATENATE("R8C",'Mapa final'!#REF!),"")</f>
        <v>#REF!</v>
      </c>
      <c r="M13" s="46" t="e">
        <f>IF(AND('Mapa final'!#REF!="Muy Alta",'Mapa final'!#REF!="Leve"),CONCATENATE("R8C",'Mapa final'!#REF!),"")</f>
        <v>#REF!</v>
      </c>
      <c r="N13" s="46" t="e">
        <f>IF(AND('Mapa final'!#REF!="Muy Alta",'Mapa final'!#REF!="Leve"),CONCATENATE("R8C",'Mapa final'!#REF!),"")</f>
        <v>#REF!</v>
      </c>
      <c r="O13" s="42" t="e">
        <f>IF(AND('Mapa final'!#REF!="Muy Alta",'Mapa final'!#REF!="Leve"),CONCATENATE("R8C",'Mapa final'!#REF!),"")</f>
        <v>#REF!</v>
      </c>
      <c r="P13" s="40" t="e">
        <f>IF(AND('Mapa final'!#REF!="Muy Alta",'Mapa final'!#REF!="Menor"),CONCATENATE("R8C",'Mapa final'!#REF!),"")</f>
        <v>#REF!</v>
      </c>
      <c r="Q13" s="41" t="e">
        <f>IF(AND('Mapa final'!#REF!="Muy Alta",'Mapa final'!#REF!="Menor"),CONCATENATE("R8C",'Mapa final'!#REF!),"")</f>
        <v>#REF!</v>
      </c>
      <c r="R13" s="46" t="e">
        <f>IF(AND('Mapa final'!#REF!="Muy Alta",'Mapa final'!#REF!="Menor"),CONCATENATE("R8C",'Mapa final'!#REF!),"")</f>
        <v>#REF!</v>
      </c>
      <c r="S13" s="46" t="e">
        <f>IF(AND('Mapa final'!#REF!="Muy Alta",'Mapa final'!#REF!="Menor"),CONCATENATE("R8C",'Mapa final'!#REF!),"")</f>
        <v>#REF!</v>
      </c>
      <c r="T13" s="46" t="e">
        <f>IF(AND('Mapa final'!#REF!="Muy Alta",'Mapa final'!#REF!="Menor"),CONCATENATE("R8C",'Mapa final'!#REF!),"")</f>
        <v>#REF!</v>
      </c>
      <c r="U13" s="42" t="e">
        <f>IF(AND('Mapa final'!#REF!="Muy Alta",'Mapa final'!#REF!="Menor"),CONCATENATE("R8C",'Mapa final'!#REF!),"")</f>
        <v>#REF!</v>
      </c>
      <c r="V13" s="40" t="e">
        <f>IF(AND('Mapa final'!#REF!="Muy Alta",'Mapa final'!#REF!="Moderado"),CONCATENATE("R8C",'Mapa final'!#REF!),"")</f>
        <v>#REF!</v>
      </c>
      <c r="W13" s="41" t="e">
        <f>IF(AND('Mapa final'!#REF!="Muy Alta",'Mapa final'!#REF!="Moderado"),CONCATENATE("R8C",'Mapa final'!#REF!),"")</f>
        <v>#REF!</v>
      </c>
      <c r="X13" s="46" t="e">
        <f>IF(AND('Mapa final'!#REF!="Muy Alta",'Mapa final'!#REF!="Moderado"),CONCATENATE("R8C",'Mapa final'!#REF!),"")</f>
        <v>#REF!</v>
      </c>
      <c r="Y13" s="46" t="e">
        <f>IF(AND('Mapa final'!#REF!="Muy Alta",'Mapa final'!#REF!="Moderado"),CONCATENATE("R8C",'Mapa final'!#REF!),"")</f>
        <v>#REF!</v>
      </c>
      <c r="Z13" s="46" t="e">
        <f>IF(AND('Mapa final'!#REF!="Muy Alta",'Mapa final'!#REF!="Moderado"),CONCATENATE("R8C",'Mapa final'!#REF!),"")</f>
        <v>#REF!</v>
      </c>
      <c r="AA13" s="42" t="e">
        <f>IF(AND('Mapa final'!#REF!="Muy Alta",'Mapa final'!#REF!="Moderado"),CONCATENATE("R8C",'Mapa final'!#REF!),"")</f>
        <v>#REF!</v>
      </c>
      <c r="AB13" s="40" t="e">
        <f>IF(AND('Mapa final'!#REF!="Muy Alta",'Mapa final'!#REF!="Mayor"),CONCATENATE("R8C",'Mapa final'!#REF!),"")</f>
        <v>#REF!</v>
      </c>
      <c r="AC13" s="41" t="e">
        <f>IF(AND('Mapa final'!#REF!="Muy Alta",'Mapa final'!#REF!="Mayor"),CONCATENATE("R8C",'Mapa final'!#REF!),"")</f>
        <v>#REF!</v>
      </c>
      <c r="AD13" s="46" t="e">
        <f>IF(AND('Mapa final'!#REF!="Muy Alta",'Mapa final'!#REF!="Mayor"),CONCATENATE("R8C",'Mapa final'!#REF!),"")</f>
        <v>#REF!</v>
      </c>
      <c r="AE13" s="46" t="e">
        <f>IF(AND('Mapa final'!#REF!="Muy Alta",'Mapa final'!#REF!="Mayor"),CONCATENATE("R8C",'Mapa final'!#REF!),"")</f>
        <v>#REF!</v>
      </c>
      <c r="AF13" s="46" t="e">
        <f>IF(AND('Mapa final'!#REF!="Muy Alta",'Mapa final'!#REF!="Mayor"),CONCATENATE("R8C",'Mapa final'!#REF!),"")</f>
        <v>#REF!</v>
      </c>
      <c r="AG13" s="42" t="e">
        <f>IF(AND('Mapa final'!#REF!="Muy Alta",'Mapa final'!#REF!="Mayor"),CONCATENATE("R8C",'Mapa final'!#REF!),"")</f>
        <v>#REF!</v>
      </c>
      <c r="AH13" s="43" t="e">
        <f>IF(AND('Mapa final'!#REF!="Muy Alta",'Mapa final'!#REF!="Catastrófico"),CONCATENATE("R8C",'Mapa final'!#REF!),"")</f>
        <v>#REF!</v>
      </c>
      <c r="AI13" s="44" t="e">
        <f>IF(AND('Mapa final'!#REF!="Muy Alta",'Mapa final'!#REF!="Catastrófico"),CONCATENATE("R8C",'Mapa final'!#REF!),"")</f>
        <v>#REF!</v>
      </c>
      <c r="AJ13" s="44" t="e">
        <f>IF(AND('Mapa final'!#REF!="Muy Alta",'Mapa final'!#REF!="Catastrófico"),CONCATENATE("R8C",'Mapa final'!#REF!),"")</f>
        <v>#REF!</v>
      </c>
      <c r="AK13" s="44" t="e">
        <f>IF(AND('Mapa final'!#REF!="Muy Alta",'Mapa final'!#REF!="Catastrófico"),CONCATENATE("R8C",'Mapa final'!#REF!),"")</f>
        <v>#REF!</v>
      </c>
      <c r="AL13" s="44" t="e">
        <f>IF(AND('Mapa final'!#REF!="Muy Alta",'Mapa final'!#REF!="Catastrófico"),CONCATENATE("R8C",'Mapa final'!#REF!),"")</f>
        <v>#REF!</v>
      </c>
      <c r="AM13" s="45" t="e">
        <f>IF(AND('Mapa final'!#REF!="Muy Alta",'Mapa final'!#REF!="Catastrófico"),CONCATENATE("R8C",'Mapa final'!#REF!),"")</f>
        <v>#REF!</v>
      </c>
      <c r="AN13" s="72"/>
      <c r="AO13" s="538"/>
      <c r="AP13" s="539"/>
      <c r="AQ13" s="539"/>
      <c r="AR13" s="539"/>
      <c r="AS13" s="539"/>
      <c r="AT13" s="540"/>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row>
    <row r="14" spans="1:91" ht="15" customHeight="1" x14ac:dyDescent="0.25">
      <c r="A14" s="72"/>
      <c r="B14" s="521"/>
      <c r="C14" s="521"/>
      <c r="D14" s="522"/>
      <c r="E14" s="526"/>
      <c r="F14" s="527"/>
      <c r="G14" s="527"/>
      <c r="H14" s="527"/>
      <c r="I14" s="528"/>
      <c r="J14" s="40" t="e">
        <f>IF(AND('Mapa final'!#REF!="Muy Alta",'Mapa final'!#REF!="Leve"),CONCATENATE("R9C",'Mapa final'!#REF!),"")</f>
        <v>#REF!</v>
      </c>
      <c r="K14" s="41" t="e">
        <f>IF(AND('Mapa final'!#REF!="Muy Alta",'Mapa final'!#REF!="Leve"),CONCATENATE("R9C",'Mapa final'!#REF!),"")</f>
        <v>#REF!</v>
      </c>
      <c r="L14" s="46" t="e">
        <f>IF(AND('Mapa final'!#REF!="Muy Alta",'Mapa final'!#REF!="Leve"),CONCATENATE("R9C",'Mapa final'!#REF!),"")</f>
        <v>#REF!</v>
      </c>
      <c r="M14" s="46" t="e">
        <f>IF(AND('Mapa final'!#REF!="Muy Alta",'Mapa final'!#REF!="Leve"),CONCATENATE("R9C",'Mapa final'!#REF!),"")</f>
        <v>#REF!</v>
      </c>
      <c r="N14" s="46" t="e">
        <f>IF(AND('Mapa final'!#REF!="Muy Alta",'Mapa final'!#REF!="Leve"),CONCATENATE("R9C",'Mapa final'!#REF!),"")</f>
        <v>#REF!</v>
      </c>
      <c r="O14" s="42" t="e">
        <f>IF(AND('Mapa final'!#REF!="Muy Alta",'Mapa final'!#REF!="Leve"),CONCATENATE("R9C",'Mapa final'!#REF!),"")</f>
        <v>#REF!</v>
      </c>
      <c r="P14" s="40" t="e">
        <f>IF(AND('Mapa final'!#REF!="Muy Alta",'Mapa final'!#REF!="Menor"),CONCATENATE("R9C",'Mapa final'!#REF!),"")</f>
        <v>#REF!</v>
      </c>
      <c r="Q14" s="41" t="e">
        <f>IF(AND('Mapa final'!#REF!="Muy Alta",'Mapa final'!#REF!="Menor"),CONCATENATE("R9C",'Mapa final'!#REF!),"")</f>
        <v>#REF!</v>
      </c>
      <c r="R14" s="46" t="e">
        <f>IF(AND('Mapa final'!#REF!="Muy Alta",'Mapa final'!#REF!="Menor"),CONCATENATE("R9C",'Mapa final'!#REF!),"")</f>
        <v>#REF!</v>
      </c>
      <c r="S14" s="46" t="e">
        <f>IF(AND('Mapa final'!#REF!="Muy Alta",'Mapa final'!#REF!="Menor"),CONCATENATE("R9C",'Mapa final'!#REF!),"")</f>
        <v>#REF!</v>
      </c>
      <c r="T14" s="46" t="e">
        <f>IF(AND('Mapa final'!#REF!="Muy Alta",'Mapa final'!#REF!="Menor"),CONCATENATE("R9C",'Mapa final'!#REF!),"")</f>
        <v>#REF!</v>
      </c>
      <c r="U14" s="42" t="e">
        <f>IF(AND('Mapa final'!#REF!="Muy Alta",'Mapa final'!#REF!="Menor"),CONCATENATE("R9C",'Mapa final'!#REF!),"")</f>
        <v>#REF!</v>
      </c>
      <c r="V14" s="40" t="e">
        <f>IF(AND('Mapa final'!#REF!="Muy Alta",'Mapa final'!#REF!="Moderado"),CONCATENATE("R9C",'Mapa final'!#REF!),"")</f>
        <v>#REF!</v>
      </c>
      <c r="W14" s="41" t="e">
        <f>IF(AND('Mapa final'!#REF!="Muy Alta",'Mapa final'!#REF!="Moderado"),CONCATENATE("R9C",'Mapa final'!#REF!),"")</f>
        <v>#REF!</v>
      </c>
      <c r="X14" s="46" t="e">
        <f>IF(AND('Mapa final'!#REF!="Muy Alta",'Mapa final'!#REF!="Moderado"),CONCATENATE("R9C",'Mapa final'!#REF!),"")</f>
        <v>#REF!</v>
      </c>
      <c r="Y14" s="46" t="e">
        <f>IF(AND('Mapa final'!#REF!="Muy Alta",'Mapa final'!#REF!="Moderado"),CONCATENATE("R9C",'Mapa final'!#REF!),"")</f>
        <v>#REF!</v>
      </c>
      <c r="Z14" s="46" t="e">
        <f>IF(AND('Mapa final'!#REF!="Muy Alta",'Mapa final'!#REF!="Moderado"),CONCATENATE("R9C",'Mapa final'!#REF!),"")</f>
        <v>#REF!</v>
      </c>
      <c r="AA14" s="42" t="e">
        <f>IF(AND('Mapa final'!#REF!="Muy Alta",'Mapa final'!#REF!="Moderado"),CONCATENATE("R9C",'Mapa final'!#REF!),"")</f>
        <v>#REF!</v>
      </c>
      <c r="AB14" s="40" t="e">
        <f>IF(AND('Mapa final'!#REF!="Muy Alta",'Mapa final'!#REF!="Mayor"),CONCATENATE("R9C",'Mapa final'!#REF!),"")</f>
        <v>#REF!</v>
      </c>
      <c r="AC14" s="41" t="e">
        <f>IF(AND('Mapa final'!#REF!="Muy Alta",'Mapa final'!#REF!="Mayor"),CONCATENATE("R9C",'Mapa final'!#REF!),"")</f>
        <v>#REF!</v>
      </c>
      <c r="AD14" s="46" t="e">
        <f>IF(AND('Mapa final'!#REF!="Muy Alta",'Mapa final'!#REF!="Mayor"),CONCATENATE("R9C",'Mapa final'!#REF!),"")</f>
        <v>#REF!</v>
      </c>
      <c r="AE14" s="46" t="e">
        <f>IF(AND('Mapa final'!#REF!="Muy Alta",'Mapa final'!#REF!="Mayor"),CONCATENATE("R9C",'Mapa final'!#REF!),"")</f>
        <v>#REF!</v>
      </c>
      <c r="AF14" s="46" t="e">
        <f>IF(AND('Mapa final'!#REF!="Muy Alta",'Mapa final'!#REF!="Mayor"),CONCATENATE("R9C",'Mapa final'!#REF!),"")</f>
        <v>#REF!</v>
      </c>
      <c r="AG14" s="42" t="e">
        <f>IF(AND('Mapa final'!#REF!="Muy Alta",'Mapa final'!#REF!="Mayor"),CONCATENATE("R9C",'Mapa final'!#REF!),"")</f>
        <v>#REF!</v>
      </c>
      <c r="AH14" s="43" t="e">
        <f>IF(AND('Mapa final'!#REF!="Muy Alta",'Mapa final'!#REF!="Catastrófico"),CONCATENATE("R9C",'Mapa final'!#REF!),"")</f>
        <v>#REF!</v>
      </c>
      <c r="AI14" s="44" t="e">
        <f>IF(AND('Mapa final'!#REF!="Muy Alta",'Mapa final'!#REF!="Catastrófico"),CONCATENATE("R9C",'Mapa final'!#REF!),"")</f>
        <v>#REF!</v>
      </c>
      <c r="AJ14" s="44" t="e">
        <f>IF(AND('Mapa final'!#REF!="Muy Alta",'Mapa final'!#REF!="Catastrófico"),CONCATENATE("R9C",'Mapa final'!#REF!),"")</f>
        <v>#REF!</v>
      </c>
      <c r="AK14" s="44" t="e">
        <f>IF(AND('Mapa final'!#REF!="Muy Alta",'Mapa final'!#REF!="Catastrófico"),CONCATENATE("R9C",'Mapa final'!#REF!),"")</f>
        <v>#REF!</v>
      </c>
      <c r="AL14" s="44" t="e">
        <f>IF(AND('Mapa final'!#REF!="Muy Alta",'Mapa final'!#REF!="Catastrófico"),CONCATENATE("R9C",'Mapa final'!#REF!),"")</f>
        <v>#REF!</v>
      </c>
      <c r="AM14" s="45" t="e">
        <f>IF(AND('Mapa final'!#REF!="Muy Alta",'Mapa final'!#REF!="Catastrófico"),CONCATENATE("R9C",'Mapa final'!#REF!),"")</f>
        <v>#REF!</v>
      </c>
      <c r="AN14" s="72"/>
      <c r="AO14" s="538"/>
      <c r="AP14" s="539"/>
      <c r="AQ14" s="539"/>
      <c r="AR14" s="539"/>
      <c r="AS14" s="539"/>
      <c r="AT14" s="540"/>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row>
    <row r="15" spans="1:91" ht="15.75" customHeight="1" thickBot="1" x14ac:dyDescent="0.3">
      <c r="A15" s="72"/>
      <c r="B15" s="521"/>
      <c r="C15" s="521"/>
      <c r="D15" s="522"/>
      <c r="E15" s="529"/>
      <c r="F15" s="530"/>
      <c r="G15" s="530"/>
      <c r="H15" s="530"/>
      <c r="I15" s="531"/>
      <c r="J15" s="47" t="e">
        <f>IF(AND('Mapa final'!#REF!="Muy Alta",'Mapa final'!#REF!="Leve"),CONCATENATE("R10C",'Mapa final'!#REF!),"")</f>
        <v>#REF!</v>
      </c>
      <c r="K15" s="48" t="e">
        <f>IF(AND('Mapa final'!#REF!="Muy Alta",'Mapa final'!#REF!="Leve"),CONCATENATE("R10C",'Mapa final'!#REF!),"")</f>
        <v>#REF!</v>
      </c>
      <c r="L15" s="48" t="e">
        <f>IF(AND('Mapa final'!#REF!="Muy Alta",'Mapa final'!#REF!="Leve"),CONCATENATE("R10C",'Mapa final'!#REF!),"")</f>
        <v>#REF!</v>
      </c>
      <c r="M15" s="48" t="e">
        <f>IF(AND('Mapa final'!#REF!="Muy Alta",'Mapa final'!#REF!="Leve"),CONCATENATE("R10C",'Mapa final'!#REF!),"")</f>
        <v>#REF!</v>
      </c>
      <c r="N15" s="48" t="e">
        <f>IF(AND('Mapa final'!#REF!="Muy Alta",'Mapa final'!#REF!="Leve"),CONCATENATE("R10C",'Mapa final'!#REF!),"")</f>
        <v>#REF!</v>
      </c>
      <c r="O15" s="49" t="e">
        <f>IF(AND('Mapa final'!#REF!="Muy Alta",'Mapa final'!#REF!="Leve"),CONCATENATE("R10C",'Mapa final'!#REF!),"")</f>
        <v>#REF!</v>
      </c>
      <c r="P15" s="40" t="e">
        <f>IF(AND('Mapa final'!#REF!="Muy Alta",'Mapa final'!#REF!="Menor"),CONCATENATE("R10C",'Mapa final'!#REF!),"")</f>
        <v>#REF!</v>
      </c>
      <c r="Q15" s="41" t="e">
        <f>IF(AND('Mapa final'!#REF!="Muy Alta",'Mapa final'!#REF!="Menor"),CONCATENATE("R10C",'Mapa final'!#REF!),"")</f>
        <v>#REF!</v>
      </c>
      <c r="R15" s="41" t="e">
        <f>IF(AND('Mapa final'!#REF!="Muy Alta",'Mapa final'!#REF!="Menor"),CONCATENATE("R10C",'Mapa final'!#REF!),"")</f>
        <v>#REF!</v>
      </c>
      <c r="S15" s="41" t="e">
        <f>IF(AND('Mapa final'!#REF!="Muy Alta",'Mapa final'!#REF!="Menor"),CONCATENATE("R10C",'Mapa final'!#REF!),"")</f>
        <v>#REF!</v>
      </c>
      <c r="T15" s="41" t="e">
        <f>IF(AND('Mapa final'!#REF!="Muy Alta",'Mapa final'!#REF!="Menor"),CONCATENATE("R10C",'Mapa final'!#REF!),"")</f>
        <v>#REF!</v>
      </c>
      <c r="U15" s="42" t="e">
        <f>IF(AND('Mapa final'!#REF!="Muy Alta",'Mapa final'!#REF!="Menor"),CONCATENATE("R10C",'Mapa final'!#REF!),"")</f>
        <v>#REF!</v>
      </c>
      <c r="V15" s="47" t="e">
        <f>IF(AND('Mapa final'!#REF!="Muy Alta",'Mapa final'!#REF!="Moderado"),CONCATENATE("R10C",'Mapa final'!#REF!),"")</f>
        <v>#REF!</v>
      </c>
      <c r="W15" s="48" t="e">
        <f>IF(AND('Mapa final'!#REF!="Muy Alta",'Mapa final'!#REF!="Moderado"),CONCATENATE("R10C",'Mapa final'!#REF!),"")</f>
        <v>#REF!</v>
      </c>
      <c r="X15" s="48" t="e">
        <f>IF(AND('Mapa final'!#REF!="Muy Alta",'Mapa final'!#REF!="Moderado"),CONCATENATE("R10C",'Mapa final'!#REF!),"")</f>
        <v>#REF!</v>
      </c>
      <c r="Y15" s="48" t="e">
        <f>IF(AND('Mapa final'!#REF!="Muy Alta",'Mapa final'!#REF!="Moderado"),CONCATENATE("R10C",'Mapa final'!#REF!),"")</f>
        <v>#REF!</v>
      </c>
      <c r="Z15" s="48" t="e">
        <f>IF(AND('Mapa final'!#REF!="Muy Alta",'Mapa final'!#REF!="Moderado"),CONCATENATE("R10C",'Mapa final'!#REF!),"")</f>
        <v>#REF!</v>
      </c>
      <c r="AA15" s="49" t="e">
        <f>IF(AND('Mapa final'!#REF!="Muy Alta",'Mapa final'!#REF!="Moderado"),CONCATENATE("R10C",'Mapa final'!#REF!),"")</f>
        <v>#REF!</v>
      </c>
      <c r="AB15" s="40" t="e">
        <f>IF(AND('Mapa final'!#REF!="Muy Alta",'Mapa final'!#REF!="Mayor"),CONCATENATE("R10C",'Mapa final'!#REF!),"")</f>
        <v>#REF!</v>
      </c>
      <c r="AC15" s="41" t="e">
        <f>IF(AND('Mapa final'!#REF!="Muy Alta",'Mapa final'!#REF!="Mayor"),CONCATENATE("R10C",'Mapa final'!#REF!),"")</f>
        <v>#REF!</v>
      </c>
      <c r="AD15" s="41" t="e">
        <f>IF(AND('Mapa final'!#REF!="Muy Alta",'Mapa final'!#REF!="Mayor"),CONCATENATE("R10C",'Mapa final'!#REF!),"")</f>
        <v>#REF!</v>
      </c>
      <c r="AE15" s="41" t="e">
        <f>IF(AND('Mapa final'!#REF!="Muy Alta",'Mapa final'!#REF!="Mayor"),CONCATENATE("R10C",'Mapa final'!#REF!),"")</f>
        <v>#REF!</v>
      </c>
      <c r="AF15" s="41" t="e">
        <f>IF(AND('Mapa final'!#REF!="Muy Alta",'Mapa final'!#REF!="Mayor"),CONCATENATE("R10C",'Mapa final'!#REF!),"")</f>
        <v>#REF!</v>
      </c>
      <c r="AG15" s="42" t="e">
        <f>IF(AND('Mapa final'!#REF!="Muy Alta",'Mapa final'!#REF!="Mayor"),CONCATENATE("R10C",'Mapa final'!#REF!),"")</f>
        <v>#REF!</v>
      </c>
      <c r="AH15" s="50" t="e">
        <f>IF(AND('Mapa final'!#REF!="Muy Alta",'Mapa final'!#REF!="Catastrófico"),CONCATENATE("R10C",'Mapa final'!#REF!),"")</f>
        <v>#REF!</v>
      </c>
      <c r="AI15" s="51" t="e">
        <f>IF(AND('Mapa final'!#REF!="Muy Alta",'Mapa final'!#REF!="Catastrófico"),CONCATENATE("R10C",'Mapa final'!#REF!),"")</f>
        <v>#REF!</v>
      </c>
      <c r="AJ15" s="51" t="e">
        <f>IF(AND('Mapa final'!#REF!="Muy Alta",'Mapa final'!#REF!="Catastrófico"),CONCATENATE("R10C",'Mapa final'!#REF!),"")</f>
        <v>#REF!</v>
      </c>
      <c r="AK15" s="51" t="e">
        <f>IF(AND('Mapa final'!#REF!="Muy Alta",'Mapa final'!#REF!="Catastrófico"),CONCATENATE("R10C",'Mapa final'!#REF!),"")</f>
        <v>#REF!</v>
      </c>
      <c r="AL15" s="51" t="e">
        <f>IF(AND('Mapa final'!#REF!="Muy Alta",'Mapa final'!#REF!="Catastrófico"),CONCATENATE("R10C",'Mapa final'!#REF!),"")</f>
        <v>#REF!</v>
      </c>
      <c r="AM15" s="52" t="e">
        <f>IF(AND('Mapa final'!#REF!="Muy Alta",'Mapa final'!#REF!="Catastrófico"),CONCATENATE("R10C",'Mapa final'!#REF!),"")</f>
        <v>#REF!</v>
      </c>
      <c r="AN15" s="72"/>
      <c r="AO15" s="541"/>
      <c r="AP15" s="542"/>
      <c r="AQ15" s="542"/>
      <c r="AR15" s="542"/>
      <c r="AS15" s="542"/>
      <c r="AT15" s="543"/>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row>
    <row r="16" spans="1:91" ht="15" customHeight="1" x14ac:dyDescent="0.25">
      <c r="A16" s="72"/>
      <c r="B16" s="521"/>
      <c r="C16" s="521"/>
      <c r="D16" s="522"/>
      <c r="E16" s="523" t="s">
        <v>113</v>
      </c>
      <c r="F16" s="524"/>
      <c r="G16" s="524"/>
      <c r="H16" s="524"/>
      <c r="I16" s="524"/>
      <c r="J16" s="53" t="str">
        <f>IF(AND('Mapa final'!$AA$13="Alta",'Mapa final'!$AC$13="Leve"),CONCATENATE("R1C",'Mapa final'!$Q$13),"")</f>
        <v/>
      </c>
      <c r="K16" s="54" t="str">
        <f>IF(AND('Mapa final'!$AA$14="Alta",'Mapa final'!$AC$14="Leve"),CONCATENATE("R1C",'Mapa final'!$Q$14),"")</f>
        <v/>
      </c>
      <c r="L16" s="54" t="str">
        <f>IF(AND('Mapa final'!$AA$15="Alta",'Mapa final'!$AC$15="Leve"),CONCATENATE("R1C",'Mapa final'!$Q$15),"")</f>
        <v/>
      </c>
      <c r="M16" s="54" t="str">
        <f>IF(AND('Mapa final'!$AA$16="Alta",'Mapa final'!$AC$16="Leve"),CONCATENATE("R1C",'Mapa final'!$Q$16),"")</f>
        <v/>
      </c>
      <c r="N16" s="54" t="str">
        <f>IF(AND('Mapa final'!$AA$17="Alta",'Mapa final'!$AC$17="Leve"),CONCATENATE("R1C",'Mapa final'!$Q$17),"")</f>
        <v/>
      </c>
      <c r="O16" s="55" t="str">
        <f>IF(AND('Mapa final'!$AA$18="Alta",'Mapa final'!$AC$18="Leve"),CONCATENATE("R1C",'Mapa final'!$Q$18),"")</f>
        <v/>
      </c>
      <c r="P16" s="53" t="str">
        <f>IF(AND('Mapa final'!$AA$13="Alta",'Mapa final'!$AC$13="Menor"),CONCATENATE("R1C",'Mapa final'!$Q$13),"")</f>
        <v/>
      </c>
      <c r="Q16" s="54" t="str">
        <f>IF(AND('Mapa final'!$AA$14="Alta",'Mapa final'!$AC$14="Menor"),CONCATENATE("R1C",'Mapa final'!$Q$14),"")</f>
        <v/>
      </c>
      <c r="R16" s="54" t="str">
        <f>IF(AND('Mapa final'!$AA$15="Alta",'Mapa final'!$AC$15="Menor"),CONCATENATE("R1C",'Mapa final'!$Q$15),"")</f>
        <v/>
      </c>
      <c r="S16" s="54" t="str">
        <f>IF(AND('Mapa final'!$AA$16="Alta",'Mapa final'!$AC$16="Menor"),CONCATENATE("R1C",'Mapa final'!$Q$16),"")</f>
        <v/>
      </c>
      <c r="T16" s="54" t="str">
        <f>IF(AND('Mapa final'!$AA$17="Alta",'Mapa final'!$AC$17="Menor"),CONCATENATE("R1C",'Mapa final'!$Q$17),"")</f>
        <v/>
      </c>
      <c r="U16" s="55" t="str">
        <f>IF(AND('Mapa final'!$AA$18="Alta",'Mapa final'!$AC$18="Menor"),CONCATENATE("R1C",'Mapa final'!$Q$18),"")</f>
        <v/>
      </c>
      <c r="V16" s="34" t="str">
        <f>IF(AND('Mapa final'!$AA$13="Alta",'Mapa final'!$AC$13="Moderado"),CONCATENATE("R1C",'Mapa final'!$Q$13),"")</f>
        <v/>
      </c>
      <c r="W16" s="35" t="str">
        <f>IF(AND('Mapa final'!$AA$14="Alta",'Mapa final'!$AC$14="Moderado"),CONCATENATE("R1C",'Mapa final'!$Q$14),"")</f>
        <v/>
      </c>
      <c r="X16" s="35" t="str">
        <f>IF(AND('Mapa final'!$AA$15="Alta",'Mapa final'!$AC$15="Moderado"),CONCATENATE("R1C",'Mapa final'!$Q$15),"")</f>
        <v/>
      </c>
      <c r="Y16" s="35" t="str">
        <f>IF(AND('Mapa final'!$AA$16="Alta",'Mapa final'!$AC$16="Moderado"),CONCATENATE("R1C",'Mapa final'!$Q$16),"")</f>
        <v/>
      </c>
      <c r="Z16" s="35" t="str">
        <f>IF(AND('Mapa final'!$AA$17="Alta",'Mapa final'!$AC$17="Moderado"),CONCATENATE("R1C",'Mapa final'!$Q$17),"")</f>
        <v/>
      </c>
      <c r="AA16" s="36" t="str">
        <f>IF(AND('Mapa final'!$AA$18="Alta",'Mapa final'!$AC$18="Moderado"),CONCATENATE("R1C",'Mapa final'!$Q$18),"")</f>
        <v/>
      </c>
      <c r="AB16" s="34" t="str">
        <f>IF(AND('Mapa final'!$AA$13="Alta",'Mapa final'!$AC$13="Mayor"),CONCATENATE("R1C",'Mapa final'!$Q$13),"")</f>
        <v/>
      </c>
      <c r="AC16" s="35" t="str">
        <f>IF(AND('Mapa final'!$AA$14="Alta",'Mapa final'!$AC$14="Mayor"),CONCATENATE("R1C",'Mapa final'!$Q$14),"")</f>
        <v/>
      </c>
      <c r="AD16" s="35" t="str">
        <f>IF(AND('Mapa final'!$AA$15="Alta",'Mapa final'!$AC$15="Mayor"),CONCATENATE("R1C",'Mapa final'!$Q$15),"")</f>
        <v/>
      </c>
      <c r="AE16" s="35" t="str">
        <f>IF(AND('Mapa final'!$AA$16="Alta",'Mapa final'!$AC$16="Mayor"),CONCATENATE("R1C",'Mapa final'!$Q$16),"")</f>
        <v/>
      </c>
      <c r="AF16" s="35" t="str">
        <f>IF(AND('Mapa final'!$AA$17="Alta",'Mapa final'!$AC$17="Mayor"),CONCATENATE("R1C",'Mapa final'!$Q$17),"")</f>
        <v/>
      </c>
      <c r="AG16" s="36" t="str">
        <f>IF(AND('Mapa final'!$AA$18="Alta",'Mapa final'!$AC$18="Mayor"),CONCATENATE("R1C",'Mapa final'!$Q$18),"")</f>
        <v/>
      </c>
      <c r="AH16" s="37" t="str">
        <f>IF(AND('Mapa final'!$AA$13="Alta",'Mapa final'!$AC$13="Catastrófico"),CONCATENATE("R1C",'Mapa final'!$Q$13),"")</f>
        <v/>
      </c>
      <c r="AI16" s="38" t="str">
        <f>IF(AND('Mapa final'!$AA$14="Alta",'Mapa final'!$AC$14="Catastrófico"),CONCATENATE("R1C",'Mapa final'!$Q$14),"")</f>
        <v/>
      </c>
      <c r="AJ16" s="38" t="str">
        <f>IF(AND('Mapa final'!$AA$15="Alta",'Mapa final'!$AC$15="Catastrófico"),CONCATENATE("R1C",'Mapa final'!$Q$15),"")</f>
        <v/>
      </c>
      <c r="AK16" s="38" t="str">
        <f>IF(AND('Mapa final'!$AA$16="Alta",'Mapa final'!$AC$16="Catastrófico"),CONCATENATE("R1C",'Mapa final'!$Q$16),"")</f>
        <v/>
      </c>
      <c r="AL16" s="38" t="str">
        <f>IF(AND('Mapa final'!$AA$17="Alta",'Mapa final'!$AC$17="Catastrófico"),CONCATENATE("R1C",'Mapa final'!$Q$17),"")</f>
        <v/>
      </c>
      <c r="AM16" s="39" t="str">
        <f>IF(AND('Mapa final'!$AA$18="Alta",'Mapa final'!$AC$18="Catastrófico"),CONCATENATE("R1C",'Mapa final'!$Q$18),"")</f>
        <v/>
      </c>
      <c r="AN16" s="72"/>
      <c r="AO16" s="555" t="s">
        <v>80</v>
      </c>
      <c r="AP16" s="556"/>
      <c r="AQ16" s="556"/>
      <c r="AR16" s="556"/>
      <c r="AS16" s="556"/>
      <c r="AT16" s="557"/>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row>
    <row r="17" spans="1:76" ht="15" customHeight="1" x14ac:dyDescent="0.25">
      <c r="A17" s="72"/>
      <c r="B17" s="521"/>
      <c r="C17" s="521"/>
      <c r="D17" s="522"/>
      <c r="E17" s="533"/>
      <c r="F17" s="534"/>
      <c r="G17" s="534"/>
      <c r="H17" s="534"/>
      <c r="I17" s="534"/>
      <c r="J17" s="56" t="e">
        <f>IF(AND('Mapa final'!#REF!="Alta",'Mapa final'!#REF!="Leve"),CONCATENATE("R2C",'Mapa final'!#REF!),"")</f>
        <v>#REF!</v>
      </c>
      <c r="K17" s="57" t="e">
        <f>IF(AND('Mapa final'!#REF!="Alta",'Mapa final'!#REF!="Leve"),CONCATENATE("R2C",'Mapa final'!#REF!),"")</f>
        <v>#REF!</v>
      </c>
      <c r="L17" s="57" t="e">
        <f>IF(AND('Mapa final'!#REF!="Alta",'Mapa final'!#REF!="Leve"),CONCATENATE("R2C",'Mapa final'!#REF!),"")</f>
        <v>#REF!</v>
      </c>
      <c r="M17" s="57" t="e">
        <f>IF(AND('Mapa final'!#REF!="Alta",'Mapa final'!#REF!="Leve"),CONCATENATE("R2C",'Mapa final'!#REF!),"")</f>
        <v>#REF!</v>
      </c>
      <c r="N17" s="57" t="e">
        <f>IF(AND('Mapa final'!#REF!="Alta",'Mapa final'!#REF!="Leve"),CONCATENATE("R2C",'Mapa final'!#REF!),"")</f>
        <v>#REF!</v>
      </c>
      <c r="O17" s="58" t="e">
        <f>IF(AND('Mapa final'!#REF!="Alta",'Mapa final'!#REF!="Leve"),CONCATENATE("R2C",'Mapa final'!#REF!),"")</f>
        <v>#REF!</v>
      </c>
      <c r="P17" s="56" t="e">
        <f>IF(AND('Mapa final'!#REF!="Alta",'Mapa final'!#REF!="Menor"),CONCATENATE("R2C",'Mapa final'!#REF!),"")</f>
        <v>#REF!</v>
      </c>
      <c r="Q17" s="57" t="e">
        <f>IF(AND('Mapa final'!#REF!="Alta",'Mapa final'!#REF!="Menor"),CONCATENATE("R2C",'Mapa final'!#REF!),"")</f>
        <v>#REF!</v>
      </c>
      <c r="R17" s="57" t="e">
        <f>IF(AND('Mapa final'!#REF!="Alta",'Mapa final'!#REF!="Menor"),CONCATENATE("R2C",'Mapa final'!#REF!),"")</f>
        <v>#REF!</v>
      </c>
      <c r="S17" s="57" t="e">
        <f>IF(AND('Mapa final'!#REF!="Alta",'Mapa final'!#REF!="Menor"),CONCATENATE("R2C",'Mapa final'!#REF!),"")</f>
        <v>#REF!</v>
      </c>
      <c r="T17" s="57" t="e">
        <f>IF(AND('Mapa final'!#REF!="Alta",'Mapa final'!#REF!="Menor"),CONCATENATE("R2C",'Mapa final'!#REF!),"")</f>
        <v>#REF!</v>
      </c>
      <c r="U17" s="58" t="e">
        <f>IF(AND('Mapa final'!#REF!="Alta",'Mapa final'!#REF!="Menor"),CONCATENATE("R2C",'Mapa final'!#REF!),"")</f>
        <v>#REF!</v>
      </c>
      <c r="V17" s="40" t="e">
        <f>IF(AND('Mapa final'!#REF!="Alta",'Mapa final'!#REF!="Moderado"),CONCATENATE("R2C",'Mapa final'!#REF!),"")</f>
        <v>#REF!</v>
      </c>
      <c r="W17" s="41" t="e">
        <f>IF(AND('Mapa final'!#REF!="Alta",'Mapa final'!#REF!="Moderado"),CONCATENATE("R2C",'Mapa final'!#REF!),"")</f>
        <v>#REF!</v>
      </c>
      <c r="X17" s="41" t="e">
        <f>IF(AND('Mapa final'!#REF!="Alta",'Mapa final'!#REF!="Moderado"),CONCATENATE("R2C",'Mapa final'!#REF!),"")</f>
        <v>#REF!</v>
      </c>
      <c r="Y17" s="41" t="e">
        <f>IF(AND('Mapa final'!#REF!="Alta",'Mapa final'!#REF!="Moderado"),CONCATENATE("R2C",'Mapa final'!#REF!),"")</f>
        <v>#REF!</v>
      </c>
      <c r="Z17" s="41" t="e">
        <f>IF(AND('Mapa final'!#REF!="Alta",'Mapa final'!#REF!="Moderado"),CONCATENATE("R2C",'Mapa final'!#REF!),"")</f>
        <v>#REF!</v>
      </c>
      <c r="AA17" s="42" t="e">
        <f>IF(AND('Mapa final'!#REF!="Alta",'Mapa final'!#REF!="Moderado"),CONCATENATE("R2C",'Mapa final'!#REF!),"")</f>
        <v>#REF!</v>
      </c>
      <c r="AB17" s="40" t="e">
        <f>IF(AND('Mapa final'!#REF!="Alta",'Mapa final'!#REF!="Mayor"),CONCATENATE("R2C",'Mapa final'!#REF!),"")</f>
        <v>#REF!</v>
      </c>
      <c r="AC17" s="41" t="e">
        <f>IF(AND('Mapa final'!#REF!="Alta",'Mapa final'!#REF!="Mayor"),CONCATENATE("R2C",'Mapa final'!#REF!),"")</f>
        <v>#REF!</v>
      </c>
      <c r="AD17" s="41" t="e">
        <f>IF(AND('Mapa final'!#REF!="Alta",'Mapa final'!#REF!="Mayor"),CONCATENATE("R2C",'Mapa final'!#REF!),"")</f>
        <v>#REF!</v>
      </c>
      <c r="AE17" s="41" t="e">
        <f>IF(AND('Mapa final'!#REF!="Alta",'Mapa final'!#REF!="Mayor"),CONCATENATE("R2C",'Mapa final'!#REF!),"")</f>
        <v>#REF!</v>
      </c>
      <c r="AF17" s="41" t="e">
        <f>IF(AND('Mapa final'!#REF!="Alta",'Mapa final'!#REF!="Mayor"),CONCATENATE("R2C",'Mapa final'!#REF!),"")</f>
        <v>#REF!</v>
      </c>
      <c r="AG17" s="42" t="e">
        <f>IF(AND('Mapa final'!#REF!="Alta",'Mapa final'!#REF!="Mayor"),CONCATENATE("R2C",'Mapa final'!#REF!),"")</f>
        <v>#REF!</v>
      </c>
      <c r="AH17" s="43" t="e">
        <f>IF(AND('Mapa final'!#REF!="Alta",'Mapa final'!#REF!="Catastrófico"),CONCATENATE("R2C",'Mapa final'!#REF!),"")</f>
        <v>#REF!</v>
      </c>
      <c r="AI17" s="44" t="e">
        <f>IF(AND('Mapa final'!#REF!="Alta",'Mapa final'!#REF!="Catastrófico"),CONCATENATE("R2C",'Mapa final'!#REF!),"")</f>
        <v>#REF!</v>
      </c>
      <c r="AJ17" s="44" t="e">
        <f>IF(AND('Mapa final'!#REF!="Alta",'Mapa final'!#REF!="Catastrófico"),CONCATENATE("R2C",'Mapa final'!#REF!),"")</f>
        <v>#REF!</v>
      </c>
      <c r="AK17" s="44" t="e">
        <f>IF(AND('Mapa final'!#REF!="Alta",'Mapa final'!#REF!="Catastrófico"),CONCATENATE("R2C",'Mapa final'!#REF!),"")</f>
        <v>#REF!</v>
      </c>
      <c r="AL17" s="44" t="e">
        <f>IF(AND('Mapa final'!#REF!="Alta",'Mapa final'!#REF!="Catastrófico"),CONCATENATE("R2C",'Mapa final'!#REF!),"")</f>
        <v>#REF!</v>
      </c>
      <c r="AM17" s="45" t="e">
        <f>IF(AND('Mapa final'!#REF!="Alta",'Mapa final'!#REF!="Catastrófico"),CONCATENATE("R2C",'Mapa final'!#REF!),"")</f>
        <v>#REF!</v>
      </c>
      <c r="AN17" s="72"/>
      <c r="AO17" s="558"/>
      <c r="AP17" s="559"/>
      <c r="AQ17" s="559"/>
      <c r="AR17" s="559"/>
      <c r="AS17" s="559"/>
      <c r="AT17" s="560"/>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row>
    <row r="18" spans="1:76" ht="15" customHeight="1" x14ac:dyDescent="0.25">
      <c r="A18" s="72"/>
      <c r="B18" s="521"/>
      <c r="C18" s="521"/>
      <c r="D18" s="522"/>
      <c r="E18" s="526"/>
      <c r="F18" s="527"/>
      <c r="G18" s="527"/>
      <c r="H18" s="527"/>
      <c r="I18" s="534"/>
      <c r="J18" s="56" t="e">
        <f>IF(AND('Mapa final'!#REF!="Alta",'Mapa final'!#REF!="Leve"),CONCATENATE("R3C",'Mapa final'!#REF!),"")</f>
        <v>#REF!</v>
      </c>
      <c r="K18" s="57" t="e">
        <f>IF(AND('Mapa final'!#REF!="Alta",'Mapa final'!#REF!="Leve"),CONCATENATE("R3C",'Mapa final'!#REF!),"")</f>
        <v>#REF!</v>
      </c>
      <c r="L18" s="57" t="e">
        <f>IF(AND('Mapa final'!#REF!="Alta",'Mapa final'!#REF!="Leve"),CONCATENATE("R3C",'Mapa final'!#REF!),"")</f>
        <v>#REF!</v>
      </c>
      <c r="M18" s="57" t="e">
        <f>IF(AND('Mapa final'!#REF!="Alta",'Mapa final'!#REF!="Leve"),CONCATENATE("R3C",'Mapa final'!#REF!),"")</f>
        <v>#REF!</v>
      </c>
      <c r="N18" s="57" t="e">
        <f>IF(AND('Mapa final'!#REF!="Alta",'Mapa final'!#REF!="Leve"),CONCATENATE("R3C",'Mapa final'!#REF!),"")</f>
        <v>#REF!</v>
      </c>
      <c r="O18" s="58" t="e">
        <f>IF(AND('Mapa final'!#REF!="Alta",'Mapa final'!#REF!="Leve"),CONCATENATE("R3C",'Mapa final'!#REF!),"")</f>
        <v>#REF!</v>
      </c>
      <c r="P18" s="56" t="e">
        <f>IF(AND('Mapa final'!#REF!="Alta",'Mapa final'!#REF!="Menor"),CONCATENATE("R3C",'Mapa final'!#REF!),"")</f>
        <v>#REF!</v>
      </c>
      <c r="Q18" s="57" t="e">
        <f>IF(AND('Mapa final'!#REF!="Alta",'Mapa final'!#REF!="Menor"),CONCATENATE("R3C",'Mapa final'!#REF!),"")</f>
        <v>#REF!</v>
      </c>
      <c r="R18" s="57" t="e">
        <f>IF(AND('Mapa final'!#REF!="Alta",'Mapa final'!#REF!="Menor"),CONCATENATE("R3C",'Mapa final'!#REF!),"")</f>
        <v>#REF!</v>
      </c>
      <c r="S18" s="57" t="e">
        <f>IF(AND('Mapa final'!#REF!="Alta",'Mapa final'!#REF!="Menor"),CONCATENATE("R3C",'Mapa final'!#REF!),"")</f>
        <v>#REF!</v>
      </c>
      <c r="T18" s="57" t="e">
        <f>IF(AND('Mapa final'!#REF!="Alta",'Mapa final'!#REF!="Menor"),CONCATENATE("R3C",'Mapa final'!#REF!),"")</f>
        <v>#REF!</v>
      </c>
      <c r="U18" s="58" t="e">
        <f>IF(AND('Mapa final'!#REF!="Alta",'Mapa final'!#REF!="Menor"),CONCATENATE("R3C",'Mapa final'!#REF!),"")</f>
        <v>#REF!</v>
      </c>
      <c r="V18" s="40" t="e">
        <f>IF(AND('Mapa final'!#REF!="Alta",'Mapa final'!#REF!="Moderado"),CONCATENATE("R3C",'Mapa final'!#REF!),"")</f>
        <v>#REF!</v>
      </c>
      <c r="W18" s="41" t="e">
        <f>IF(AND('Mapa final'!#REF!="Alta",'Mapa final'!#REF!="Moderado"),CONCATENATE("R3C",'Mapa final'!#REF!),"")</f>
        <v>#REF!</v>
      </c>
      <c r="X18" s="41" t="e">
        <f>IF(AND('Mapa final'!#REF!="Alta",'Mapa final'!#REF!="Moderado"),CONCATENATE("R3C",'Mapa final'!#REF!),"")</f>
        <v>#REF!</v>
      </c>
      <c r="Y18" s="41" t="e">
        <f>IF(AND('Mapa final'!#REF!="Alta",'Mapa final'!#REF!="Moderado"),CONCATENATE("R3C",'Mapa final'!#REF!),"")</f>
        <v>#REF!</v>
      </c>
      <c r="Z18" s="41" t="e">
        <f>IF(AND('Mapa final'!#REF!="Alta",'Mapa final'!#REF!="Moderado"),CONCATENATE("R3C",'Mapa final'!#REF!),"")</f>
        <v>#REF!</v>
      </c>
      <c r="AA18" s="42" t="e">
        <f>IF(AND('Mapa final'!#REF!="Alta",'Mapa final'!#REF!="Moderado"),CONCATENATE("R3C",'Mapa final'!#REF!),"")</f>
        <v>#REF!</v>
      </c>
      <c r="AB18" s="40" t="e">
        <f>IF(AND('Mapa final'!#REF!="Alta",'Mapa final'!#REF!="Mayor"),CONCATENATE("R3C",'Mapa final'!#REF!),"")</f>
        <v>#REF!</v>
      </c>
      <c r="AC18" s="41" t="e">
        <f>IF(AND('Mapa final'!#REF!="Alta",'Mapa final'!#REF!="Mayor"),CONCATENATE("R3C",'Mapa final'!#REF!),"")</f>
        <v>#REF!</v>
      </c>
      <c r="AD18" s="41" t="e">
        <f>IF(AND('Mapa final'!#REF!="Alta",'Mapa final'!#REF!="Mayor"),CONCATENATE("R3C",'Mapa final'!#REF!),"")</f>
        <v>#REF!</v>
      </c>
      <c r="AE18" s="41" t="e">
        <f>IF(AND('Mapa final'!#REF!="Alta",'Mapa final'!#REF!="Mayor"),CONCATENATE("R3C",'Mapa final'!#REF!),"")</f>
        <v>#REF!</v>
      </c>
      <c r="AF18" s="41" t="e">
        <f>IF(AND('Mapa final'!#REF!="Alta",'Mapa final'!#REF!="Mayor"),CONCATENATE("R3C",'Mapa final'!#REF!),"")</f>
        <v>#REF!</v>
      </c>
      <c r="AG18" s="42" t="e">
        <f>IF(AND('Mapa final'!#REF!="Alta",'Mapa final'!#REF!="Mayor"),CONCATENATE("R3C",'Mapa final'!#REF!),"")</f>
        <v>#REF!</v>
      </c>
      <c r="AH18" s="43" t="e">
        <f>IF(AND('Mapa final'!#REF!="Alta",'Mapa final'!#REF!="Catastrófico"),CONCATENATE("R3C",'Mapa final'!#REF!),"")</f>
        <v>#REF!</v>
      </c>
      <c r="AI18" s="44" t="e">
        <f>IF(AND('Mapa final'!#REF!="Alta",'Mapa final'!#REF!="Catastrófico"),CONCATENATE("R3C",'Mapa final'!#REF!),"")</f>
        <v>#REF!</v>
      </c>
      <c r="AJ18" s="44" t="e">
        <f>IF(AND('Mapa final'!#REF!="Alta",'Mapa final'!#REF!="Catastrófico"),CONCATENATE("R3C",'Mapa final'!#REF!),"")</f>
        <v>#REF!</v>
      </c>
      <c r="AK18" s="44" t="e">
        <f>IF(AND('Mapa final'!#REF!="Alta",'Mapa final'!#REF!="Catastrófico"),CONCATENATE("R3C",'Mapa final'!#REF!),"")</f>
        <v>#REF!</v>
      </c>
      <c r="AL18" s="44" t="e">
        <f>IF(AND('Mapa final'!#REF!="Alta",'Mapa final'!#REF!="Catastrófico"),CONCATENATE("R3C",'Mapa final'!#REF!),"")</f>
        <v>#REF!</v>
      </c>
      <c r="AM18" s="45" t="e">
        <f>IF(AND('Mapa final'!#REF!="Alta",'Mapa final'!#REF!="Catastrófico"),CONCATENATE("R3C",'Mapa final'!#REF!),"")</f>
        <v>#REF!</v>
      </c>
      <c r="AN18" s="72"/>
      <c r="AO18" s="558"/>
      <c r="AP18" s="559"/>
      <c r="AQ18" s="559"/>
      <c r="AR18" s="559"/>
      <c r="AS18" s="559"/>
      <c r="AT18" s="560"/>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row>
    <row r="19" spans="1:76" ht="15" customHeight="1" x14ac:dyDescent="0.25">
      <c r="A19" s="72"/>
      <c r="B19" s="521"/>
      <c r="C19" s="521"/>
      <c r="D19" s="522"/>
      <c r="E19" s="526"/>
      <c r="F19" s="527"/>
      <c r="G19" s="527"/>
      <c r="H19" s="527"/>
      <c r="I19" s="534"/>
      <c r="J19" s="56" t="e">
        <f>IF(AND('Mapa final'!#REF!="Alta",'Mapa final'!#REF!="Leve"),CONCATENATE("R4C",'Mapa final'!#REF!),"")</f>
        <v>#REF!</v>
      </c>
      <c r="K19" s="57" t="e">
        <f>IF(AND('Mapa final'!#REF!="Alta",'Mapa final'!#REF!="Leve"),CONCATENATE("R4C",'Mapa final'!#REF!),"")</f>
        <v>#REF!</v>
      </c>
      <c r="L19" s="57" t="e">
        <f>IF(AND('Mapa final'!#REF!="Alta",'Mapa final'!#REF!="Leve"),CONCATENATE("R4C",'Mapa final'!#REF!),"")</f>
        <v>#REF!</v>
      </c>
      <c r="M19" s="57" t="e">
        <f>IF(AND('Mapa final'!#REF!="Alta",'Mapa final'!#REF!="Leve"),CONCATENATE("R4C",'Mapa final'!#REF!),"")</f>
        <v>#REF!</v>
      </c>
      <c r="N19" s="57" t="e">
        <f>IF(AND('Mapa final'!#REF!="Alta",'Mapa final'!#REF!="Leve"),CONCATENATE("R4C",'Mapa final'!#REF!),"")</f>
        <v>#REF!</v>
      </c>
      <c r="O19" s="58" t="e">
        <f>IF(AND('Mapa final'!#REF!="Alta",'Mapa final'!#REF!="Leve"),CONCATENATE("R4C",'Mapa final'!#REF!),"")</f>
        <v>#REF!</v>
      </c>
      <c r="P19" s="56" t="e">
        <f>IF(AND('Mapa final'!#REF!="Alta",'Mapa final'!#REF!="Menor"),CONCATENATE("R4C",'Mapa final'!#REF!),"")</f>
        <v>#REF!</v>
      </c>
      <c r="Q19" s="57" t="e">
        <f>IF(AND('Mapa final'!#REF!="Alta",'Mapa final'!#REF!="Menor"),CONCATENATE("R4C",'Mapa final'!#REF!),"")</f>
        <v>#REF!</v>
      </c>
      <c r="R19" s="57" t="e">
        <f>IF(AND('Mapa final'!#REF!="Alta",'Mapa final'!#REF!="Menor"),CONCATENATE("R4C",'Mapa final'!#REF!),"")</f>
        <v>#REF!</v>
      </c>
      <c r="S19" s="57" t="e">
        <f>IF(AND('Mapa final'!#REF!="Alta",'Mapa final'!#REF!="Menor"),CONCATENATE("R4C",'Mapa final'!#REF!),"")</f>
        <v>#REF!</v>
      </c>
      <c r="T19" s="57" t="e">
        <f>IF(AND('Mapa final'!#REF!="Alta",'Mapa final'!#REF!="Menor"),CONCATENATE("R4C",'Mapa final'!#REF!),"")</f>
        <v>#REF!</v>
      </c>
      <c r="U19" s="58" t="e">
        <f>IF(AND('Mapa final'!#REF!="Alta",'Mapa final'!#REF!="Menor"),CONCATENATE("R4C",'Mapa final'!#REF!),"")</f>
        <v>#REF!</v>
      </c>
      <c r="V19" s="40" t="e">
        <f>IF(AND('Mapa final'!#REF!="Alta",'Mapa final'!#REF!="Moderado"),CONCATENATE("R4C",'Mapa final'!#REF!),"")</f>
        <v>#REF!</v>
      </c>
      <c r="W19" s="41" t="e">
        <f>IF(AND('Mapa final'!#REF!="Alta",'Mapa final'!#REF!="Moderado"),CONCATENATE("R4C",'Mapa final'!#REF!),"")</f>
        <v>#REF!</v>
      </c>
      <c r="X19" s="46" t="e">
        <f>IF(AND('Mapa final'!#REF!="Alta",'Mapa final'!#REF!="Moderado"),CONCATENATE("R4C",'Mapa final'!#REF!),"")</f>
        <v>#REF!</v>
      </c>
      <c r="Y19" s="46" t="e">
        <f>IF(AND('Mapa final'!#REF!="Alta",'Mapa final'!#REF!="Moderado"),CONCATENATE("R4C",'Mapa final'!#REF!),"")</f>
        <v>#REF!</v>
      </c>
      <c r="Z19" s="46" t="e">
        <f>IF(AND('Mapa final'!#REF!="Alta",'Mapa final'!#REF!="Moderado"),CONCATENATE("R4C",'Mapa final'!#REF!),"")</f>
        <v>#REF!</v>
      </c>
      <c r="AA19" s="42" t="e">
        <f>IF(AND('Mapa final'!#REF!="Alta",'Mapa final'!#REF!="Moderado"),CONCATENATE("R4C",'Mapa final'!#REF!),"")</f>
        <v>#REF!</v>
      </c>
      <c r="AB19" s="40" t="e">
        <f>IF(AND('Mapa final'!#REF!="Alta",'Mapa final'!#REF!="Mayor"),CONCATENATE("R4C",'Mapa final'!#REF!),"")</f>
        <v>#REF!</v>
      </c>
      <c r="AC19" s="41" t="e">
        <f>IF(AND('Mapa final'!#REF!="Alta",'Mapa final'!#REF!="Mayor"),CONCATENATE("R4C",'Mapa final'!#REF!),"")</f>
        <v>#REF!</v>
      </c>
      <c r="AD19" s="46" t="e">
        <f>IF(AND('Mapa final'!#REF!="Alta",'Mapa final'!#REF!="Mayor"),CONCATENATE("R4C",'Mapa final'!#REF!),"")</f>
        <v>#REF!</v>
      </c>
      <c r="AE19" s="46" t="e">
        <f>IF(AND('Mapa final'!#REF!="Alta",'Mapa final'!#REF!="Mayor"),CONCATENATE("R4C",'Mapa final'!#REF!),"")</f>
        <v>#REF!</v>
      </c>
      <c r="AF19" s="46" t="e">
        <f>IF(AND('Mapa final'!#REF!="Alta",'Mapa final'!#REF!="Mayor"),CONCATENATE("R4C",'Mapa final'!#REF!),"")</f>
        <v>#REF!</v>
      </c>
      <c r="AG19" s="42" t="e">
        <f>IF(AND('Mapa final'!#REF!="Alta",'Mapa final'!#REF!="Mayor"),CONCATENATE("R4C",'Mapa final'!#REF!),"")</f>
        <v>#REF!</v>
      </c>
      <c r="AH19" s="43" t="e">
        <f>IF(AND('Mapa final'!#REF!="Alta",'Mapa final'!#REF!="Catastrófico"),CONCATENATE("R4C",'Mapa final'!#REF!),"")</f>
        <v>#REF!</v>
      </c>
      <c r="AI19" s="44" t="e">
        <f>IF(AND('Mapa final'!#REF!="Alta",'Mapa final'!#REF!="Catastrófico"),CONCATENATE("R4C",'Mapa final'!#REF!),"")</f>
        <v>#REF!</v>
      </c>
      <c r="AJ19" s="44" t="e">
        <f>IF(AND('Mapa final'!#REF!="Alta",'Mapa final'!#REF!="Catastrófico"),CONCATENATE("R4C",'Mapa final'!#REF!),"")</f>
        <v>#REF!</v>
      </c>
      <c r="AK19" s="44" t="e">
        <f>IF(AND('Mapa final'!#REF!="Alta",'Mapa final'!#REF!="Catastrófico"),CONCATENATE("R4C",'Mapa final'!#REF!),"")</f>
        <v>#REF!</v>
      </c>
      <c r="AL19" s="44" t="e">
        <f>IF(AND('Mapa final'!#REF!="Alta",'Mapa final'!#REF!="Catastrófico"),CONCATENATE("R4C",'Mapa final'!#REF!),"")</f>
        <v>#REF!</v>
      </c>
      <c r="AM19" s="45" t="e">
        <f>IF(AND('Mapa final'!#REF!="Alta",'Mapa final'!#REF!="Catastrófico"),CONCATENATE("R4C",'Mapa final'!#REF!),"")</f>
        <v>#REF!</v>
      </c>
      <c r="AN19" s="72"/>
      <c r="AO19" s="558"/>
      <c r="AP19" s="559"/>
      <c r="AQ19" s="559"/>
      <c r="AR19" s="559"/>
      <c r="AS19" s="559"/>
      <c r="AT19" s="560"/>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row>
    <row r="20" spans="1:76" ht="15" customHeight="1" x14ac:dyDescent="0.25">
      <c r="A20" s="72"/>
      <c r="B20" s="521"/>
      <c r="C20" s="521"/>
      <c r="D20" s="522"/>
      <c r="E20" s="526"/>
      <c r="F20" s="527"/>
      <c r="G20" s="527"/>
      <c r="H20" s="527"/>
      <c r="I20" s="534"/>
      <c r="J20" s="56" t="e">
        <f>IF(AND('Mapa final'!#REF!="Alta",'Mapa final'!#REF!="Leve"),CONCATENATE("R5C",'Mapa final'!#REF!),"")</f>
        <v>#REF!</v>
      </c>
      <c r="K20" s="57" t="e">
        <f>IF(AND('Mapa final'!#REF!="Alta",'Mapa final'!#REF!="Leve"),CONCATENATE("R5C",'Mapa final'!#REF!),"")</f>
        <v>#REF!</v>
      </c>
      <c r="L20" s="57" t="e">
        <f>IF(AND('Mapa final'!#REF!="Alta",'Mapa final'!#REF!="Leve"),CONCATENATE("R5C",'Mapa final'!#REF!),"")</f>
        <v>#REF!</v>
      </c>
      <c r="M20" s="57" t="e">
        <f>IF(AND('Mapa final'!#REF!="Alta",'Mapa final'!#REF!="Leve"),CONCATENATE("R5C",'Mapa final'!#REF!),"")</f>
        <v>#REF!</v>
      </c>
      <c r="N20" s="57" t="e">
        <f>IF(AND('Mapa final'!#REF!="Alta",'Mapa final'!#REF!="Leve"),CONCATENATE("R5C",'Mapa final'!#REF!),"")</f>
        <v>#REF!</v>
      </c>
      <c r="O20" s="58" t="e">
        <f>IF(AND('Mapa final'!#REF!="Alta",'Mapa final'!#REF!="Leve"),CONCATENATE("R5C",'Mapa final'!#REF!),"")</f>
        <v>#REF!</v>
      </c>
      <c r="P20" s="56" t="e">
        <f>IF(AND('Mapa final'!#REF!="Alta",'Mapa final'!#REF!="Menor"),CONCATENATE("R5C",'Mapa final'!#REF!),"")</f>
        <v>#REF!</v>
      </c>
      <c r="Q20" s="57" t="e">
        <f>IF(AND('Mapa final'!#REF!="Alta",'Mapa final'!#REF!="Menor"),CONCATENATE("R5C",'Mapa final'!#REF!),"")</f>
        <v>#REF!</v>
      </c>
      <c r="R20" s="57" t="e">
        <f>IF(AND('Mapa final'!#REF!="Alta",'Mapa final'!#REF!="Menor"),CONCATENATE("R5C",'Mapa final'!#REF!),"")</f>
        <v>#REF!</v>
      </c>
      <c r="S20" s="57" t="e">
        <f>IF(AND('Mapa final'!#REF!="Alta",'Mapa final'!#REF!="Menor"),CONCATENATE("R5C",'Mapa final'!#REF!),"")</f>
        <v>#REF!</v>
      </c>
      <c r="T20" s="57" t="e">
        <f>IF(AND('Mapa final'!#REF!="Alta",'Mapa final'!#REF!="Menor"),CONCATENATE("R5C",'Mapa final'!#REF!),"")</f>
        <v>#REF!</v>
      </c>
      <c r="U20" s="58" t="e">
        <f>IF(AND('Mapa final'!#REF!="Alta",'Mapa final'!#REF!="Menor"),CONCATENATE("R5C",'Mapa final'!#REF!),"")</f>
        <v>#REF!</v>
      </c>
      <c r="V20" s="40" t="e">
        <f>IF(AND('Mapa final'!#REF!="Alta",'Mapa final'!#REF!="Moderado"),CONCATENATE("R5C",'Mapa final'!#REF!),"")</f>
        <v>#REF!</v>
      </c>
      <c r="W20" s="41" t="e">
        <f>IF(AND('Mapa final'!#REF!="Alta",'Mapa final'!#REF!="Moderado"),CONCATENATE("R5C",'Mapa final'!#REF!),"")</f>
        <v>#REF!</v>
      </c>
      <c r="X20" s="46" t="e">
        <f>IF(AND('Mapa final'!#REF!="Alta",'Mapa final'!#REF!="Moderado"),CONCATENATE("R5C",'Mapa final'!#REF!),"")</f>
        <v>#REF!</v>
      </c>
      <c r="Y20" s="46" t="e">
        <f>IF(AND('Mapa final'!#REF!="Alta",'Mapa final'!#REF!="Moderado"),CONCATENATE("R5C",'Mapa final'!#REF!),"")</f>
        <v>#REF!</v>
      </c>
      <c r="Z20" s="46" t="e">
        <f>IF(AND('Mapa final'!#REF!="Alta",'Mapa final'!#REF!="Moderado"),CONCATENATE("R5C",'Mapa final'!#REF!),"")</f>
        <v>#REF!</v>
      </c>
      <c r="AA20" s="42" t="e">
        <f>IF(AND('Mapa final'!#REF!="Alta",'Mapa final'!#REF!="Moderado"),CONCATENATE("R5C",'Mapa final'!#REF!),"")</f>
        <v>#REF!</v>
      </c>
      <c r="AB20" s="40" t="e">
        <f>IF(AND('Mapa final'!#REF!="Alta",'Mapa final'!#REF!="Mayor"),CONCATENATE("R5C",'Mapa final'!#REF!),"")</f>
        <v>#REF!</v>
      </c>
      <c r="AC20" s="41" t="e">
        <f>IF(AND('Mapa final'!#REF!="Alta",'Mapa final'!#REF!="Mayor"),CONCATENATE("R5C",'Mapa final'!#REF!),"")</f>
        <v>#REF!</v>
      </c>
      <c r="AD20" s="46" t="e">
        <f>IF(AND('Mapa final'!#REF!="Alta",'Mapa final'!#REF!="Mayor"),CONCATENATE("R5C",'Mapa final'!#REF!),"")</f>
        <v>#REF!</v>
      </c>
      <c r="AE20" s="46" t="e">
        <f>IF(AND('Mapa final'!#REF!="Alta",'Mapa final'!#REF!="Mayor"),CONCATENATE("R5C",'Mapa final'!#REF!),"")</f>
        <v>#REF!</v>
      </c>
      <c r="AF20" s="46" t="e">
        <f>IF(AND('Mapa final'!#REF!="Alta",'Mapa final'!#REF!="Mayor"),CONCATENATE("R5C",'Mapa final'!#REF!),"")</f>
        <v>#REF!</v>
      </c>
      <c r="AG20" s="42" t="e">
        <f>IF(AND('Mapa final'!#REF!="Alta",'Mapa final'!#REF!="Mayor"),CONCATENATE("R5C",'Mapa final'!#REF!),"")</f>
        <v>#REF!</v>
      </c>
      <c r="AH20" s="43" t="e">
        <f>IF(AND('Mapa final'!#REF!="Alta",'Mapa final'!#REF!="Catastrófico"),CONCATENATE("R5C",'Mapa final'!#REF!),"")</f>
        <v>#REF!</v>
      </c>
      <c r="AI20" s="44" t="e">
        <f>IF(AND('Mapa final'!#REF!="Alta",'Mapa final'!#REF!="Catastrófico"),CONCATENATE("R5C",'Mapa final'!#REF!),"")</f>
        <v>#REF!</v>
      </c>
      <c r="AJ20" s="44" t="e">
        <f>IF(AND('Mapa final'!#REF!="Alta",'Mapa final'!#REF!="Catastrófico"),CONCATENATE("R5C",'Mapa final'!#REF!),"")</f>
        <v>#REF!</v>
      </c>
      <c r="AK20" s="44" t="e">
        <f>IF(AND('Mapa final'!#REF!="Alta",'Mapa final'!#REF!="Catastrófico"),CONCATENATE("R5C",'Mapa final'!#REF!),"")</f>
        <v>#REF!</v>
      </c>
      <c r="AL20" s="44" t="e">
        <f>IF(AND('Mapa final'!#REF!="Alta",'Mapa final'!#REF!="Catastrófico"),CONCATENATE("R5C",'Mapa final'!#REF!),"")</f>
        <v>#REF!</v>
      </c>
      <c r="AM20" s="45" t="e">
        <f>IF(AND('Mapa final'!#REF!="Alta",'Mapa final'!#REF!="Catastrófico"),CONCATENATE("R5C",'Mapa final'!#REF!),"")</f>
        <v>#REF!</v>
      </c>
      <c r="AN20" s="72"/>
      <c r="AO20" s="558"/>
      <c r="AP20" s="559"/>
      <c r="AQ20" s="559"/>
      <c r="AR20" s="559"/>
      <c r="AS20" s="559"/>
      <c r="AT20" s="560"/>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row>
    <row r="21" spans="1:76" ht="15" customHeight="1" x14ac:dyDescent="0.25">
      <c r="A21" s="72"/>
      <c r="B21" s="521"/>
      <c r="C21" s="521"/>
      <c r="D21" s="522"/>
      <c r="E21" s="526"/>
      <c r="F21" s="527"/>
      <c r="G21" s="527"/>
      <c r="H21" s="527"/>
      <c r="I21" s="534"/>
      <c r="J21" s="56" t="e">
        <f>IF(AND('Mapa final'!#REF!="Alta",'Mapa final'!#REF!="Leve"),CONCATENATE("R6C",'Mapa final'!#REF!),"")</f>
        <v>#REF!</v>
      </c>
      <c r="K21" s="57" t="e">
        <f>IF(AND('Mapa final'!#REF!="Alta",'Mapa final'!#REF!="Leve"),CONCATENATE("R6C",'Mapa final'!#REF!),"")</f>
        <v>#REF!</v>
      </c>
      <c r="L21" s="57" t="e">
        <f>IF(AND('Mapa final'!#REF!="Alta",'Mapa final'!#REF!="Leve"),CONCATENATE("R6C",'Mapa final'!#REF!),"")</f>
        <v>#REF!</v>
      </c>
      <c r="M21" s="57" t="e">
        <f>IF(AND('Mapa final'!#REF!="Alta",'Mapa final'!#REF!="Leve"),CONCATENATE("R6C",'Mapa final'!#REF!),"")</f>
        <v>#REF!</v>
      </c>
      <c r="N21" s="57" t="e">
        <f>IF(AND('Mapa final'!#REF!="Alta",'Mapa final'!#REF!="Leve"),CONCATENATE("R6C",'Mapa final'!#REF!),"")</f>
        <v>#REF!</v>
      </c>
      <c r="O21" s="58" t="e">
        <f>IF(AND('Mapa final'!#REF!="Alta",'Mapa final'!#REF!="Leve"),CONCATENATE("R6C",'Mapa final'!#REF!),"")</f>
        <v>#REF!</v>
      </c>
      <c r="P21" s="56" t="e">
        <f>IF(AND('Mapa final'!#REF!="Alta",'Mapa final'!#REF!="Menor"),CONCATENATE("R6C",'Mapa final'!#REF!),"")</f>
        <v>#REF!</v>
      </c>
      <c r="Q21" s="57" t="e">
        <f>IF(AND('Mapa final'!#REF!="Alta",'Mapa final'!#REF!="Menor"),CONCATENATE("R6C",'Mapa final'!#REF!),"")</f>
        <v>#REF!</v>
      </c>
      <c r="R21" s="57" t="e">
        <f>IF(AND('Mapa final'!#REF!="Alta",'Mapa final'!#REF!="Menor"),CONCATENATE("R6C",'Mapa final'!#REF!),"")</f>
        <v>#REF!</v>
      </c>
      <c r="S21" s="57" t="e">
        <f>IF(AND('Mapa final'!#REF!="Alta",'Mapa final'!#REF!="Menor"),CONCATENATE("R6C",'Mapa final'!#REF!),"")</f>
        <v>#REF!</v>
      </c>
      <c r="T21" s="57" t="e">
        <f>IF(AND('Mapa final'!#REF!="Alta",'Mapa final'!#REF!="Menor"),CONCATENATE("R6C",'Mapa final'!#REF!),"")</f>
        <v>#REF!</v>
      </c>
      <c r="U21" s="58" t="e">
        <f>IF(AND('Mapa final'!#REF!="Alta",'Mapa final'!#REF!="Menor"),CONCATENATE("R6C",'Mapa final'!#REF!),"")</f>
        <v>#REF!</v>
      </c>
      <c r="V21" s="40" t="e">
        <f>IF(AND('Mapa final'!#REF!="Alta",'Mapa final'!#REF!="Moderado"),CONCATENATE("R6C",'Mapa final'!#REF!),"")</f>
        <v>#REF!</v>
      </c>
      <c r="W21" s="41" t="e">
        <f>IF(AND('Mapa final'!#REF!="Alta",'Mapa final'!#REF!="Moderado"),CONCATENATE("R6C",'Mapa final'!#REF!),"")</f>
        <v>#REF!</v>
      </c>
      <c r="X21" s="46" t="e">
        <f>IF(AND('Mapa final'!#REF!="Alta",'Mapa final'!#REF!="Moderado"),CONCATENATE("R6C",'Mapa final'!#REF!),"")</f>
        <v>#REF!</v>
      </c>
      <c r="Y21" s="46" t="e">
        <f>IF(AND('Mapa final'!#REF!="Alta",'Mapa final'!#REF!="Moderado"),CONCATENATE("R6C",'Mapa final'!#REF!),"")</f>
        <v>#REF!</v>
      </c>
      <c r="Z21" s="46" t="e">
        <f>IF(AND('Mapa final'!#REF!="Alta",'Mapa final'!#REF!="Moderado"),CONCATENATE("R6C",'Mapa final'!#REF!),"")</f>
        <v>#REF!</v>
      </c>
      <c r="AA21" s="42" t="e">
        <f>IF(AND('Mapa final'!#REF!="Alta",'Mapa final'!#REF!="Moderado"),CONCATENATE("R6C",'Mapa final'!#REF!),"")</f>
        <v>#REF!</v>
      </c>
      <c r="AB21" s="40" t="e">
        <f>IF(AND('Mapa final'!#REF!="Alta",'Mapa final'!#REF!="Mayor"),CONCATENATE("R6C",'Mapa final'!#REF!),"")</f>
        <v>#REF!</v>
      </c>
      <c r="AC21" s="41" t="e">
        <f>IF(AND('Mapa final'!#REF!="Alta",'Mapa final'!#REF!="Mayor"),CONCATENATE("R6C",'Mapa final'!#REF!),"")</f>
        <v>#REF!</v>
      </c>
      <c r="AD21" s="46" t="e">
        <f>IF(AND('Mapa final'!#REF!="Alta",'Mapa final'!#REF!="Mayor"),CONCATENATE("R6C",'Mapa final'!#REF!),"")</f>
        <v>#REF!</v>
      </c>
      <c r="AE21" s="46" t="e">
        <f>IF(AND('Mapa final'!#REF!="Alta",'Mapa final'!#REF!="Mayor"),CONCATENATE("R6C",'Mapa final'!#REF!),"")</f>
        <v>#REF!</v>
      </c>
      <c r="AF21" s="46" t="e">
        <f>IF(AND('Mapa final'!#REF!="Alta",'Mapa final'!#REF!="Mayor"),CONCATENATE("R6C",'Mapa final'!#REF!),"")</f>
        <v>#REF!</v>
      </c>
      <c r="AG21" s="42" t="e">
        <f>IF(AND('Mapa final'!#REF!="Alta",'Mapa final'!#REF!="Mayor"),CONCATENATE("R6C",'Mapa final'!#REF!),"")</f>
        <v>#REF!</v>
      </c>
      <c r="AH21" s="43" t="e">
        <f>IF(AND('Mapa final'!#REF!="Alta",'Mapa final'!#REF!="Catastrófico"),CONCATENATE("R6C",'Mapa final'!#REF!),"")</f>
        <v>#REF!</v>
      </c>
      <c r="AI21" s="44" t="e">
        <f>IF(AND('Mapa final'!#REF!="Alta",'Mapa final'!#REF!="Catastrófico"),CONCATENATE("R6C",'Mapa final'!#REF!),"")</f>
        <v>#REF!</v>
      </c>
      <c r="AJ21" s="44" t="e">
        <f>IF(AND('Mapa final'!#REF!="Alta",'Mapa final'!#REF!="Catastrófico"),CONCATENATE("R6C",'Mapa final'!#REF!),"")</f>
        <v>#REF!</v>
      </c>
      <c r="AK21" s="44" t="e">
        <f>IF(AND('Mapa final'!#REF!="Alta",'Mapa final'!#REF!="Catastrófico"),CONCATENATE("R6C",'Mapa final'!#REF!),"")</f>
        <v>#REF!</v>
      </c>
      <c r="AL21" s="44" t="e">
        <f>IF(AND('Mapa final'!#REF!="Alta",'Mapa final'!#REF!="Catastrófico"),CONCATENATE("R6C",'Mapa final'!#REF!),"")</f>
        <v>#REF!</v>
      </c>
      <c r="AM21" s="45" t="e">
        <f>IF(AND('Mapa final'!#REF!="Alta",'Mapa final'!#REF!="Catastrófico"),CONCATENATE("R6C",'Mapa final'!#REF!),"")</f>
        <v>#REF!</v>
      </c>
      <c r="AN21" s="72"/>
      <c r="AO21" s="558"/>
      <c r="AP21" s="559"/>
      <c r="AQ21" s="559"/>
      <c r="AR21" s="559"/>
      <c r="AS21" s="559"/>
      <c r="AT21" s="560"/>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row>
    <row r="22" spans="1:76" ht="15" customHeight="1" x14ac:dyDescent="0.25">
      <c r="A22" s="72"/>
      <c r="B22" s="521"/>
      <c r="C22" s="521"/>
      <c r="D22" s="522"/>
      <c r="E22" s="526"/>
      <c r="F22" s="527"/>
      <c r="G22" s="527"/>
      <c r="H22" s="527"/>
      <c r="I22" s="534"/>
      <c r="J22" s="56" t="e">
        <f>IF(AND('Mapa final'!#REF!="Alta",'Mapa final'!#REF!="Leve"),CONCATENATE("R7C",'Mapa final'!#REF!),"")</f>
        <v>#REF!</v>
      </c>
      <c r="K22" s="57" t="e">
        <f>IF(AND('Mapa final'!#REF!="Alta",'Mapa final'!#REF!="Leve"),CONCATENATE("R7C",'Mapa final'!#REF!),"")</f>
        <v>#REF!</v>
      </c>
      <c r="L22" s="57" t="e">
        <f>IF(AND('Mapa final'!#REF!="Alta",'Mapa final'!#REF!="Leve"),CONCATENATE("R7C",'Mapa final'!#REF!),"")</f>
        <v>#REF!</v>
      </c>
      <c r="M22" s="57" t="e">
        <f>IF(AND('Mapa final'!#REF!="Alta",'Mapa final'!#REF!="Leve"),CONCATENATE("R7C",'Mapa final'!#REF!),"")</f>
        <v>#REF!</v>
      </c>
      <c r="N22" s="57" t="e">
        <f>IF(AND('Mapa final'!#REF!="Alta",'Mapa final'!#REF!="Leve"),CONCATENATE("R7C",'Mapa final'!#REF!),"")</f>
        <v>#REF!</v>
      </c>
      <c r="O22" s="58" t="e">
        <f>IF(AND('Mapa final'!#REF!="Alta",'Mapa final'!#REF!="Leve"),CONCATENATE("R7C",'Mapa final'!#REF!),"")</f>
        <v>#REF!</v>
      </c>
      <c r="P22" s="56" t="e">
        <f>IF(AND('Mapa final'!#REF!="Alta",'Mapa final'!#REF!="Menor"),CONCATENATE("R7C",'Mapa final'!#REF!),"")</f>
        <v>#REF!</v>
      </c>
      <c r="Q22" s="57" t="e">
        <f>IF(AND('Mapa final'!#REF!="Alta",'Mapa final'!#REF!="Menor"),CONCATENATE("R7C",'Mapa final'!#REF!),"")</f>
        <v>#REF!</v>
      </c>
      <c r="R22" s="57" t="e">
        <f>IF(AND('Mapa final'!#REF!="Alta",'Mapa final'!#REF!="Menor"),CONCATENATE("R7C",'Mapa final'!#REF!),"")</f>
        <v>#REF!</v>
      </c>
      <c r="S22" s="57" t="e">
        <f>IF(AND('Mapa final'!#REF!="Alta",'Mapa final'!#REF!="Menor"),CONCATENATE("R7C",'Mapa final'!#REF!),"")</f>
        <v>#REF!</v>
      </c>
      <c r="T22" s="57" t="e">
        <f>IF(AND('Mapa final'!#REF!="Alta",'Mapa final'!#REF!="Menor"),CONCATENATE("R7C",'Mapa final'!#REF!),"")</f>
        <v>#REF!</v>
      </c>
      <c r="U22" s="58" t="e">
        <f>IF(AND('Mapa final'!#REF!="Alta",'Mapa final'!#REF!="Menor"),CONCATENATE("R7C",'Mapa final'!#REF!),"")</f>
        <v>#REF!</v>
      </c>
      <c r="V22" s="40" t="e">
        <f>IF(AND('Mapa final'!#REF!="Alta",'Mapa final'!#REF!="Moderado"),CONCATENATE("R7C",'Mapa final'!#REF!),"")</f>
        <v>#REF!</v>
      </c>
      <c r="W22" s="41" t="e">
        <f>IF(AND('Mapa final'!#REF!="Alta",'Mapa final'!#REF!="Moderado"),CONCATENATE("R7C",'Mapa final'!#REF!),"")</f>
        <v>#REF!</v>
      </c>
      <c r="X22" s="46" t="e">
        <f>IF(AND('Mapa final'!#REF!="Alta",'Mapa final'!#REF!="Moderado"),CONCATENATE("R7C",'Mapa final'!#REF!),"")</f>
        <v>#REF!</v>
      </c>
      <c r="Y22" s="46" t="e">
        <f>IF(AND('Mapa final'!#REF!="Alta",'Mapa final'!#REF!="Moderado"),CONCATENATE("R7C",'Mapa final'!#REF!),"")</f>
        <v>#REF!</v>
      </c>
      <c r="Z22" s="46" t="e">
        <f>IF(AND('Mapa final'!#REF!="Alta",'Mapa final'!#REF!="Moderado"),CONCATENATE("R7C",'Mapa final'!#REF!),"")</f>
        <v>#REF!</v>
      </c>
      <c r="AA22" s="42" t="e">
        <f>IF(AND('Mapa final'!#REF!="Alta",'Mapa final'!#REF!="Moderado"),CONCATENATE("R7C",'Mapa final'!#REF!),"")</f>
        <v>#REF!</v>
      </c>
      <c r="AB22" s="40" t="e">
        <f>IF(AND('Mapa final'!#REF!="Alta",'Mapa final'!#REF!="Mayor"),CONCATENATE("R7C",'Mapa final'!#REF!),"")</f>
        <v>#REF!</v>
      </c>
      <c r="AC22" s="41" t="e">
        <f>IF(AND('Mapa final'!#REF!="Alta",'Mapa final'!#REF!="Mayor"),CONCATENATE("R7C",'Mapa final'!#REF!),"")</f>
        <v>#REF!</v>
      </c>
      <c r="AD22" s="46" t="e">
        <f>IF(AND('Mapa final'!#REF!="Alta",'Mapa final'!#REF!="Mayor"),CONCATENATE("R7C",'Mapa final'!#REF!),"")</f>
        <v>#REF!</v>
      </c>
      <c r="AE22" s="46" t="e">
        <f>IF(AND('Mapa final'!#REF!="Alta",'Mapa final'!#REF!="Mayor"),CONCATENATE("R7C",'Mapa final'!#REF!),"")</f>
        <v>#REF!</v>
      </c>
      <c r="AF22" s="46" t="e">
        <f>IF(AND('Mapa final'!#REF!="Alta",'Mapa final'!#REF!="Mayor"),CONCATENATE("R7C",'Mapa final'!#REF!),"")</f>
        <v>#REF!</v>
      </c>
      <c r="AG22" s="42" t="e">
        <f>IF(AND('Mapa final'!#REF!="Alta",'Mapa final'!#REF!="Mayor"),CONCATENATE("R7C",'Mapa final'!#REF!),"")</f>
        <v>#REF!</v>
      </c>
      <c r="AH22" s="43" t="e">
        <f>IF(AND('Mapa final'!#REF!="Alta",'Mapa final'!#REF!="Catastrófico"),CONCATENATE("R7C",'Mapa final'!#REF!),"")</f>
        <v>#REF!</v>
      </c>
      <c r="AI22" s="44" t="e">
        <f>IF(AND('Mapa final'!#REF!="Alta",'Mapa final'!#REF!="Catastrófico"),CONCATENATE("R7C",'Mapa final'!#REF!),"")</f>
        <v>#REF!</v>
      </c>
      <c r="AJ22" s="44" t="e">
        <f>IF(AND('Mapa final'!#REF!="Alta",'Mapa final'!#REF!="Catastrófico"),CONCATENATE("R7C",'Mapa final'!#REF!),"")</f>
        <v>#REF!</v>
      </c>
      <c r="AK22" s="44" t="e">
        <f>IF(AND('Mapa final'!#REF!="Alta",'Mapa final'!#REF!="Catastrófico"),CONCATENATE("R7C",'Mapa final'!#REF!),"")</f>
        <v>#REF!</v>
      </c>
      <c r="AL22" s="44" t="e">
        <f>IF(AND('Mapa final'!#REF!="Alta",'Mapa final'!#REF!="Catastrófico"),CONCATENATE("R7C",'Mapa final'!#REF!),"")</f>
        <v>#REF!</v>
      </c>
      <c r="AM22" s="45" t="e">
        <f>IF(AND('Mapa final'!#REF!="Alta",'Mapa final'!#REF!="Catastrófico"),CONCATENATE("R7C",'Mapa final'!#REF!),"")</f>
        <v>#REF!</v>
      </c>
      <c r="AN22" s="72"/>
      <c r="AO22" s="558"/>
      <c r="AP22" s="559"/>
      <c r="AQ22" s="559"/>
      <c r="AR22" s="559"/>
      <c r="AS22" s="559"/>
      <c r="AT22" s="560"/>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row>
    <row r="23" spans="1:76" ht="15" customHeight="1" x14ac:dyDescent="0.25">
      <c r="A23" s="72"/>
      <c r="B23" s="521"/>
      <c r="C23" s="521"/>
      <c r="D23" s="522"/>
      <c r="E23" s="526"/>
      <c r="F23" s="527"/>
      <c r="G23" s="527"/>
      <c r="H23" s="527"/>
      <c r="I23" s="534"/>
      <c r="J23" s="56" t="e">
        <f>IF(AND('Mapa final'!#REF!="Alta",'Mapa final'!#REF!="Leve"),CONCATENATE("R8C",'Mapa final'!#REF!),"")</f>
        <v>#REF!</v>
      </c>
      <c r="K23" s="57" t="e">
        <f>IF(AND('Mapa final'!#REF!="Alta",'Mapa final'!#REF!="Leve"),CONCATENATE("R8C",'Mapa final'!#REF!),"")</f>
        <v>#REF!</v>
      </c>
      <c r="L23" s="57" t="e">
        <f>IF(AND('Mapa final'!#REF!="Alta",'Mapa final'!#REF!="Leve"),CONCATENATE("R8C",'Mapa final'!#REF!),"")</f>
        <v>#REF!</v>
      </c>
      <c r="M23" s="57" t="e">
        <f>IF(AND('Mapa final'!#REF!="Alta",'Mapa final'!#REF!="Leve"),CONCATENATE("R8C",'Mapa final'!#REF!),"")</f>
        <v>#REF!</v>
      </c>
      <c r="N23" s="57" t="e">
        <f>IF(AND('Mapa final'!#REF!="Alta",'Mapa final'!#REF!="Leve"),CONCATENATE("R8C",'Mapa final'!#REF!),"")</f>
        <v>#REF!</v>
      </c>
      <c r="O23" s="58" t="e">
        <f>IF(AND('Mapa final'!#REF!="Alta",'Mapa final'!#REF!="Leve"),CONCATENATE("R8C",'Mapa final'!#REF!),"")</f>
        <v>#REF!</v>
      </c>
      <c r="P23" s="56" t="e">
        <f>IF(AND('Mapa final'!#REF!="Alta",'Mapa final'!#REF!="Menor"),CONCATENATE("R8C",'Mapa final'!#REF!),"")</f>
        <v>#REF!</v>
      </c>
      <c r="Q23" s="57" t="e">
        <f>IF(AND('Mapa final'!#REF!="Alta",'Mapa final'!#REF!="Menor"),CONCATENATE("R8C",'Mapa final'!#REF!),"")</f>
        <v>#REF!</v>
      </c>
      <c r="R23" s="57" t="e">
        <f>IF(AND('Mapa final'!#REF!="Alta",'Mapa final'!#REF!="Menor"),CONCATENATE("R8C",'Mapa final'!#REF!),"")</f>
        <v>#REF!</v>
      </c>
      <c r="S23" s="57" t="e">
        <f>IF(AND('Mapa final'!#REF!="Alta",'Mapa final'!#REF!="Menor"),CONCATENATE("R8C",'Mapa final'!#REF!),"")</f>
        <v>#REF!</v>
      </c>
      <c r="T23" s="57" t="e">
        <f>IF(AND('Mapa final'!#REF!="Alta",'Mapa final'!#REF!="Menor"),CONCATENATE("R8C",'Mapa final'!#REF!),"")</f>
        <v>#REF!</v>
      </c>
      <c r="U23" s="58" t="e">
        <f>IF(AND('Mapa final'!#REF!="Alta",'Mapa final'!#REF!="Menor"),CONCATENATE("R8C",'Mapa final'!#REF!),"")</f>
        <v>#REF!</v>
      </c>
      <c r="V23" s="40" t="e">
        <f>IF(AND('Mapa final'!#REF!="Alta",'Mapa final'!#REF!="Moderado"),CONCATENATE("R8C",'Mapa final'!#REF!),"")</f>
        <v>#REF!</v>
      </c>
      <c r="W23" s="41" t="e">
        <f>IF(AND('Mapa final'!#REF!="Alta",'Mapa final'!#REF!="Moderado"),CONCATENATE("R8C",'Mapa final'!#REF!),"")</f>
        <v>#REF!</v>
      </c>
      <c r="X23" s="46" t="e">
        <f>IF(AND('Mapa final'!#REF!="Alta",'Mapa final'!#REF!="Moderado"),CONCATENATE("R8C",'Mapa final'!#REF!),"")</f>
        <v>#REF!</v>
      </c>
      <c r="Y23" s="46" t="e">
        <f>IF(AND('Mapa final'!#REF!="Alta",'Mapa final'!#REF!="Moderado"),CONCATENATE("R8C",'Mapa final'!#REF!),"")</f>
        <v>#REF!</v>
      </c>
      <c r="Z23" s="46" t="e">
        <f>IF(AND('Mapa final'!#REF!="Alta",'Mapa final'!#REF!="Moderado"),CONCATENATE("R8C",'Mapa final'!#REF!),"")</f>
        <v>#REF!</v>
      </c>
      <c r="AA23" s="42" t="e">
        <f>IF(AND('Mapa final'!#REF!="Alta",'Mapa final'!#REF!="Moderado"),CONCATENATE("R8C",'Mapa final'!#REF!),"")</f>
        <v>#REF!</v>
      </c>
      <c r="AB23" s="40" t="e">
        <f>IF(AND('Mapa final'!#REF!="Alta",'Mapa final'!#REF!="Mayor"),CONCATENATE("R8C",'Mapa final'!#REF!),"")</f>
        <v>#REF!</v>
      </c>
      <c r="AC23" s="41" t="e">
        <f>IF(AND('Mapa final'!#REF!="Alta",'Mapa final'!#REF!="Mayor"),CONCATENATE("R8C",'Mapa final'!#REF!),"")</f>
        <v>#REF!</v>
      </c>
      <c r="AD23" s="46" t="e">
        <f>IF(AND('Mapa final'!#REF!="Alta",'Mapa final'!#REF!="Mayor"),CONCATENATE("R8C",'Mapa final'!#REF!),"")</f>
        <v>#REF!</v>
      </c>
      <c r="AE23" s="46" t="e">
        <f>IF(AND('Mapa final'!#REF!="Alta",'Mapa final'!#REF!="Mayor"),CONCATENATE("R8C",'Mapa final'!#REF!),"")</f>
        <v>#REF!</v>
      </c>
      <c r="AF23" s="46" t="e">
        <f>IF(AND('Mapa final'!#REF!="Alta",'Mapa final'!#REF!="Mayor"),CONCATENATE("R8C",'Mapa final'!#REF!),"")</f>
        <v>#REF!</v>
      </c>
      <c r="AG23" s="42" t="e">
        <f>IF(AND('Mapa final'!#REF!="Alta",'Mapa final'!#REF!="Mayor"),CONCATENATE("R8C",'Mapa final'!#REF!),"")</f>
        <v>#REF!</v>
      </c>
      <c r="AH23" s="43" t="e">
        <f>IF(AND('Mapa final'!#REF!="Alta",'Mapa final'!#REF!="Catastrófico"),CONCATENATE("R8C",'Mapa final'!#REF!),"")</f>
        <v>#REF!</v>
      </c>
      <c r="AI23" s="44" t="e">
        <f>IF(AND('Mapa final'!#REF!="Alta",'Mapa final'!#REF!="Catastrófico"),CONCATENATE("R8C",'Mapa final'!#REF!),"")</f>
        <v>#REF!</v>
      </c>
      <c r="AJ23" s="44" t="e">
        <f>IF(AND('Mapa final'!#REF!="Alta",'Mapa final'!#REF!="Catastrófico"),CONCATENATE("R8C",'Mapa final'!#REF!),"")</f>
        <v>#REF!</v>
      </c>
      <c r="AK23" s="44" t="e">
        <f>IF(AND('Mapa final'!#REF!="Alta",'Mapa final'!#REF!="Catastrófico"),CONCATENATE("R8C",'Mapa final'!#REF!),"")</f>
        <v>#REF!</v>
      </c>
      <c r="AL23" s="44" t="e">
        <f>IF(AND('Mapa final'!#REF!="Alta",'Mapa final'!#REF!="Catastrófico"),CONCATENATE("R8C",'Mapa final'!#REF!),"")</f>
        <v>#REF!</v>
      </c>
      <c r="AM23" s="45" t="e">
        <f>IF(AND('Mapa final'!#REF!="Alta",'Mapa final'!#REF!="Catastrófico"),CONCATENATE("R8C",'Mapa final'!#REF!),"")</f>
        <v>#REF!</v>
      </c>
      <c r="AN23" s="72"/>
      <c r="AO23" s="558"/>
      <c r="AP23" s="559"/>
      <c r="AQ23" s="559"/>
      <c r="AR23" s="559"/>
      <c r="AS23" s="559"/>
      <c r="AT23" s="560"/>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row>
    <row r="24" spans="1:76" ht="15" customHeight="1" x14ac:dyDescent="0.25">
      <c r="A24" s="72"/>
      <c r="B24" s="521"/>
      <c r="C24" s="521"/>
      <c r="D24" s="522"/>
      <c r="E24" s="526"/>
      <c r="F24" s="527"/>
      <c r="G24" s="527"/>
      <c r="H24" s="527"/>
      <c r="I24" s="534"/>
      <c r="J24" s="56" t="e">
        <f>IF(AND('Mapa final'!#REF!="Alta",'Mapa final'!#REF!="Leve"),CONCATENATE("R9C",'Mapa final'!#REF!),"")</f>
        <v>#REF!</v>
      </c>
      <c r="K24" s="57" t="e">
        <f>IF(AND('Mapa final'!#REF!="Alta",'Mapa final'!#REF!="Leve"),CONCATENATE("R9C",'Mapa final'!#REF!),"")</f>
        <v>#REF!</v>
      </c>
      <c r="L24" s="57" t="e">
        <f>IF(AND('Mapa final'!#REF!="Alta",'Mapa final'!#REF!="Leve"),CONCATENATE("R9C",'Mapa final'!#REF!),"")</f>
        <v>#REF!</v>
      </c>
      <c r="M24" s="57" t="e">
        <f>IF(AND('Mapa final'!#REF!="Alta",'Mapa final'!#REF!="Leve"),CONCATENATE("R9C",'Mapa final'!#REF!),"")</f>
        <v>#REF!</v>
      </c>
      <c r="N24" s="57" t="e">
        <f>IF(AND('Mapa final'!#REF!="Alta",'Mapa final'!#REF!="Leve"),CONCATENATE("R9C",'Mapa final'!#REF!),"")</f>
        <v>#REF!</v>
      </c>
      <c r="O24" s="58" t="e">
        <f>IF(AND('Mapa final'!#REF!="Alta",'Mapa final'!#REF!="Leve"),CONCATENATE("R9C",'Mapa final'!#REF!),"")</f>
        <v>#REF!</v>
      </c>
      <c r="P24" s="56" t="e">
        <f>IF(AND('Mapa final'!#REF!="Alta",'Mapa final'!#REF!="Menor"),CONCATENATE("R9C",'Mapa final'!#REF!),"")</f>
        <v>#REF!</v>
      </c>
      <c r="Q24" s="57" t="e">
        <f>IF(AND('Mapa final'!#REF!="Alta",'Mapa final'!#REF!="Menor"),CONCATENATE("R9C",'Mapa final'!#REF!),"")</f>
        <v>#REF!</v>
      </c>
      <c r="R24" s="57" t="e">
        <f>IF(AND('Mapa final'!#REF!="Alta",'Mapa final'!#REF!="Menor"),CONCATENATE("R9C",'Mapa final'!#REF!),"")</f>
        <v>#REF!</v>
      </c>
      <c r="S24" s="57" t="e">
        <f>IF(AND('Mapa final'!#REF!="Alta",'Mapa final'!#REF!="Menor"),CONCATENATE("R9C",'Mapa final'!#REF!),"")</f>
        <v>#REF!</v>
      </c>
      <c r="T24" s="57" t="e">
        <f>IF(AND('Mapa final'!#REF!="Alta",'Mapa final'!#REF!="Menor"),CONCATENATE("R9C",'Mapa final'!#REF!),"")</f>
        <v>#REF!</v>
      </c>
      <c r="U24" s="58" t="e">
        <f>IF(AND('Mapa final'!#REF!="Alta",'Mapa final'!#REF!="Menor"),CONCATENATE("R9C",'Mapa final'!#REF!),"")</f>
        <v>#REF!</v>
      </c>
      <c r="V24" s="40" t="e">
        <f>IF(AND('Mapa final'!#REF!="Alta",'Mapa final'!#REF!="Moderado"),CONCATENATE("R9C",'Mapa final'!#REF!),"")</f>
        <v>#REF!</v>
      </c>
      <c r="W24" s="41" t="e">
        <f>IF(AND('Mapa final'!#REF!="Alta",'Mapa final'!#REF!="Moderado"),CONCATENATE("R9C",'Mapa final'!#REF!),"")</f>
        <v>#REF!</v>
      </c>
      <c r="X24" s="46" t="e">
        <f>IF(AND('Mapa final'!#REF!="Alta",'Mapa final'!#REF!="Moderado"),CONCATENATE("R9C",'Mapa final'!#REF!),"")</f>
        <v>#REF!</v>
      </c>
      <c r="Y24" s="46" t="e">
        <f>IF(AND('Mapa final'!#REF!="Alta",'Mapa final'!#REF!="Moderado"),CONCATENATE("R9C",'Mapa final'!#REF!),"")</f>
        <v>#REF!</v>
      </c>
      <c r="Z24" s="46" t="e">
        <f>IF(AND('Mapa final'!#REF!="Alta",'Mapa final'!#REF!="Moderado"),CONCATENATE("R9C",'Mapa final'!#REF!),"")</f>
        <v>#REF!</v>
      </c>
      <c r="AA24" s="42" t="e">
        <f>IF(AND('Mapa final'!#REF!="Alta",'Mapa final'!#REF!="Moderado"),CONCATENATE("R9C",'Mapa final'!#REF!),"")</f>
        <v>#REF!</v>
      </c>
      <c r="AB24" s="40" t="e">
        <f>IF(AND('Mapa final'!#REF!="Alta",'Mapa final'!#REF!="Mayor"),CONCATENATE("R9C",'Mapa final'!#REF!),"")</f>
        <v>#REF!</v>
      </c>
      <c r="AC24" s="41" t="e">
        <f>IF(AND('Mapa final'!#REF!="Alta",'Mapa final'!#REF!="Mayor"),CONCATENATE("R9C",'Mapa final'!#REF!),"")</f>
        <v>#REF!</v>
      </c>
      <c r="AD24" s="46" t="e">
        <f>IF(AND('Mapa final'!#REF!="Alta",'Mapa final'!#REF!="Mayor"),CONCATENATE("R9C",'Mapa final'!#REF!),"")</f>
        <v>#REF!</v>
      </c>
      <c r="AE24" s="46" t="e">
        <f>IF(AND('Mapa final'!#REF!="Alta",'Mapa final'!#REF!="Mayor"),CONCATENATE("R9C",'Mapa final'!#REF!),"")</f>
        <v>#REF!</v>
      </c>
      <c r="AF24" s="46" t="e">
        <f>IF(AND('Mapa final'!#REF!="Alta",'Mapa final'!#REF!="Mayor"),CONCATENATE("R9C",'Mapa final'!#REF!),"")</f>
        <v>#REF!</v>
      </c>
      <c r="AG24" s="42" t="e">
        <f>IF(AND('Mapa final'!#REF!="Alta",'Mapa final'!#REF!="Mayor"),CONCATENATE("R9C",'Mapa final'!#REF!),"")</f>
        <v>#REF!</v>
      </c>
      <c r="AH24" s="43" t="e">
        <f>IF(AND('Mapa final'!#REF!="Alta",'Mapa final'!#REF!="Catastrófico"),CONCATENATE("R9C",'Mapa final'!#REF!),"")</f>
        <v>#REF!</v>
      </c>
      <c r="AI24" s="44" t="e">
        <f>IF(AND('Mapa final'!#REF!="Alta",'Mapa final'!#REF!="Catastrófico"),CONCATENATE("R9C",'Mapa final'!#REF!),"")</f>
        <v>#REF!</v>
      </c>
      <c r="AJ24" s="44" t="e">
        <f>IF(AND('Mapa final'!#REF!="Alta",'Mapa final'!#REF!="Catastrófico"),CONCATENATE("R9C",'Mapa final'!#REF!),"")</f>
        <v>#REF!</v>
      </c>
      <c r="AK24" s="44" t="e">
        <f>IF(AND('Mapa final'!#REF!="Alta",'Mapa final'!#REF!="Catastrófico"),CONCATENATE("R9C",'Mapa final'!#REF!),"")</f>
        <v>#REF!</v>
      </c>
      <c r="AL24" s="44" t="e">
        <f>IF(AND('Mapa final'!#REF!="Alta",'Mapa final'!#REF!="Catastrófico"),CONCATENATE("R9C",'Mapa final'!#REF!),"")</f>
        <v>#REF!</v>
      </c>
      <c r="AM24" s="45" t="e">
        <f>IF(AND('Mapa final'!#REF!="Alta",'Mapa final'!#REF!="Catastrófico"),CONCATENATE("R9C",'Mapa final'!#REF!),"")</f>
        <v>#REF!</v>
      </c>
      <c r="AN24" s="72"/>
      <c r="AO24" s="558"/>
      <c r="AP24" s="559"/>
      <c r="AQ24" s="559"/>
      <c r="AR24" s="559"/>
      <c r="AS24" s="559"/>
      <c r="AT24" s="560"/>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row>
    <row r="25" spans="1:76" ht="15.75" customHeight="1" thickBot="1" x14ac:dyDescent="0.3">
      <c r="A25" s="72"/>
      <c r="B25" s="521"/>
      <c r="C25" s="521"/>
      <c r="D25" s="522"/>
      <c r="E25" s="529"/>
      <c r="F25" s="530"/>
      <c r="G25" s="530"/>
      <c r="H25" s="530"/>
      <c r="I25" s="530"/>
      <c r="J25" s="59" t="e">
        <f>IF(AND('Mapa final'!#REF!="Alta",'Mapa final'!#REF!="Leve"),CONCATENATE("R10C",'Mapa final'!#REF!),"")</f>
        <v>#REF!</v>
      </c>
      <c r="K25" s="60" t="e">
        <f>IF(AND('Mapa final'!#REF!="Alta",'Mapa final'!#REF!="Leve"),CONCATENATE("R10C",'Mapa final'!#REF!),"")</f>
        <v>#REF!</v>
      </c>
      <c r="L25" s="60" t="e">
        <f>IF(AND('Mapa final'!#REF!="Alta",'Mapa final'!#REF!="Leve"),CONCATENATE("R10C",'Mapa final'!#REF!),"")</f>
        <v>#REF!</v>
      </c>
      <c r="M25" s="60" t="e">
        <f>IF(AND('Mapa final'!#REF!="Alta",'Mapa final'!#REF!="Leve"),CONCATENATE("R10C",'Mapa final'!#REF!),"")</f>
        <v>#REF!</v>
      </c>
      <c r="N25" s="60" t="e">
        <f>IF(AND('Mapa final'!#REF!="Alta",'Mapa final'!#REF!="Leve"),CONCATENATE("R10C",'Mapa final'!#REF!),"")</f>
        <v>#REF!</v>
      </c>
      <c r="O25" s="61" t="e">
        <f>IF(AND('Mapa final'!#REF!="Alta",'Mapa final'!#REF!="Leve"),CONCATENATE("R10C",'Mapa final'!#REF!),"")</f>
        <v>#REF!</v>
      </c>
      <c r="P25" s="59" t="e">
        <f>IF(AND('Mapa final'!#REF!="Alta",'Mapa final'!#REF!="Menor"),CONCATENATE("R10C",'Mapa final'!#REF!),"")</f>
        <v>#REF!</v>
      </c>
      <c r="Q25" s="60" t="e">
        <f>IF(AND('Mapa final'!#REF!="Alta",'Mapa final'!#REF!="Menor"),CONCATENATE("R10C",'Mapa final'!#REF!),"")</f>
        <v>#REF!</v>
      </c>
      <c r="R25" s="60" t="e">
        <f>IF(AND('Mapa final'!#REF!="Alta",'Mapa final'!#REF!="Menor"),CONCATENATE("R10C",'Mapa final'!#REF!),"")</f>
        <v>#REF!</v>
      </c>
      <c r="S25" s="60" t="e">
        <f>IF(AND('Mapa final'!#REF!="Alta",'Mapa final'!#REF!="Menor"),CONCATENATE("R10C",'Mapa final'!#REF!),"")</f>
        <v>#REF!</v>
      </c>
      <c r="T25" s="60" t="e">
        <f>IF(AND('Mapa final'!#REF!="Alta",'Mapa final'!#REF!="Menor"),CONCATENATE("R10C",'Mapa final'!#REF!),"")</f>
        <v>#REF!</v>
      </c>
      <c r="U25" s="61" t="e">
        <f>IF(AND('Mapa final'!#REF!="Alta",'Mapa final'!#REF!="Menor"),CONCATENATE("R10C",'Mapa final'!#REF!),"")</f>
        <v>#REF!</v>
      </c>
      <c r="V25" s="47" t="e">
        <f>IF(AND('Mapa final'!#REF!="Alta",'Mapa final'!#REF!="Moderado"),CONCATENATE("R10C",'Mapa final'!#REF!),"")</f>
        <v>#REF!</v>
      </c>
      <c r="W25" s="48" t="e">
        <f>IF(AND('Mapa final'!#REF!="Alta",'Mapa final'!#REF!="Moderado"),CONCATENATE("R10C",'Mapa final'!#REF!),"")</f>
        <v>#REF!</v>
      </c>
      <c r="X25" s="48" t="e">
        <f>IF(AND('Mapa final'!#REF!="Alta",'Mapa final'!#REF!="Moderado"),CONCATENATE("R10C",'Mapa final'!#REF!),"")</f>
        <v>#REF!</v>
      </c>
      <c r="Y25" s="48" t="e">
        <f>IF(AND('Mapa final'!#REF!="Alta",'Mapa final'!#REF!="Moderado"),CONCATENATE("R10C",'Mapa final'!#REF!),"")</f>
        <v>#REF!</v>
      </c>
      <c r="Z25" s="48" t="e">
        <f>IF(AND('Mapa final'!#REF!="Alta",'Mapa final'!#REF!="Moderado"),CONCATENATE("R10C",'Mapa final'!#REF!),"")</f>
        <v>#REF!</v>
      </c>
      <c r="AA25" s="49" t="e">
        <f>IF(AND('Mapa final'!#REF!="Alta",'Mapa final'!#REF!="Moderado"),CONCATENATE("R10C",'Mapa final'!#REF!),"")</f>
        <v>#REF!</v>
      </c>
      <c r="AB25" s="47" t="e">
        <f>IF(AND('Mapa final'!#REF!="Alta",'Mapa final'!#REF!="Mayor"),CONCATENATE("R10C",'Mapa final'!#REF!),"")</f>
        <v>#REF!</v>
      </c>
      <c r="AC25" s="48" t="e">
        <f>IF(AND('Mapa final'!#REF!="Alta",'Mapa final'!#REF!="Mayor"),CONCATENATE("R10C",'Mapa final'!#REF!),"")</f>
        <v>#REF!</v>
      </c>
      <c r="AD25" s="48" t="e">
        <f>IF(AND('Mapa final'!#REF!="Alta",'Mapa final'!#REF!="Mayor"),CONCATENATE("R10C",'Mapa final'!#REF!),"")</f>
        <v>#REF!</v>
      </c>
      <c r="AE25" s="48" t="e">
        <f>IF(AND('Mapa final'!#REF!="Alta",'Mapa final'!#REF!="Mayor"),CONCATENATE("R10C",'Mapa final'!#REF!),"")</f>
        <v>#REF!</v>
      </c>
      <c r="AF25" s="48" t="e">
        <f>IF(AND('Mapa final'!#REF!="Alta",'Mapa final'!#REF!="Mayor"),CONCATENATE("R10C",'Mapa final'!#REF!),"")</f>
        <v>#REF!</v>
      </c>
      <c r="AG25" s="49" t="e">
        <f>IF(AND('Mapa final'!#REF!="Alta",'Mapa final'!#REF!="Mayor"),CONCATENATE("R10C",'Mapa final'!#REF!),"")</f>
        <v>#REF!</v>
      </c>
      <c r="AH25" s="50" t="e">
        <f>IF(AND('Mapa final'!#REF!="Alta",'Mapa final'!#REF!="Catastrófico"),CONCATENATE("R10C",'Mapa final'!#REF!),"")</f>
        <v>#REF!</v>
      </c>
      <c r="AI25" s="51" t="e">
        <f>IF(AND('Mapa final'!#REF!="Alta",'Mapa final'!#REF!="Catastrófico"),CONCATENATE("R10C",'Mapa final'!#REF!),"")</f>
        <v>#REF!</v>
      </c>
      <c r="AJ25" s="51" t="e">
        <f>IF(AND('Mapa final'!#REF!="Alta",'Mapa final'!#REF!="Catastrófico"),CONCATENATE("R10C",'Mapa final'!#REF!),"")</f>
        <v>#REF!</v>
      </c>
      <c r="AK25" s="51" t="e">
        <f>IF(AND('Mapa final'!#REF!="Alta",'Mapa final'!#REF!="Catastrófico"),CONCATENATE("R10C",'Mapa final'!#REF!),"")</f>
        <v>#REF!</v>
      </c>
      <c r="AL25" s="51" t="e">
        <f>IF(AND('Mapa final'!#REF!="Alta",'Mapa final'!#REF!="Catastrófico"),CONCATENATE("R10C",'Mapa final'!#REF!),"")</f>
        <v>#REF!</v>
      </c>
      <c r="AM25" s="52" t="e">
        <f>IF(AND('Mapa final'!#REF!="Alta",'Mapa final'!#REF!="Catastrófico"),CONCATENATE("R10C",'Mapa final'!#REF!),"")</f>
        <v>#REF!</v>
      </c>
      <c r="AN25" s="72"/>
      <c r="AO25" s="561"/>
      <c r="AP25" s="562"/>
      <c r="AQ25" s="562"/>
      <c r="AR25" s="562"/>
      <c r="AS25" s="562"/>
      <c r="AT25" s="563"/>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row>
    <row r="26" spans="1:76" ht="15" customHeight="1" x14ac:dyDescent="0.25">
      <c r="A26" s="72"/>
      <c r="B26" s="521"/>
      <c r="C26" s="521"/>
      <c r="D26" s="522"/>
      <c r="E26" s="523" t="s">
        <v>115</v>
      </c>
      <c r="F26" s="524"/>
      <c r="G26" s="524"/>
      <c r="H26" s="524"/>
      <c r="I26" s="525"/>
      <c r="J26" s="53" t="str">
        <f>IF(AND('Mapa final'!$AA$13="Media",'Mapa final'!$AC$13="Leve"),CONCATENATE("R1C",'Mapa final'!$Q$13),"")</f>
        <v>R1C1</v>
      </c>
      <c r="K26" s="54" t="str">
        <f>IF(AND('Mapa final'!$AA$14="Media",'Mapa final'!$AC$14="Leve"),CONCATENATE("R1C",'Mapa final'!$Q$14),"")</f>
        <v>R1C2</v>
      </c>
      <c r="L26" s="54" t="str">
        <f>IF(AND('Mapa final'!$AA$15="Media",'Mapa final'!$AC$15="Leve"),CONCATENATE("R1C",'Mapa final'!$Q$15),"")</f>
        <v/>
      </c>
      <c r="M26" s="54" t="str">
        <f>IF(AND('Mapa final'!$AA$16="Media",'Mapa final'!$AC$16="Leve"),CONCATENATE("R1C",'Mapa final'!$Q$16),"")</f>
        <v/>
      </c>
      <c r="N26" s="54" t="str">
        <f>IF(AND('Mapa final'!$AA$17="Media",'Mapa final'!$AC$17="Leve"),CONCATENATE("R1C",'Mapa final'!$Q$17),"")</f>
        <v/>
      </c>
      <c r="O26" s="55" t="str">
        <f>IF(AND('Mapa final'!$AA$18="Media",'Mapa final'!$AC$18="Leve"),CONCATENATE("R1C",'Mapa final'!$Q$18),"")</f>
        <v/>
      </c>
      <c r="P26" s="53" t="str">
        <f>IF(AND('Mapa final'!$AA$13="Media",'Mapa final'!$AC$13="Menor"),CONCATENATE("R1C",'Mapa final'!$Q$13),"")</f>
        <v/>
      </c>
      <c r="Q26" s="54" t="str">
        <f>IF(AND('Mapa final'!$AA$14="Media",'Mapa final'!$AC$14="Menor"),CONCATENATE("R1C",'Mapa final'!$Q$14),"")</f>
        <v/>
      </c>
      <c r="R26" s="54" t="str">
        <f>IF(AND('Mapa final'!$AA$15="Media",'Mapa final'!$AC$15="Menor"),CONCATENATE("R1C",'Mapa final'!$Q$15),"")</f>
        <v/>
      </c>
      <c r="S26" s="54" t="str">
        <f>IF(AND('Mapa final'!$AA$16="Media",'Mapa final'!$AC$16="Menor"),CONCATENATE("R1C",'Mapa final'!$Q$16),"")</f>
        <v/>
      </c>
      <c r="T26" s="54" t="str">
        <f>IF(AND('Mapa final'!$AA$17="Media",'Mapa final'!$AC$17="Menor"),CONCATENATE("R1C",'Mapa final'!$Q$17),"")</f>
        <v/>
      </c>
      <c r="U26" s="55" t="str">
        <f>IF(AND('Mapa final'!$AA$18="Media",'Mapa final'!$AC$18="Menor"),CONCATENATE("R1C",'Mapa final'!$Q$18),"")</f>
        <v/>
      </c>
      <c r="V26" s="53" t="str">
        <f>IF(AND('Mapa final'!$AA$13="Media",'Mapa final'!$AC$13="Moderado"),CONCATENATE("R1C",'Mapa final'!$Q$13),"")</f>
        <v/>
      </c>
      <c r="W26" s="54" t="str">
        <f>IF(AND('Mapa final'!$AA$14="Media",'Mapa final'!$AC$14="Moderado"),CONCATENATE("R1C",'Mapa final'!$Q$14),"")</f>
        <v/>
      </c>
      <c r="X26" s="54" t="str">
        <f>IF(AND('Mapa final'!$AA$15="Media",'Mapa final'!$AC$15="Moderado"),CONCATENATE("R1C",'Mapa final'!$Q$15),"")</f>
        <v/>
      </c>
      <c r="Y26" s="54" t="str">
        <f>IF(AND('Mapa final'!$AA$16="Media",'Mapa final'!$AC$16="Moderado"),CONCATENATE("R1C",'Mapa final'!$Q$16),"")</f>
        <v/>
      </c>
      <c r="Z26" s="54" t="str">
        <f>IF(AND('Mapa final'!$AA$17="Media",'Mapa final'!$AC$17="Moderado"),CONCATENATE("R1C",'Mapa final'!$Q$17),"")</f>
        <v/>
      </c>
      <c r="AA26" s="55" t="str">
        <f>IF(AND('Mapa final'!$AA$18="Media",'Mapa final'!$AC$18="Moderado"),CONCATENATE("R1C",'Mapa final'!$Q$18),"")</f>
        <v/>
      </c>
      <c r="AB26" s="34" t="str">
        <f>IF(AND('Mapa final'!$AA$13="Media",'Mapa final'!$AC$13="Mayor"),CONCATENATE("R1C",'Mapa final'!$Q$13),"")</f>
        <v/>
      </c>
      <c r="AC26" s="35" t="str">
        <f>IF(AND('Mapa final'!$AA$14="Media",'Mapa final'!$AC$14="Mayor"),CONCATENATE("R1C",'Mapa final'!$Q$14),"")</f>
        <v/>
      </c>
      <c r="AD26" s="35" t="str">
        <f>IF(AND('Mapa final'!$AA$15="Media",'Mapa final'!$AC$15="Mayor"),CONCATENATE("R1C",'Mapa final'!$Q$15),"")</f>
        <v/>
      </c>
      <c r="AE26" s="35" t="str">
        <f>IF(AND('Mapa final'!$AA$16="Media",'Mapa final'!$AC$16="Mayor"),CONCATENATE("R1C",'Mapa final'!$Q$16),"")</f>
        <v/>
      </c>
      <c r="AF26" s="35" t="str">
        <f>IF(AND('Mapa final'!$AA$17="Media",'Mapa final'!$AC$17="Mayor"),CONCATENATE("R1C",'Mapa final'!$Q$17),"")</f>
        <v/>
      </c>
      <c r="AG26" s="36" t="str">
        <f>IF(AND('Mapa final'!$AA$18="Media",'Mapa final'!$AC$18="Mayor"),CONCATENATE("R1C",'Mapa final'!$Q$18),"")</f>
        <v/>
      </c>
      <c r="AH26" s="37" t="str">
        <f>IF(AND('Mapa final'!$AA$13="Media",'Mapa final'!$AC$13="Catastrófico"),CONCATENATE("R1C",'Mapa final'!$Q$13),"")</f>
        <v/>
      </c>
      <c r="AI26" s="38" t="str">
        <f>IF(AND('Mapa final'!$AA$14="Media",'Mapa final'!$AC$14="Catastrófico"),CONCATENATE("R1C",'Mapa final'!$Q$14),"")</f>
        <v/>
      </c>
      <c r="AJ26" s="38" t="str">
        <f>IF(AND('Mapa final'!$AA$15="Media",'Mapa final'!$AC$15="Catastrófico"),CONCATENATE("R1C",'Mapa final'!$Q$15),"")</f>
        <v/>
      </c>
      <c r="AK26" s="38" t="str">
        <f>IF(AND('Mapa final'!$AA$16="Media",'Mapa final'!$AC$16="Catastrófico"),CONCATENATE("R1C",'Mapa final'!$Q$16),"")</f>
        <v/>
      </c>
      <c r="AL26" s="38" t="str">
        <f>IF(AND('Mapa final'!$AA$17="Media",'Mapa final'!$AC$17="Catastrófico"),CONCATENATE("R1C",'Mapa final'!$Q$17),"")</f>
        <v/>
      </c>
      <c r="AM26" s="39" t="str">
        <f>IF(AND('Mapa final'!$AA$18="Media",'Mapa final'!$AC$18="Catastrófico"),CONCATENATE("R1C",'Mapa final'!$Q$18),"")</f>
        <v/>
      </c>
      <c r="AN26" s="72"/>
      <c r="AO26" s="564" t="s">
        <v>81</v>
      </c>
      <c r="AP26" s="565"/>
      <c r="AQ26" s="565"/>
      <c r="AR26" s="565"/>
      <c r="AS26" s="565"/>
      <c r="AT26" s="566"/>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row>
    <row r="27" spans="1:76" ht="15" customHeight="1" x14ac:dyDescent="0.25">
      <c r="A27" s="72"/>
      <c r="B27" s="521"/>
      <c r="C27" s="521"/>
      <c r="D27" s="522"/>
      <c r="E27" s="533"/>
      <c r="F27" s="534"/>
      <c r="G27" s="534"/>
      <c r="H27" s="534"/>
      <c r="I27" s="528"/>
      <c r="J27" s="56" t="e">
        <f>IF(AND('Mapa final'!#REF!="Media",'Mapa final'!#REF!="Leve"),CONCATENATE("R2C",'Mapa final'!#REF!),"")</f>
        <v>#REF!</v>
      </c>
      <c r="K27" s="57" t="e">
        <f>IF(AND('Mapa final'!#REF!="Media",'Mapa final'!#REF!="Leve"),CONCATENATE("R2C",'Mapa final'!#REF!),"")</f>
        <v>#REF!</v>
      </c>
      <c r="L27" s="57" t="e">
        <f>IF(AND('Mapa final'!#REF!="Media",'Mapa final'!#REF!="Leve"),CONCATENATE("R2C",'Mapa final'!#REF!),"")</f>
        <v>#REF!</v>
      </c>
      <c r="M27" s="57" t="e">
        <f>IF(AND('Mapa final'!#REF!="Media",'Mapa final'!#REF!="Leve"),CONCATENATE("R2C",'Mapa final'!#REF!),"")</f>
        <v>#REF!</v>
      </c>
      <c r="N27" s="57" t="e">
        <f>IF(AND('Mapa final'!#REF!="Media",'Mapa final'!#REF!="Leve"),CONCATENATE("R2C",'Mapa final'!#REF!),"")</f>
        <v>#REF!</v>
      </c>
      <c r="O27" s="58" t="e">
        <f>IF(AND('Mapa final'!#REF!="Media",'Mapa final'!#REF!="Leve"),CONCATENATE("R2C",'Mapa final'!#REF!),"")</f>
        <v>#REF!</v>
      </c>
      <c r="P27" s="56" t="e">
        <f>IF(AND('Mapa final'!#REF!="Media",'Mapa final'!#REF!="Menor"),CONCATENATE("R2C",'Mapa final'!#REF!),"")</f>
        <v>#REF!</v>
      </c>
      <c r="Q27" s="57" t="e">
        <f>IF(AND('Mapa final'!#REF!="Media",'Mapa final'!#REF!="Menor"),CONCATENATE("R2C",'Mapa final'!#REF!),"")</f>
        <v>#REF!</v>
      </c>
      <c r="R27" s="57" t="e">
        <f>IF(AND('Mapa final'!#REF!="Media",'Mapa final'!#REF!="Menor"),CONCATENATE("R2C",'Mapa final'!#REF!),"")</f>
        <v>#REF!</v>
      </c>
      <c r="S27" s="57" t="e">
        <f>IF(AND('Mapa final'!#REF!="Media",'Mapa final'!#REF!="Menor"),CONCATENATE("R2C",'Mapa final'!#REF!),"")</f>
        <v>#REF!</v>
      </c>
      <c r="T27" s="57" t="e">
        <f>IF(AND('Mapa final'!#REF!="Media",'Mapa final'!#REF!="Menor"),CONCATENATE("R2C",'Mapa final'!#REF!),"")</f>
        <v>#REF!</v>
      </c>
      <c r="U27" s="58" t="e">
        <f>IF(AND('Mapa final'!#REF!="Media",'Mapa final'!#REF!="Menor"),CONCATENATE("R2C",'Mapa final'!#REF!),"")</f>
        <v>#REF!</v>
      </c>
      <c r="V27" s="56" t="e">
        <f>IF(AND('Mapa final'!#REF!="Media",'Mapa final'!#REF!="Moderado"),CONCATENATE("R2C",'Mapa final'!#REF!),"")</f>
        <v>#REF!</v>
      </c>
      <c r="W27" s="57" t="e">
        <f>IF(AND('Mapa final'!#REF!="Media",'Mapa final'!#REF!="Moderado"),CONCATENATE("R2C",'Mapa final'!#REF!),"")</f>
        <v>#REF!</v>
      </c>
      <c r="X27" s="57" t="e">
        <f>IF(AND('Mapa final'!#REF!="Media",'Mapa final'!#REF!="Moderado"),CONCATENATE("R2C",'Mapa final'!#REF!),"")</f>
        <v>#REF!</v>
      </c>
      <c r="Y27" s="57" t="e">
        <f>IF(AND('Mapa final'!#REF!="Media",'Mapa final'!#REF!="Moderado"),CONCATENATE("R2C",'Mapa final'!#REF!),"")</f>
        <v>#REF!</v>
      </c>
      <c r="Z27" s="57" t="e">
        <f>IF(AND('Mapa final'!#REF!="Media",'Mapa final'!#REF!="Moderado"),CONCATENATE("R2C",'Mapa final'!#REF!),"")</f>
        <v>#REF!</v>
      </c>
      <c r="AA27" s="58" t="e">
        <f>IF(AND('Mapa final'!#REF!="Media",'Mapa final'!#REF!="Moderado"),CONCATENATE("R2C",'Mapa final'!#REF!),"")</f>
        <v>#REF!</v>
      </c>
      <c r="AB27" s="40" t="e">
        <f>IF(AND('Mapa final'!#REF!="Media",'Mapa final'!#REF!="Mayor"),CONCATENATE("R2C",'Mapa final'!#REF!),"")</f>
        <v>#REF!</v>
      </c>
      <c r="AC27" s="41" t="e">
        <f>IF(AND('Mapa final'!#REF!="Media",'Mapa final'!#REF!="Mayor"),CONCATENATE("R2C",'Mapa final'!#REF!),"")</f>
        <v>#REF!</v>
      </c>
      <c r="AD27" s="41" t="e">
        <f>IF(AND('Mapa final'!#REF!="Media",'Mapa final'!#REF!="Mayor"),CONCATENATE("R2C",'Mapa final'!#REF!),"")</f>
        <v>#REF!</v>
      </c>
      <c r="AE27" s="41" t="e">
        <f>IF(AND('Mapa final'!#REF!="Media",'Mapa final'!#REF!="Mayor"),CONCATENATE("R2C",'Mapa final'!#REF!),"")</f>
        <v>#REF!</v>
      </c>
      <c r="AF27" s="41" t="e">
        <f>IF(AND('Mapa final'!#REF!="Media",'Mapa final'!#REF!="Mayor"),CONCATENATE("R2C",'Mapa final'!#REF!),"")</f>
        <v>#REF!</v>
      </c>
      <c r="AG27" s="42" t="e">
        <f>IF(AND('Mapa final'!#REF!="Media",'Mapa final'!#REF!="Mayor"),CONCATENATE("R2C",'Mapa final'!#REF!),"")</f>
        <v>#REF!</v>
      </c>
      <c r="AH27" s="43" t="e">
        <f>IF(AND('Mapa final'!#REF!="Media",'Mapa final'!#REF!="Catastrófico"),CONCATENATE("R2C",'Mapa final'!#REF!),"")</f>
        <v>#REF!</v>
      </c>
      <c r="AI27" s="44" t="e">
        <f>IF(AND('Mapa final'!#REF!="Media",'Mapa final'!#REF!="Catastrófico"),CONCATENATE("R2C",'Mapa final'!#REF!),"")</f>
        <v>#REF!</v>
      </c>
      <c r="AJ27" s="44" t="e">
        <f>IF(AND('Mapa final'!#REF!="Media",'Mapa final'!#REF!="Catastrófico"),CONCATENATE("R2C",'Mapa final'!#REF!),"")</f>
        <v>#REF!</v>
      </c>
      <c r="AK27" s="44" t="e">
        <f>IF(AND('Mapa final'!#REF!="Media",'Mapa final'!#REF!="Catastrófico"),CONCATENATE("R2C",'Mapa final'!#REF!),"")</f>
        <v>#REF!</v>
      </c>
      <c r="AL27" s="44" t="e">
        <f>IF(AND('Mapa final'!#REF!="Media",'Mapa final'!#REF!="Catastrófico"),CONCATENATE("R2C",'Mapa final'!#REF!),"")</f>
        <v>#REF!</v>
      </c>
      <c r="AM27" s="45" t="e">
        <f>IF(AND('Mapa final'!#REF!="Media",'Mapa final'!#REF!="Catastrófico"),CONCATENATE("R2C",'Mapa final'!#REF!),"")</f>
        <v>#REF!</v>
      </c>
      <c r="AN27" s="72"/>
      <c r="AO27" s="567"/>
      <c r="AP27" s="568"/>
      <c r="AQ27" s="568"/>
      <c r="AR27" s="568"/>
      <c r="AS27" s="568"/>
      <c r="AT27" s="569"/>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row>
    <row r="28" spans="1:76" ht="15" customHeight="1" x14ac:dyDescent="0.25">
      <c r="A28" s="72"/>
      <c r="B28" s="521"/>
      <c r="C28" s="521"/>
      <c r="D28" s="522"/>
      <c r="E28" s="526"/>
      <c r="F28" s="527"/>
      <c r="G28" s="527"/>
      <c r="H28" s="527"/>
      <c r="I28" s="528"/>
      <c r="J28" s="56" t="e">
        <f>IF(AND('Mapa final'!#REF!="Media",'Mapa final'!#REF!="Leve"),CONCATENATE("R3C",'Mapa final'!#REF!),"")</f>
        <v>#REF!</v>
      </c>
      <c r="K28" s="57" t="e">
        <f>IF(AND('Mapa final'!#REF!="Media",'Mapa final'!#REF!="Leve"),CONCATENATE("R3C",'Mapa final'!#REF!),"")</f>
        <v>#REF!</v>
      </c>
      <c r="L28" s="57" t="e">
        <f>IF(AND('Mapa final'!#REF!="Media",'Mapa final'!#REF!="Leve"),CONCATENATE("R3C",'Mapa final'!#REF!),"")</f>
        <v>#REF!</v>
      </c>
      <c r="M28" s="57" t="e">
        <f>IF(AND('Mapa final'!#REF!="Media",'Mapa final'!#REF!="Leve"),CONCATENATE("R3C",'Mapa final'!#REF!),"")</f>
        <v>#REF!</v>
      </c>
      <c r="N28" s="57" t="e">
        <f>IF(AND('Mapa final'!#REF!="Media",'Mapa final'!#REF!="Leve"),CONCATENATE("R3C",'Mapa final'!#REF!),"")</f>
        <v>#REF!</v>
      </c>
      <c r="O28" s="58" t="e">
        <f>IF(AND('Mapa final'!#REF!="Media",'Mapa final'!#REF!="Leve"),CONCATENATE("R3C",'Mapa final'!#REF!),"")</f>
        <v>#REF!</v>
      </c>
      <c r="P28" s="56" t="e">
        <f>IF(AND('Mapa final'!#REF!="Media",'Mapa final'!#REF!="Menor"),CONCATENATE("R3C",'Mapa final'!#REF!),"")</f>
        <v>#REF!</v>
      </c>
      <c r="Q28" s="57" t="e">
        <f>IF(AND('Mapa final'!#REF!="Media",'Mapa final'!#REF!="Menor"),CONCATENATE("R3C",'Mapa final'!#REF!),"")</f>
        <v>#REF!</v>
      </c>
      <c r="R28" s="57" t="e">
        <f>IF(AND('Mapa final'!#REF!="Media",'Mapa final'!#REF!="Menor"),CONCATENATE("R3C",'Mapa final'!#REF!),"")</f>
        <v>#REF!</v>
      </c>
      <c r="S28" s="57" t="e">
        <f>IF(AND('Mapa final'!#REF!="Media",'Mapa final'!#REF!="Menor"),CONCATENATE("R3C",'Mapa final'!#REF!),"")</f>
        <v>#REF!</v>
      </c>
      <c r="T28" s="57" t="e">
        <f>IF(AND('Mapa final'!#REF!="Media",'Mapa final'!#REF!="Menor"),CONCATENATE("R3C",'Mapa final'!#REF!),"")</f>
        <v>#REF!</v>
      </c>
      <c r="U28" s="58" t="e">
        <f>IF(AND('Mapa final'!#REF!="Media",'Mapa final'!#REF!="Menor"),CONCATENATE("R3C",'Mapa final'!#REF!),"")</f>
        <v>#REF!</v>
      </c>
      <c r="V28" s="56" t="e">
        <f>IF(AND('Mapa final'!#REF!="Media",'Mapa final'!#REF!="Moderado"),CONCATENATE("R3C",'Mapa final'!#REF!),"")</f>
        <v>#REF!</v>
      </c>
      <c r="W28" s="57" t="e">
        <f>IF(AND('Mapa final'!#REF!="Media",'Mapa final'!#REF!="Moderado"),CONCATENATE("R3C",'Mapa final'!#REF!),"")</f>
        <v>#REF!</v>
      </c>
      <c r="X28" s="57" t="e">
        <f>IF(AND('Mapa final'!#REF!="Media",'Mapa final'!#REF!="Moderado"),CONCATENATE("R3C",'Mapa final'!#REF!),"")</f>
        <v>#REF!</v>
      </c>
      <c r="Y28" s="57" t="e">
        <f>IF(AND('Mapa final'!#REF!="Media",'Mapa final'!#REF!="Moderado"),CONCATENATE("R3C",'Mapa final'!#REF!),"")</f>
        <v>#REF!</v>
      </c>
      <c r="Z28" s="57" t="e">
        <f>IF(AND('Mapa final'!#REF!="Media",'Mapa final'!#REF!="Moderado"),CONCATENATE("R3C",'Mapa final'!#REF!),"")</f>
        <v>#REF!</v>
      </c>
      <c r="AA28" s="58" t="e">
        <f>IF(AND('Mapa final'!#REF!="Media",'Mapa final'!#REF!="Moderado"),CONCATENATE("R3C",'Mapa final'!#REF!),"")</f>
        <v>#REF!</v>
      </c>
      <c r="AB28" s="40" t="e">
        <f>IF(AND('Mapa final'!#REF!="Media",'Mapa final'!#REF!="Mayor"),CONCATENATE("R3C",'Mapa final'!#REF!),"")</f>
        <v>#REF!</v>
      </c>
      <c r="AC28" s="41" t="e">
        <f>IF(AND('Mapa final'!#REF!="Media",'Mapa final'!#REF!="Mayor"),CONCATENATE("R3C",'Mapa final'!#REF!),"")</f>
        <v>#REF!</v>
      </c>
      <c r="AD28" s="41" t="e">
        <f>IF(AND('Mapa final'!#REF!="Media",'Mapa final'!#REF!="Mayor"),CONCATENATE("R3C",'Mapa final'!#REF!),"")</f>
        <v>#REF!</v>
      </c>
      <c r="AE28" s="41" t="e">
        <f>IF(AND('Mapa final'!#REF!="Media",'Mapa final'!#REF!="Mayor"),CONCATENATE("R3C",'Mapa final'!#REF!),"")</f>
        <v>#REF!</v>
      </c>
      <c r="AF28" s="41" t="e">
        <f>IF(AND('Mapa final'!#REF!="Media",'Mapa final'!#REF!="Mayor"),CONCATENATE("R3C",'Mapa final'!#REF!),"")</f>
        <v>#REF!</v>
      </c>
      <c r="AG28" s="42" t="e">
        <f>IF(AND('Mapa final'!#REF!="Media",'Mapa final'!#REF!="Mayor"),CONCATENATE("R3C",'Mapa final'!#REF!),"")</f>
        <v>#REF!</v>
      </c>
      <c r="AH28" s="43" t="e">
        <f>IF(AND('Mapa final'!#REF!="Media",'Mapa final'!#REF!="Catastrófico"),CONCATENATE("R3C",'Mapa final'!#REF!),"")</f>
        <v>#REF!</v>
      </c>
      <c r="AI28" s="44" t="e">
        <f>IF(AND('Mapa final'!#REF!="Media",'Mapa final'!#REF!="Catastrófico"),CONCATENATE("R3C",'Mapa final'!#REF!),"")</f>
        <v>#REF!</v>
      </c>
      <c r="AJ28" s="44" t="e">
        <f>IF(AND('Mapa final'!#REF!="Media",'Mapa final'!#REF!="Catastrófico"),CONCATENATE("R3C",'Mapa final'!#REF!),"")</f>
        <v>#REF!</v>
      </c>
      <c r="AK28" s="44" t="e">
        <f>IF(AND('Mapa final'!#REF!="Media",'Mapa final'!#REF!="Catastrófico"),CONCATENATE("R3C",'Mapa final'!#REF!),"")</f>
        <v>#REF!</v>
      </c>
      <c r="AL28" s="44" t="e">
        <f>IF(AND('Mapa final'!#REF!="Media",'Mapa final'!#REF!="Catastrófico"),CONCATENATE("R3C",'Mapa final'!#REF!),"")</f>
        <v>#REF!</v>
      </c>
      <c r="AM28" s="45" t="e">
        <f>IF(AND('Mapa final'!#REF!="Media",'Mapa final'!#REF!="Catastrófico"),CONCATENATE("R3C",'Mapa final'!#REF!),"")</f>
        <v>#REF!</v>
      </c>
      <c r="AN28" s="72"/>
      <c r="AO28" s="567"/>
      <c r="AP28" s="568"/>
      <c r="AQ28" s="568"/>
      <c r="AR28" s="568"/>
      <c r="AS28" s="568"/>
      <c r="AT28" s="569"/>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row>
    <row r="29" spans="1:76" ht="15" customHeight="1" x14ac:dyDescent="0.25">
      <c r="A29" s="72"/>
      <c r="B29" s="521"/>
      <c r="C29" s="521"/>
      <c r="D29" s="522"/>
      <c r="E29" s="526"/>
      <c r="F29" s="527"/>
      <c r="G29" s="527"/>
      <c r="H29" s="527"/>
      <c r="I29" s="528"/>
      <c r="J29" s="56" t="e">
        <f>IF(AND('Mapa final'!#REF!="Media",'Mapa final'!#REF!="Leve"),CONCATENATE("R4C",'Mapa final'!#REF!),"")</f>
        <v>#REF!</v>
      </c>
      <c r="K29" s="57" t="e">
        <f>IF(AND('Mapa final'!#REF!="Media",'Mapa final'!#REF!="Leve"),CONCATENATE("R4C",'Mapa final'!#REF!),"")</f>
        <v>#REF!</v>
      </c>
      <c r="L29" s="57" t="e">
        <f>IF(AND('Mapa final'!#REF!="Media",'Mapa final'!#REF!="Leve"),CONCATENATE("R4C",'Mapa final'!#REF!),"")</f>
        <v>#REF!</v>
      </c>
      <c r="M29" s="57" t="e">
        <f>IF(AND('Mapa final'!#REF!="Media",'Mapa final'!#REF!="Leve"),CONCATENATE("R4C",'Mapa final'!#REF!),"")</f>
        <v>#REF!</v>
      </c>
      <c r="N29" s="57" t="e">
        <f>IF(AND('Mapa final'!#REF!="Media",'Mapa final'!#REF!="Leve"),CONCATENATE("R4C",'Mapa final'!#REF!),"")</f>
        <v>#REF!</v>
      </c>
      <c r="O29" s="58" t="e">
        <f>IF(AND('Mapa final'!#REF!="Media",'Mapa final'!#REF!="Leve"),CONCATENATE("R4C",'Mapa final'!#REF!),"")</f>
        <v>#REF!</v>
      </c>
      <c r="P29" s="56" t="e">
        <f>IF(AND('Mapa final'!#REF!="Media",'Mapa final'!#REF!="Menor"),CONCATENATE("R4C",'Mapa final'!#REF!),"")</f>
        <v>#REF!</v>
      </c>
      <c r="Q29" s="57" t="e">
        <f>IF(AND('Mapa final'!#REF!="Media",'Mapa final'!#REF!="Menor"),CONCATENATE("R4C",'Mapa final'!#REF!),"")</f>
        <v>#REF!</v>
      </c>
      <c r="R29" s="57" t="e">
        <f>IF(AND('Mapa final'!#REF!="Media",'Mapa final'!#REF!="Menor"),CONCATENATE("R4C",'Mapa final'!#REF!),"")</f>
        <v>#REF!</v>
      </c>
      <c r="S29" s="57" t="e">
        <f>IF(AND('Mapa final'!#REF!="Media",'Mapa final'!#REF!="Menor"),CONCATENATE("R4C",'Mapa final'!#REF!),"")</f>
        <v>#REF!</v>
      </c>
      <c r="T29" s="57" t="e">
        <f>IF(AND('Mapa final'!#REF!="Media",'Mapa final'!#REF!="Menor"),CONCATENATE("R4C",'Mapa final'!#REF!),"")</f>
        <v>#REF!</v>
      </c>
      <c r="U29" s="58" t="e">
        <f>IF(AND('Mapa final'!#REF!="Media",'Mapa final'!#REF!="Menor"),CONCATENATE("R4C",'Mapa final'!#REF!),"")</f>
        <v>#REF!</v>
      </c>
      <c r="V29" s="56" t="e">
        <f>IF(AND('Mapa final'!#REF!="Media",'Mapa final'!#REF!="Moderado"),CONCATENATE("R4C",'Mapa final'!#REF!),"")</f>
        <v>#REF!</v>
      </c>
      <c r="W29" s="57" t="e">
        <f>IF(AND('Mapa final'!#REF!="Media",'Mapa final'!#REF!="Moderado"),CONCATENATE("R4C",'Mapa final'!#REF!),"")</f>
        <v>#REF!</v>
      </c>
      <c r="X29" s="57" t="e">
        <f>IF(AND('Mapa final'!#REF!="Media",'Mapa final'!#REF!="Moderado"),CONCATENATE("R4C",'Mapa final'!#REF!),"")</f>
        <v>#REF!</v>
      </c>
      <c r="Y29" s="57" t="e">
        <f>IF(AND('Mapa final'!#REF!="Media",'Mapa final'!#REF!="Moderado"),CONCATENATE("R4C",'Mapa final'!#REF!),"")</f>
        <v>#REF!</v>
      </c>
      <c r="Z29" s="57" t="e">
        <f>IF(AND('Mapa final'!#REF!="Media",'Mapa final'!#REF!="Moderado"),CONCATENATE("R4C",'Mapa final'!#REF!),"")</f>
        <v>#REF!</v>
      </c>
      <c r="AA29" s="58" t="e">
        <f>IF(AND('Mapa final'!#REF!="Media",'Mapa final'!#REF!="Moderado"),CONCATENATE("R4C",'Mapa final'!#REF!),"")</f>
        <v>#REF!</v>
      </c>
      <c r="AB29" s="40" t="e">
        <f>IF(AND('Mapa final'!#REF!="Media",'Mapa final'!#REF!="Mayor"),CONCATENATE("R4C",'Mapa final'!#REF!),"")</f>
        <v>#REF!</v>
      </c>
      <c r="AC29" s="41" t="e">
        <f>IF(AND('Mapa final'!#REF!="Media",'Mapa final'!#REF!="Mayor"),CONCATENATE("R4C",'Mapa final'!#REF!),"")</f>
        <v>#REF!</v>
      </c>
      <c r="AD29" s="46" t="e">
        <f>IF(AND('Mapa final'!#REF!="Media",'Mapa final'!#REF!="Mayor"),CONCATENATE("R4C",'Mapa final'!#REF!),"")</f>
        <v>#REF!</v>
      </c>
      <c r="AE29" s="46" t="e">
        <f>IF(AND('Mapa final'!#REF!="Media",'Mapa final'!#REF!="Mayor"),CONCATENATE("R4C",'Mapa final'!#REF!),"")</f>
        <v>#REF!</v>
      </c>
      <c r="AF29" s="46" t="e">
        <f>IF(AND('Mapa final'!#REF!="Media",'Mapa final'!#REF!="Mayor"),CONCATENATE("R4C",'Mapa final'!#REF!),"")</f>
        <v>#REF!</v>
      </c>
      <c r="AG29" s="42" t="e">
        <f>IF(AND('Mapa final'!#REF!="Media",'Mapa final'!#REF!="Mayor"),CONCATENATE("R4C",'Mapa final'!#REF!),"")</f>
        <v>#REF!</v>
      </c>
      <c r="AH29" s="43" t="e">
        <f>IF(AND('Mapa final'!#REF!="Media",'Mapa final'!#REF!="Catastrófico"),CONCATENATE("R4C",'Mapa final'!#REF!),"")</f>
        <v>#REF!</v>
      </c>
      <c r="AI29" s="44" t="e">
        <f>IF(AND('Mapa final'!#REF!="Media",'Mapa final'!#REF!="Catastrófico"),CONCATENATE("R4C",'Mapa final'!#REF!),"")</f>
        <v>#REF!</v>
      </c>
      <c r="AJ29" s="44" t="e">
        <f>IF(AND('Mapa final'!#REF!="Media",'Mapa final'!#REF!="Catastrófico"),CONCATENATE("R4C",'Mapa final'!#REF!),"")</f>
        <v>#REF!</v>
      </c>
      <c r="AK29" s="44" t="e">
        <f>IF(AND('Mapa final'!#REF!="Media",'Mapa final'!#REF!="Catastrófico"),CONCATENATE("R4C",'Mapa final'!#REF!),"")</f>
        <v>#REF!</v>
      </c>
      <c r="AL29" s="44" t="e">
        <f>IF(AND('Mapa final'!#REF!="Media",'Mapa final'!#REF!="Catastrófico"),CONCATENATE("R4C",'Mapa final'!#REF!),"")</f>
        <v>#REF!</v>
      </c>
      <c r="AM29" s="45" t="e">
        <f>IF(AND('Mapa final'!#REF!="Media",'Mapa final'!#REF!="Catastrófico"),CONCATENATE("R4C",'Mapa final'!#REF!),"")</f>
        <v>#REF!</v>
      </c>
      <c r="AN29" s="72"/>
      <c r="AO29" s="567"/>
      <c r="AP29" s="568"/>
      <c r="AQ29" s="568"/>
      <c r="AR29" s="568"/>
      <c r="AS29" s="568"/>
      <c r="AT29" s="569"/>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row>
    <row r="30" spans="1:76" ht="15" customHeight="1" x14ac:dyDescent="0.25">
      <c r="A30" s="72"/>
      <c r="B30" s="521"/>
      <c r="C30" s="521"/>
      <c r="D30" s="522"/>
      <c r="E30" s="526"/>
      <c r="F30" s="527"/>
      <c r="G30" s="527"/>
      <c r="H30" s="527"/>
      <c r="I30" s="528"/>
      <c r="J30" s="56" t="e">
        <f>IF(AND('Mapa final'!#REF!="Media",'Mapa final'!#REF!="Leve"),CONCATENATE("R5C",'Mapa final'!#REF!),"")</f>
        <v>#REF!</v>
      </c>
      <c r="K30" s="57" t="e">
        <f>IF(AND('Mapa final'!#REF!="Media",'Mapa final'!#REF!="Leve"),CONCATENATE("R5C",'Mapa final'!#REF!),"")</f>
        <v>#REF!</v>
      </c>
      <c r="L30" s="57" t="e">
        <f>IF(AND('Mapa final'!#REF!="Media",'Mapa final'!#REF!="Leve"),CONCATENATE("R5C",'Mapa final'!#REF!),"")</f>
        <v>#REF!</v>
      </c>
      <c r="M30" s="57" t="e">
        <f>IF(AND('Mapa final'!#REF!="Media",'Mapa final'!#REF!="Leve"),CONCATENATE("R5C",'Mapa final'!#REF!),"")</f>
        <v>#REF!</v>
      </c>
      <c r="N30" s="57" t="e">
        <f>IF(AND('Mapa final'!#REF!="Media",'Mapa final'!#REF!="Leve"),CONCATENATE("R5C",'Mapa final'!#REF!),"")</f>
        <v>#REF!</v>
      </c>
      <c r="O30" s="58" t="e">
        <f>IF(AND('Mapa final'!#REF!="Media",'Mapa final'!#REF!="Leve"),CONCATENATE("R5C",'Mapa final'!#REF!),"")</f>
        <v>#REF!</v>
      </c>
      <c r="P30" s="56" t="e">
        <f>IF(AND('Mapa final'!#REF!="Media",'Mapa final'!#REF!="Menor"),CONCATENATE("R5C",'Mapa final'!#REF!),"")</f>
        <v>#REF!</v>
      </c>
      <c r="Q30" s="57" t="e">
        <f>IF(AND('Mapa final'!#REF!="Media",'Mapa final'!#REF!="Menor"),CONCATENATE("R5C",'Mapa final'!#REF!),"")</f>
        <v>#REF!</v>
      </c>
      <c r="R30" s="57" t="e">
        <f>IF(AND('Mapa final'!#REF!="Media",'Mapa final'!#REF!="Menor"),CONCATENATE("R5C",'Mapa final'!#REF!),"")</f>
        <v>#REF!</v>
      </c>
      <c r="S30" s="57" t="e">
        <f>IF(AND('Mapa final'!#REF!="Media",'Mapa final'!#REF!="Menor"),CONCATENATE("R5C",'Mapa final'!#REF!),"")</f>
        <v>#REF!</v>
      </c>
      <c r="T30" s="57" t="e">
        <f>IF(AND('Mapa final'!#REF!="Media",'Mapa final'!#REF!="Menor"),CONCATENATE("R5C",'Mapa final'!#REF!),"")</f>
        <v>#REF!</v>
      </c>
      <c r="U30" s="58" t="e">
        <f>IF(AND('Mapa final'!#REF!="Media",'Mapa final'!#REF!="Menor"),CONCATENATE("R5C",'Mapa final'!#REF!),"")</f>
        <v>#REF!</v>
      </c>
      <c r="V30" s="56" t="e">
        <f>IF(AND('Mapa final'!#REF!="Media",'Mapa final'!#REF!="Moderado"),CONCATENATE("R5C",'Mapa final'!#REF!),"")</f>
        <v>#REF!</v>
      </c>
      <c r="W30" s="57" t="e">
        <f>IF(AND('Mapa final'!#REF!="Media",'Mapa final'!#REF!="Moderado"),CONCATENATE("R5C",'Mapa final'!#REF!),"")</f>
        <v>#REF!</v>
      </c>
      <c r="X30" s="57" t="e">
        <f>IF(AND('Mapa final'!#REF!="Media",'Mapa final'!#REF!="Moderado"),CONCATENATE("R5C",'Mapa final'!#REF!),"")</f>
        <v>#REF!</v>
      </c>
      <c r="Y30" s="57" t="e">
        <f>IF(AND('Mapa final'!#REF!="Media",'Mapa final'!#REF!="Moderado"),CONCATENATE("R5C",'Mapa final'!#REF!),"")</f>
        <v>#REF!</v>
      </c>
      <c r="Z30" s="57" t="e">
        <f>IF(AND('Mapa final'!#REF!="Media",'Mapa final'!#REF!="Moderado"),CONCATENATE("R5C",'Mapa final'!#REF!),"")</f>
        <v>#REF!</v>
      </c>
      <c r="AA30" s="58" t="e">
        <f>IF(AND('Mapa final'!#REF!="Media",'Mapa final'!#REF!="Moderado"),CONCATENATE("R5C",'Mapa final'!#REF!),"")</f>
        <v>#REF!</v>
      </c>
      <c r="AB30" s="40" t="e">
        <f>IF(AND('Mapa final'!#REF!="Media",'Mapa final'!#REF!="Mayor"),CONCATENATE("R5C",'Mapa final'!#REF!),"")</f>
        <v>#REF!</v>
      </c>
      <c r="AC30" s="41" t="e">
        <f>IF(AND('Mapa final'!#REF!="Media",'Mapa final'!#REF!="Mayor"),CONCATENATE("R5C",'Mapa final'!#REF!),"")</f>
        <v>#REF!</v>
      </c>
      <c r="AD30" s="46" t="e">
        <f>IF(AND('Mapa final'!#REF!="Media",'Mapa final'!#REF!="Mayor"),CONCATENATE("R5C",'Mapa final'!#REF!),"")</f>
        <v>#REF!</v>
      </c>
      <c r="AE30" s="46" t="e">
        <f>IF(AND('Mapa final'!#REF!="Media",'Mapa final'!#REF!="Mayor"),CONCATENATE("R5C",'Mapa final'!#REF!),"")</f>
        <v>#REF!</v>
      </c>
      <c r="AF30" s="46" t="e">
        <f>IF(AND('Mapa final'!#REF!="Media",'Mapa final'!#REF!="Mayor"),CONCATENATE("R5C",'Mapa final'!#REF!),"")</f>
        <v>#REF!</v>
      </c>
      <c r="AG30" s="42" t="e">
        <f>IF(AND('Mapa final'!#REF!="Media",'Mapa final'!#REF!="Mayor"),CONCATENATE("R5C",'Mapa final'!#REF!),"")</f>
        <v>#REF!</v>
      </c>
      <c r="AH30" s="43" t="e">
        <f>IF(AND('Mapa final'!#REF!="Media",'Mapa final'!#REF!="Catastrófico"),CONCATENATE("R5C",'Mapa final'!#REF!),"")</f>
        <v>#REF!</v>
      </c>
      <c r="AI30" s="44" t="e">
        <f>IF(AND('Mapa final'!#REF!="Media",'Mapa final'!#REF!="Catastrófico"),CONCATENATE("R5C",'Mapa final'!#REF!),"")</f>
        <v>#REF!</v>
      </c>
      <c r="AJ30" s="44" t="e">
        <f>IF(AND('Mapa final'!#REF!="Media",'Mapa final'!#REF!="Catastrófico"),CONCATENATE("R5C",'Mapa final'!#REF!),"")</f>
        <v>#REF!</v>
      </c>
      <c r="AK30" s="44" t="e">
        <f>IF(AND('Mapa final'!#REF!="Media",'Mapa final'!#REF!="Catastrófico"),CONCATENATE("R5C",'Mapa final'!#REF!),"")</f>
        <v>#REF!</v>
      </c>
      <c r="AL30" s="44" t="e">
        <f>IF(AND('Mapa final'!#REF!="Media",'Mapa final'!#REF!="Catastrófico"),CONCATENATE("R5C",'Mapa final'!#REF!),"")</f>
        <v>#REF!</v>
      </c>
      <c r="AM30" s="45" t="e">
        <f>IF(AND('Mapa final'!#REF!="Media",'Mapa final'!#REF!="Catastrófico"),CONCATENATE("R5C",'Mapa final'!#REF!),"")</f>
        <v>#REF!</v>
      </c>
      <c r="AN30" s="72"/>
      <c r="AO30" s="567"/>
      <c r="AP30" s="568"/>
      <c r="AQ30" s="568"/>
      <c r="AR30" s="568"/>
      <c r="AS30" s="568"/>
      <c r="AT30" s="569"/>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row>
    <row r="31" spans="1:76" ht="15" customHeight="1" x14ac:dyDescent="0.25">
      <c r="A31" s="72"/>
      <c r="B31" s="521"/>
      <c r="C31" s="521"/>
      <c r="D31" s="522"/>
      <c r="E31" s="526"/>
      <c r="F31" s="527"/>
      <c r="G31" s="527"/>
      <c r="H31" s="527"/>
      <c r="I31" s="528"/>
      <c r="J31" s="56" t="e">
        <f>IF(AND('Mapa final'!#REF!="Media",'Mapa final'!#REF!="Leve"),CONCATENATE("R6C",'Mapa final'!#REF!),"")</f>
        <v>#REF!</v>
      </c>
      <c r="K31" s="57" t="e">
        <f>IF(AND('Mapa final'!#REF!="Media",'Mapa final'!#REF!="Leve"),CONCATENATE("R6C",'Mapa final'!#REF!),"")</f>
        <v>#REF!</v>
      </c>
      <c r="L31" s="57" t="e">
        <f>IF(AND('Mapa final'!#REF!="Media",'Mapa final'!#REF!="Leve"),CONCATENATE("R6C",'Mapa final'!#REF!),"")</f>
        <v>#REF!</v>
      </c>
      <c r="M31" s="57" t="e">
        <f>IF(AND('Mapa final'!#REF!="Media",'Mapa final'!#REF!="Leve"),CONCATENATE("R6C",'Mapa final'!#REF!),"")</f>
        <v>#REF!</v>
      </c>
      <c r="N31" s="57" t="e">
        <f>IF(AND('Mapa final'!#REF!="Media",'Mapa final'!#REF!="Leve"),CONCATENATE("R6C",'Mapa final'!#REF!),"")</f>
        <v>#REF!</v>
      </c>
      <c r="O31" s="58" t="e">
        <f>IF(AND('Mapa final'!#REF!="Media",'Mapa final'!#REF!="Leve"),CONCATENATE("R6C",'Mapa final'!#REF!),"")</f>
        <v>#REF!</v>
      </c>
      <c r="P31" s="56" t="e">
        <f>IF(AND('Mapa final'!#REF!="Media",'Mapa final'!#REF!="Menor"),CONCATENATE("R6C",'Mapa final'!#REF!),"")</f>
        <v>#REF!</v>
      </c>
      <c r="Q31" s="57" t="e">
        <f>IF(AND('Mapa final'!#REF!="Media",'Mapa final'!#REF!="Menor"),CONCATENATE("R6C",'Mapa final'!#REF!),"")</f>
        <v>#REF!</v>
      </c>
      <c r="R31" s="57" t="e">
        <f>IF(AND('Mapa final'!#REF!="Media",'Mapa final'!#REF!="Menor"),CONCATENATE("R6C",'Mapa final'!#REF!),"")</f>
        <v>#REF!</v>
      </c>
      <c r="S31" s="57" t="e">
        <f>IF(AND('Mapa final'!#REF!="Media",'Mapa final'!#REF!="Menor"),CONCATENATE("R6C",'Mapa final'!#REF!),"")</f>
        <v>#REF!</v>
      </c>
      <c r="T31" s="57" t="e">
        <f>IF(AND('Mapa final'!#REF!="Media",'Mapa final'!#REF!="Menor"),CONCATENATE("R6C",'Mapa final'!#REF!),"")</f>
        <v>#REF!</v>
      </c>
      <c r="U31" s="58" t="e">
        <f>IF(AND('Mapa final'!#REF!="Media",'Mapa final'!#REF!="Menor"),CONCATENATE("R6C",'Mapa final'!#REF!),"")</f>
        <v>#REF!</v>
      </c>
      <c r="V31" s="56" t="e">
        <f>IF(AND('Mapa final'!#REF!="Media",'Mapa final'!#REF!="Moderado"),CONCATENATE("R6C",'Mapa final'!#REF!),"")</f>
        <v>#REF!</v>
      </c>
      <c r="W31" s="57" t="e">
        <f>IF(AND('Mapa final'!#REF!="Media",'Mapa final'!#REF!="Moderado"),CONCATENATE("R6C",'Mapa final'!#REF!),"")</f>
        <v>#REF!</v>
      </c>
      <c r="X31" s="57" t="e">
        <f>IF(AND('Mapa final'!#REF!="Media",'Mapa final'!#REF!="Moderado"),CONCATENATE("R6C",'Mapa final'!#REF!),"")</f>
        <v>#REF!</v>
      </c>
      <c r="Y31" s="57" t="e">
        <f>IF(AND('Mapa final'!#REF!="Media",'Mapa final'!#REF!="Moderado"),CONCATENATE("R6C",'Mapa final'!#REF!),"")</f>
        <v>#REF!</v>
      </c>
      <c r="Z31" s="57" t="e">
        <f>IF(AND('Mapa final'!#REF!="Media",'Mapa final'!#REF!="Moderado"),CONCATENATE("R6C",'Mapa final'!#REF!),"")</f>
        <v>#REF!</v>
      </c>
      <c r="AA31" s="58" t="e">
        <f>IF(AND('Mapa final'!#REF!="Media",'Mapa final'!#REF!="Moderado"),CONCATENATE("R6C",'Mapa final'!#REF!),"")</f>
        <v>#REF!</v>
      </c>
      <c r="AB31" s="40" t="e">
        <f>IF(AND('Mapa final'!#REF!="Media",'Mapa final'!#REF!="Mayor"),CONCATENATE("R6C",'Mapa final'!#REF!),"")</f>
        <v>#REF!</v>
      </c>
      <c r="AC31" s="41" t="e">
        <f>IF(AND('Mapa final'!#REF!="Media",'Mapa final'!#REF!="Mayor"),CONCATENATE("R6C",'Mapa final'!#REF!),"")</f>
        <v>#REF!</v>
      </c>
      <c r="AD31" s="46" t="e">
        <f>IF(AND('Mapa final'!#REF!="Media",'Mapa final'!#REF!="Mayor"),CONCATENATE("R6C",'Mapa final'!#REF!),"")</f>
        <v>#REF!</v>
      </c>
      <c r="AE31" s="46" t="e">
        <f>IF(AND('Mapa final'!#REF!="Media",'Mapa final'!#REF!="Mayor"),CONCATENATE("R6C",'Mapa final'!#REF!),"")</f>
        <v>#REF!</v>
      </c>
      <c r="AF31" s="46" t="e">
        <f>IF(AND('Mapa final'!#REF!="Media",'Mapa final'!#REF!="Mayor"),CONCATENATE("R6C",'Mapa final'!#REF!),"")</f>
        <v>#REF!</v>
      </c>
      <c r="AG31" s="42" t="e">
        <f>IF(AND('Mapa final'!#REF!="Media",'Mapa final'!#REF!="Mayor"),CONCATENATE("R6C",'Mapa final'!#REF!),"")</f>
        <v>#REF!</v>
      </c>
      <c r="AH31" s="43" t="e">
        <f>IF(AND('Mapa final'!#REF!="Media",'Mapa final'!#REF!="Catastrófico"),CONCATENATE("R6C",'Mapa final'!#REF!),"")</f>
        <v>#REF!</v>
      </c>
      <c r="AI31" s="44" t="e">
        <f>IF(AND('Mapa final'!#REF!="Media",'Mapa final'!#REF!="Catastrófico"),CONCATENATE("R6C",'Mapa final'!#REF!),"")</f>
        <v>#REF!</v>
      </c>
      <c r="AJ31" s="44" t="e">
        <f>IF(AND('Mapa final'!#REF!="Media",'Mapa final'!#REF!="Catastrófico"),CONCATENATE("R6C",'Mapa final'!#REF!),"")</f>
        <v>#REF!</v>
      </c>
      <c r="AK31" s="44" t="e">
        <f>IF(AND('Mapa final'!#REF!="Media",'Mapa final'!#REF!="Catastrófico"),CONCATENATE("R6C",'Mapa final'!#REF!),"")</f>
        <v>#REF!</v>
      </c>
      <c r="AL31" s="44" t="e">
        <f>IF(AND('Mapa final'!#REF!="Media",'Mapa final'!#REF!="Catastrófico"),CONCATENATE("R6C",'Mapa final'!#REF!),"")</f>
        <v>#REF!</v>
      </c>
      <c r="AM31" s="45" t="e">
        <f>IF(AND('Mapa final'!#REF!="Media",'Mapa final'!#REF!="Catastrófico"),CONCATENATE("R6C",'Mapa final'!#REF!),"")</f>
        <v>#REF!</v>
      </c>
      <c r="AN31" s="72"/>
      <c r="AO31" s="567"/>
      <c r="AP31" s="568"/>
      <c r="AQ31" s="568"/>
      <c r="AR31" s="568"/>
      <c r="AS31" s="568"/>
      <c r="AT31" s="569"/>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row>
    <row r="32" spans="1:76" ht="15" customHeight="1" x14ac:dyDescent="0.25">
      <c r="A32" s="72"/>
      <c r="B32" s="521"/>
      <c r="C32" s="521"/>
      <c r="D32" s="522"/>
      <c r="E32" s="526"/>
      <c r="F32" s="527"/>
      <c r="G32" s="527"/>
      <c r="H32" s="527"/>
      <c r="I32" s="528"/>
      <c r="J32" s="56" t="e">
        <f>IF(AND('Mapa final'!#REF!="Media",'Mapa final'!#REF!="Leve"),CONCATENATE("R7C",'Mapa final'!#REF!),"")</f>
        <v>#REF!</v>
      </c>
      <c r="K32" s="57" t="e">
        <f>IF(AND('Mapa final'!#REF!="Media",'Mapa final'!#REF!="Leve"),CONCATENATE("R7C",'Mapa final'!#REF!),"")</f>
        <v>#REF!</v>
      </c>
      <c r="L32" s="57" t="e">
        <f>IF(AND('Mapa final'!#REF!="Media",'Mapa final'!#REF!="Leve"),CONCATENATE("R7C",'Mapa final'!#REF!),"")</f>
        <v>#REF!</v>
      </c>
      <c r="M32" s="57" t="e">
        <f>IF(AND('Mapa final'!#REF!="Media",'Mapa final'!#REF!="Leve"),CONCATENATE("R7C",'Mapa final'!#REF!),"")</f>
        <v>#REF!</v>
      </c>
      <c r="N32" s="57" t="e">
        <f>IF(AND('Mapa final'!#REF!="Media",'Mapa final'!#REF!="Leve"),CONCATENATE("R7C",'Mapa final'!#REF!),"")</f>
        <v>#REF!</v>
      </c>
      <c r="O32" s="58" t="e">
        <f>IF(AND('Mapa final'!#REF!="Media",'Mapa final'!#REF!="Leve"),CONCATENATE("R7C",'Mapa final'!#REF!),"")</f>
        <v>#REF!</v>
      </c>
      <c r="P32" s="56" t="e">
        <f>IF(AND('Mapa final'!#REF!="Media",'Mapa final'!#REF!="Menor"),CONCATENATE("R7C",'Mapa final'!#REF!),"")</f>
        <v>#REF!</v>
      </c>
      <c r="Q32" s="57" t="e">
        <f>IF(AND('Mapa final'!#REF!="Media",'Mapa final'!#REF!="Menor"),CONCATENATE("R7C",'Mapa final'!#REF!),"")</f>
        <v>#REF!</v>
      </c>
      <c r="R32" s="57" t="e">
        <f>IF(AND('Mapa final'!#REF!="Media",'Mapa final'!#REF!="Menor"),CONCATENATE("R7C",'Mapa final'!#REF!),"")</f>
        <v>#REF!</v>
      </c>
      <c r="S32" s="57" t="e">
        <f>IF(AND('Mapa final'!#REF!="Media",'Mapa final'!#REF!="Menor"),CONCATENATE("R7C",'Mapa final'!#REF!),"")</f>
        <v>#REF!</v>
      </c>
      <c r="T32" s="57" t="e">
        <f>IF(AND('Mapa final'!#REF!="Media",'Mapa final'!#REF!="Menor"),CONCATENATE("R7C",'Mapa final'!#REF!),"")</f>
        <v>#REF!</v>
      </c>
      <c r="U32" s="58" t="e">
        <f>IF(AND('Mapa final'!#REF!="Media",'Mapa final'!#REF!="Menor"),CONCATENATE("R7C",'Mapa final'!#REF!),"")</f>
        <v>#REF!</v>
      </c>
      <c r="V32" s="56" t="e">
        <f>IF(AND('Mapa final'!#REF!="Media",'Mapa final'!#REF!="Moderado"),CONCATENATE("R7C",'Mapa final'!#REF!),"")</f>
        <v>#REF!</v>
      </c>
      <c r="W32" s="57" t="e">
        <f>IF(AND('Mapa final'!#REF!="Media",'Mapa final'!#REF!="Moderado"),CONCATENATE("R7C",'Mapa final'!#REF!),"")</f>
        <v>#REF!</v>
      </c>
      <c r="X32" s="57" t="e">
        <f>IF(AND('Mapa final'!#REF!="Media",'Mapa final'!#REF!="Moderado"),CONCATENATE("R7C",'Mapa final'!#REF!),"")</f>
        <v>#REF!</v>
      </c>
      <c r="Y32" s="57" t="e">
        <f>IF(AND('Mapa final'!#REF!="Media",'Mapa final'!#REF!="Moderado"),CONCATENATE("R7C",'Mapa final'!#REF!),"")</f>
        <v>#REF!</v>
      </c>
      <c r="Z32" s="57" t="e">
        <f>IF(AND('Mapa final'!#REF!="Media",'Mapa final'!#REF!="Moderado"),CONCATENATE("R7C",'Mapa final'!#REF!),"")</f>
        <v>#REF!</v>
      </c>
      <c r="AA32" s="58" t="e">
        <f>IF(AND('Mapa final'!#REF!="Media",'Mapa final'!#REF!="Moderado"),CONCATENATE("R7C",'Mapa final'!#REF!),"")</f>
        <v>#REF!</v>
      </c>
      <c r="AB32" s="40" t="e">
        <f>IF(AND('Mapa final'!#REF!="Media",'Mapa final'!#REF!="Mayor"),CONCATENATE("R7C",'Mapa final'!#REF!),"")</f>
        <v>#REF!</v>
      </c>
      <c r="AC32" s="41" t="e">
        <f>IF(AND('Mapa final'!#REF!="Media",'Mapa final'!#REF!="Mayor"),CONCATENATE("R7C",'Mapa final'!#REF!),"")</f>
        <v>#REF!</v>
      </c>
      <c r="AD32" s="46" t="e">
        <f>IF(AND('Mapa final'!#REF!="Media",'Mapa final'!#REF!="Mayor"),CONCATENATE("R7C",'Mapa final'!#REF!),"")</f>
        <v>#REF!</v>
      </c>
      <c r="AE32" s="46" t="e">
        <f>IF(AND('Mapa final'!#REF!="Media",'Mapa final'!#REF!="Mayor"),CONCATENATE("R7C",'Mapa final'!#REF!),"")</f>
        <v>#REF!</v>
      </c>
      <c r="AF32" s="46" t="e">
        <f>IF(AND('Mapa final'!#REF!="Media",'Mapa final'!#REF!="Mayor"),CONCATENATE("R7C",'Mapa final'!#REF!),"")</f>
        <v>#REF!</v>
      </c>
      <c r="AG32" s="42" t="e">
        <f>IF(AND('Mapa final'!#REF!="Media",'Mapa final'!#REF!="Mayor"),CONCATENATE("R7C",'Mapa final'!#REF!),"")</f>
        <v>#REF!</v>
      </c>
      <c r="AH32" s="43" t="e">
        <f>IF(AND('Mapa final'!#REF!="Media",'Mapa final'!#REF!="Catastrófico"),CONCATENATE("R7C",'Mapa final'!#REF!),"")</f>
        <v>#REF!</v>
      </c>
      <c r="AI32" s="44" t="e">
        <f>IF(AND('Mapa final'!#REF!="Media",'Mapa final'!#REF!="Catastrófico"),CONCATENATE("R7C",'Mapa final'!#REF!),"")</f>
        <v>#REF!</v>
      </c>
      <c r="AJ32" s="44" t="e">
        <f>IF(AND('Mapa final'!#REF!="Media",'Mapa final'!#REF!="Catastrófico"),CONCATENATE("R7C",'Mapa final'!#REF!),"")</f>
        <v>#REF!</v>
      </c>
      <c r="AK32" s="44" t="e">
        <f>IF(AND('Mapa final'!#REF!="Media",'Mapa final'!#REF!="Catastrófico"),CONCATENATE("R7C",'Mapa final'!#REF!),"")</f>
        <v>#REF!</v>
      </c>
      <c r="AL32" s="44" t="e">
        <f>IF(AND('Mapa final'!#REF!="Media",'Mapa final'!#REF!="Catastrófico"),CONCATENATE("R7C",'Mapa final'!#REF!),"")</f>
        <v>#REF!</v>
      </c>
      <c r="AM32" s="45" t="e">
        <f>IF(AND('Mapa final'!#REF!="Media",'Mapa final'!#REF!="Catastrófico"),CONCATENATE("R7C",'Mapa final'!#REF!),"")</f>
        <v>#REF!</v>
      </c>
      <c r="AN32" s="72"/>
      <c r="AO32" s="567"/>
      <c r="AP32" s="568"/>
      <c r="AQ32" s="568"/>
      <c r="AR32" s="568"/>
      <c r="AS32" s="568"/>
      <c r="AT32" s="569"/>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c r="BV32" s="72"/>
      <c r="BW32" s="72"/>
      <c r="BX32" s="72"/>
    </row>
    <row r="33" spans="1:80" ht="15" customHeight="1" x14ac:dyDescent="0.25">
      <c r="A33" s="72"/>
      <c r="B33" s="521"/>
      <c r="C33" s="521"/>
      <c r="D33" s="522"/>
      <c r="E33" s="526"/>
      <c r="F33" s="527"/>
      <c r="G33" s="527"/>
      <c r="H33" s="527"/>
      <c r="I33" s="528"/>
      <c r="J33" s="56" t="e">
        <f>IF(AND('Mapa final'!#REF!="Media",'Mapa final'!#REF!="Leve"),CONCATENATE("R8C",'Mapa final'!#REF!),"")</f>
        <v>#REF!</v>
      </c>
      <c r="K33" s="57" t="e">
        <f>IF(AND('Mapa final'!#REF!="Media",'Mapa final'!#REF!="Leve"),CONCATENATE("R8C",'Mapa final'!#REF!),"")</f>
        <v>#REF!</v>
      </c>
      <c r="L33" s="57" t="e">
        <f>IF(AND('Mapa final'!#REF!="Media",'Mapa final'!#REF!="Leve"),CONCATENATE("R8C",'Mapa final'!#REF!),"")</f>
        <v>#REF!</v>
      </c>
      <c r="M33" s="57" t="e">
        <f>IF(AND('Mapa final'!#REF!="Media",'Mapa final'!#REF!="Leve"),CONCATENATE("R8C",'Mapa final'!#REF!),"")</f>
        <v>#REF!</v>
      </c>
      <c r="N33" s="57" t="e">
        <f>IF(AND('Mapa final'!#REF!="Media",'Mapa final'!#REF!="Leve"),CONCATENATE("R8C",'Mapa final'!#REF!),"")</f>
        <v>#REF!</v>
      </c>
      <c r="O33" s="58" t="e">
        <f>IF(AND('Mapa final'!#REF!="Media",'Mapa final'!#REF!="Leve"),CONCATENATE("R8C",'Mapa final'!#REF!),"")</f>
        <v>#REF!</v>
      </c>
      <c r="P33" s="56" t="e">
        <f>IF(AND('Mapa final'!#REF!="Media",'Mapa final'!#REF!="Menor"),CONCATENATE("R8C",'Mapa final'!#REF!),"")</f>
        <v>#REF!</v>
      </c>
      <c r="Q33" s="57" t="e">
        <f>IF(AND('Mapa final'!#REF!="Media",'Mapa final'!#REF!="Menor"),CONCATENATE("R8C",'Mapa final'!#REF!),"")</f>
        <v>#REF!</v>
      </c>
      <c r="R33" s="57" t="e">
        <f>IF(AND('Mapa final'!#REF!="Media",'Mapa final'!#REF!="Menor"),CONCATENATE("R8C",'Mapa final'!#REF!),"")</f>
        <v>#REF!</v>
      </c>
      <c r="S33" s="57" t="e">
        <f>IF(AND('Mapa final'!#REF!="Media",'Mapa final'!#REF!="Menor"),CONCATENATE("R8C",'Mapa final'!#REF!),"")</f>
        <v>#REF!</v>
      </c>
      <c r="T33" s="57" t="e">
        <f>IF(AND('Mapa final'!#REF!="Media",'Mapa final'!#REF!="Menor"),CONCATENATE("R8C",'Mapa final'!#REF!),"")</f>
        <v>#REF!</v>
      </c>
      <c r="U33" s="58" t="e">
        <f>IF(AND('Mapa final'!#REF!="Media",'Mapa final'!#REF!="Menor"),CONCATENATE("R8C",'Mapa final'!#REF!),"")</f>
        <v>#REF!</v>
      </c>
      <c r="V33" s="56" t="e">
        <f>IF(AND('Mapa final'!#REF!="Media",'Mapa final'!#REF!="Moderado"),CONCATENATE("R8C",'Mapa final'!#REF!),"")</f>
        <v>#REF!</v>
      </c>
      <c r="W33" s="57" t="e">
        <f>IF(AND('Mapa final'!#REF!="Media",'Mapa final'!#REF!="Moderado"),CONCATENATE("R8C",'Mapa final'!#REF!),"")</f>
        <v>#REF!</v>
      </c>
      <c r="X33" s="57" t="e">
        <f>IF(AND('Mapa final'!#REF!="Media",'Mapa final'!#REF!="Moderado"),CONCATENATE("R8C",'Mapa final'!#REF!),"")</f>
        <v>#REF!</v>
      </c>
      <c r="Y33" s="57" t="e">
        <f>IF(AND('Mapa final'!#REF!="Media",'Mapa final'!#REF!="Moderado"),CONCATENATE("R8C",'Mapa final'!#REF!),"")</f>
        <v>#REF!</v>
      </c>
      <c r="Z33" s="57" t="e">
        <f>IF(AND('Mapa final'!#REF!="Media",'Mapa final'!#REF!="Moderado"),CONCATENATE("R8C",'Mapa final'!#REF!),"")</f>
        <v>#REF!</v>
      </c>
      <c r="AA33" s="58" t="e">
        <f>IF(AND('Mapa final'!#REF!="Media",'Mapa final'!#REF!="Moderado"),CONCATENATE("R8C",'Mapa final'!#REF!),"")</f>
        <v>#REF!</v>
      </c>
      <c r="AB33" s="40" t="e">
        <f>IF(AND('Mapa final'!#REF!="Media",'Mapa final'!#REF!="Mayor"),CONCATENATE("R8C",'Mapa final'!#REF!),"")</f>
        <v>#REF!</v>
      </c>
      <c r="AC33" s="41" t="e">
        <f>IF(AND('Mapa final'!#REF!="Media",'Mapa final'!#REF!="Mayor"),CONCATENATE("R8C",'Mapa final'!#REF!),"")</f>
        <v>#REF!</v>
      </c>
      <c r="AD33" s="46" t="e">
        <f>IF(AND('Mapa final'!#REF!="Media",'Mapa final'!#REF!="Mayor"),CONCATENATE("R8C",'Mapa final'!#REF!),"")</f>
        <v>#REF!</v>
      </c>
      <c r="AE33" s="46" t="e">
        <f>IF(AND('Mapa final'!#REF!="Media",'Mapa final'!#REF!="Mayor"),CONCATENATE("R8C",'Mapa final'!#REF!),"")</f>
        <v>#REF!</v>
      </c>
      <c r="AF33" s="46" t="e">
        <f>IF(AND('Mapa final'!#REF!="Media",'Mapa final'!#REF!="Mayor"),CONCATENATE("R8C",'Mapa final'!#REF!),"")</f>
        <v>#REF!</v>
      </c>
      <c r="AG33" s="42" t="e">
        <f>IF(AND('Mapa final'!#REF!="Media",'Mapa final'!#REF!="Mayor"),CONCATENATE("R8C",'Mapa final'!#REF!),"")</f>
        <v>#REF!</v>
      </c>
      <c r="AH33" s="43" t="e">
        <f>IF(AND('Mapa final'!#REF!="Media",'Mapa final'!#REF!="Catastrófico"),CONCATENATE("R8C",'Mapa final'!#REF!),"")</f>
        <v>#REF!</v>
      </c>
      <c r="AI33" s="44" t="e">
        <f>IF(AND('Mapa final'!#REF!="Media",'Mapa final'!#REF!="Catastrófico"),CONCATENATE("R8C",'Mapa final'!#REF!),"")</f>
        <v>#REF!</v>
      </c>
      <c r="AJ33" s="44" t="e">
        <f>IF(AND('Mapa final'!#REF!="Media",'Mapa final'!#REF!="Catastrófico"),CONCATENATE("R8C",'Mapa final'!#REF!),"")</f>
        <v>#REF!</v>
      </c>
      <c r="AK33" s="44" t="e">
        <f>IF(AND('Mapa final'!#REF!="Media",'Mapa final'!#REF!="Catastrófico"),CONCATENATE("R8C",'Mapa final'!#REF!),"")</f>
        <v>#REF!</v>
      </c>
      <c r="AL33" s="44" t="e">
        <f>IF(AND('Mapa final'!#REF!="Media",'Mapa final'!#REF!="Catastrófico"),CONCATENATE("R8C",'Mapa final'!#REF!),"")</f>
        <v>#REF!</v>
      </c>
      <c r="AM33" s="45" t="e">
        <f>IF(AND('Mapa final'!#REF!="Media",'Mapa final'!#REF!="Catastrófico"),CONCATENATE("R8C",'Mapa final'!#REF!),"")</f>
        <v>#REF!</v>
      </c>
      <c r="AN33" s="72"/>
      <c r="AO33" s="567"/>
      <c r="AP33" s="568"/>
      <c r="AQ33" s="568"/>
      <c r="AR33" s="568"/>
      <c r="AS33" s="568"/>
      <c r="AT33" s="569"/>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row>
    <row r="34" spans="1:80" ht="15" customHeight="1" x14ac:dyDescent="0.25">
      <c r="A34" s="72"/>
      <c r="B34" s="521"/>
      <c r="C34" s="521"/>
      <c r="D34" s="522"/>
      <c r="E34" s="526"/>
      <c r="F34" s="527"/>
      <c r="G34" s="527"/>
      <c r="H34" s="527"/>
      <c r="I34" s="528"/>
      <c r="J34" s="56" t="e">
        <f>IF(AND('Mapa final'!#REF!="Media",'Mapa final'!#REF!="Leve"),CONCATENATE("R9C",'Mapa final'!#REF!),"")</f>
        <v>#REF!</v>
      </c>
      <c r="K34" s="57" t="e">
        <f>IF(AND('Mapa final'!#REF!="Media",'Mapa final'!#REF!="Leve"),CONCATENATE("R9C",'Mapa final'!#REF!),"")</f>
        <v>#REF!</v>
      </c>
      <c r="L34" s="57" t="e">
        <f>IF(AND('Mapa final'!#REF!="Media",'Mapa final'!#REF!="Leve"),CONCATENATE("R9C",'Mapa final'!#REF!),"")</f>
        <v>#REF!</v>
      </c>
      <c r="M34" s="57" t="e">
        <f>IF(AND('Mapa final'!#REF!="Media",'Mapa final'!#REF!="Leve"),CONCATENATE("R9C",'Mapa final'!#REF!),"")</f>
        <v>#REF!</v>
      </c>
      <c r="N34" s="57" t="e">
        <f>IF(AND('Mapa final'!#REF!="Media",'Mapa final'!#REF!="Leve"),CONCATENATE("R9C",'Mapa final'!#REF!),"")</f>
        <v>#REF!</v>
      </c>
      <c r="O34" s="58" t="e">
        <f>IF(AND('Mapa final'!#REF!="Media",'Mapa final'!#REF!="Leve"),CONCATENATE("R9C",'Mapa final'!#REF!),"")</f>
        <v>#REF!</v>
      </c>
      <c r="P34" s="56" t="e">
        <f>IF(AND('Mapa final'!#REF!="Media",'Mapa final'!#REF!="Menor"),CONCATENATE("R9C",'Mapa final'!#REF!),"")</f>
        <v>#REF!</v>
      </c>
      <c r="Q34" s="57" t="e">
        <f>IF(AND('Mapa final'!#REF!="Media",'Mapa final'!#REF!="Menor"),CONCATENATE("R9C",'Mapa final'!#REF!),"")</f>
        <v>#REF!</v>
      </c>
      <c r="R34" s="57" t="e">
        <f>IF(AND('Mapa final'!#REF!="Media",'Mapa final'!#REF!="Menor"),CONCATENATE("R9C",'Mapa final'!#REF!),"")</f>
        <v>#REF!</v>
      </c>
      <c r="S34" s="57" t="e">
        <f>IF(AND('Mapa final'!#REF!="Media",'Mapa final'!#REF!="Menor"),CONCATENATE("R9C",'Mapa final'!#REF!),"")</f>
        <v>#REF!</v>
      </c>
      <c r="T34" s="57" t="e">
        <f>IF(AND('Mapa final'!#REF!="Media",'Mapa final'!#REF!="Menor"),CONCATENATE("R9C",'Mapa final'!#REF!),"")</f>
        <v>#REF!</v>
      </c>
      <c r="U34" s="58" t="e">
        <f>IF(AND('Mapa final'!#REF!="Media",'Mapa final'!#REF!="Menor"),CONCATENATE("R9C",'Mapa final'!#REF!),"")</f>
        <v>#REF!</v>
      </c>
      <c r="V34" s="56" t="e">
        <f>IF(AND('Mapa final'!#REF!="Media",'Mapa final'!#REF!="Moderado"),CONCATENATE("R9C",'Mapa final'!#REF!),"")</f>
        <v>#REF!</v>
      </c>
      <c r="W34" s="57" t="e">
        <f>IF(AND('Mapa final'!#REF!="Media",'Mapa final'!#REF!="Moderado"),CONCATENATE("R9C",'Mapa final'!#REF!),"")</f>
        <v>#REF!</v>
      </c>
      <c r="X34" s="57" t="e">
        <f>IF(AND('Mapa final'!#REF!="Media",'Mapa final'!#REF!="Moderado"),CONCATENATE("R9C",'Mapa final'!#REF!),"")</f>
        <v>#REF!</v>
      </c>
      <c r="Y34" s="57" t="e">
        <f>IF(AND('Mapa final'!#REF!="Media",'Mapa final'!#REF!="Moderado"),CONCATENATE("R9C",'Mapa final'!#REF!),"")</f>
        <v>#REF!</v>
      </c>
      <c r="Z34" s="57" t="e">
        <f>IF(AND('Mapa final'!#REF!="Media",'Mapa final'!#REF!="Moderado"),CONCATENATE("R9C",'Mapa final'!#REF!),"")</f>
        <v>#REF!</v>
      </c>
      <c r="AA34" s="58" t="e">
        <f>IF(AND('Mapa final'!#REF!="Media",'Mapa final'!#REF!="Moderado"),CONCATENATE("R9C",'Mapa final'!#REF!),"")</f>
        <v>#REF!</v>
      </c>
      <c r="AB34" s="40" t="e">
        <f>IF(AND('Mapa final'!#REF!="Media",'Mapa final'!#REF!="Mayor"),CONCATENATE("R9C",'Mapa final'!#REF!),"")</f>
        <v>#REF!</v>
      </c>
      <c r="AC34" s="41" t="e">
        <f>IF(AND('Mapa final'!#REF!="Media",'Mapa final'!#REF!="Mayor"),CONCATENATE("R9C",'Mapa final'!#REF!),"")</f>
        <v>#REF!</v>
      </c>
      <c r="AD34" s="46" t="e">
        <f>IF(AND('Mapa final'!#REF!="Media",'Mapa final'!#REF!="Mayor"),CONCATENATE("R9C",'Mapa final'!#REF!),"")</f>
        <v>#REF!</v>
      </c>
      <c r="AE34" s="46" t="e">
        <f>IF(AND('Mapa final'!#REF!="Media",'Mapa final'!#REF!="Mayor"),CONCATENATE("R9C",'Mapa final'!#REF!),"")</f>
        <v>#REF!</v>
      </c>
      <c r="AF34" s="46" t="e">
        <f>IF(AND('Mapa final'!#REF!="Media",'Mapa final'!#REF!="Mayor"),CONCATENATE("R9C",'Mapa final'!#REF!),"")</f>
        <v>#REF!</v>
      </c>
      <c r="AG34" s="42" t="e">
        <f>IF(AND('Mapa final'!#REF!="Media",'Mapa final'!#REF!="Mayor"),CONCATENATE("R9C",'Mapa final'!#REF!),"")</f>
        <v>#REF!</v>
      </c>
      <c r="AH34" s="43" t="e">
        <f>IF(AND('Mapa final'!#REF!="Media",'Mapa final'!#REF!="Catastrófico"),CONCATENATE("R9C",'Mapa final'!#REF!),"")</f>
        <v>#REF!</v>
      </c>
      <c r="AI34" s="44" t="e">
        <f>IF(AND('Mapa final'!#REF!="Media",'Mapa final'!#REF!="Catastrófico"),CONCATENATE("R9C",'Mapa final'!#REF!),"")</f>
        <v>#REF!</v>
      </c>
      <c r="AJ34" s="44" t="e">
        <f>IF(AND('Mapa final'!#REF!="Media",'Mapa final'!#REF!="Catastrófico"),CONCATENATE("R9C",'Mapa final'!#REF!),"")</f>
        <v>#REF!</v>
      </c>
      <c r="AK34" s="44" t="e">
        <f>IF(AND('Mapa final'!#REF!="Media",'Mapa final'!#REF!="Catastrófico"),CONCATENATE("R9C",'Mapa final'!#REF!),"")</f>
        <v>#REF!</v>
      </c>
      <c r="AL34" s="44" t="e">
        <f>IF(AND('Mapa final'!#REF!="Media",'Mapa final'!#REF!="Catastrófico"),CONCATENATE("R9C",'Mapa final'!#REF!),"")</f>
        <v>#REF!</v>
      </c>
      <c r="AM34" s="45" t="e">
        <f>IF(AND('Mapa final'!#REF!="Media",'Mapa final'!#REF!="Catastrófico"),CONCATENATE("R9C",'Mapa final'!#REF!),"")</f>
        <v>#REF!</v>
      </c>
      <c r="AN34" s="72"/>
      <c r="AO34" s="567"/>
      <c r="AP34" s="568"/>
      <c r="AQ34" s="568"/>
      <c r="AR34" s="568"/>
      <c r="AS34" s="568"/>
      <c r="AT34" s="569"/>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c r="BV34" s="72"/>
      <c r="BW34" s="72"/>
      <c r="BX34" s="72"/>
    </row>
    <row r="35" spans="1:80" ht="15.75" customHeight="1" thickBot="1" x14ac:dyDescent="0.3">
      <c r="A35" s="72"/>
      <c r="B35" s="521"/>
      <c r="C35" s="521"/>
      <c r="D35" s="522"/>
      <c r="E35" s="529"/>
      <c r="F35" s="530"/>
      <c r="G35" s="530"/>
      <c r="H35" s="530"/>
      <c r="I35" s="531"/>
      <c r="J35" s="56" t="e">
        <f>IF(AND('Mapa final'!#REF!="Media",'Mapa final'!#REF!="Leve"),CONCATENATE("R10C",'Mapa final'!#REF!),"")</f>
        <v>#REF!</v>
      </c>
      <c r="K35" s="57" t="e">
        <f>IF(AND('Mapa final'!#REF!="Media",'Mapa final'!#REF!="Leve"),CONCATENATE("R10C",'Mapa final'!#REF!),"")</f>
        <v>#REF!</v>
      </c>
      <c r="L35" s="57" t="e">
        <f>IF(AND('Mapa final'!#REF!="Media",'Mapa final'!#REF!="Leve"),CONCATENATE("R10C",'Mapa final'!#REF!),"")</f>
        <v>#REF!</v>
      </c>
      <c r="M35" s="57" t="e">
        <f>IF(AND('Mapa final'!#REF!="Media",'Mapa final'!#REF!="Leve"),CONCATENATE("R10C",'Mapa final'!#REF!),"")</f>
        <v>#REF!</v>
      </c>
      <c r="N35" s="57" t="e">
        <f>IF(AND('Mapa final'!#REF!="Media",'Mapa final'!#REF!="Leve"),CONCATENATE("R10C",'Mapa final'!#REF!),"")</f>
        <v>#REF!</v>
      </c>
      <c r="O35" s="58" t="e">
        <f>IF(AND('Mapa final'!#REF!="Media",'Mapa final'!#REF!="Leve"),CONCATENATE("R10C",'Mapa final'!#REF!),"")</f>
        <v>#REF!</v>
      </c>
      <c r="P35" s="56" t="e">
        <f>IF(AND('Mapa final'!#REF!="Media",'Mapa final'!#REF!="Menor"),CONCATENATE("R10C",'Mapa final'!#REF!),"")</f>
        <v>#REF!</v>
      </c>
      <c r="Q35" s="57" t="e">
        <f>IF(AND('Mapa final'!#REF!="Media",'Mapa final'!#REF!="Menor"),CONCATENATE("R10C",'Mapa final'!#REF!),"")</f>
        <v>#REF!</v>
      </c>
      <c r="R35" s="57" t="e">
        <f>IF(AND('Mapa final'!#REF!="Media",'Mapa final'!#REF!="Menor"),CONCATENATE("R10C",'Mapa final'!#REF!),"")</f>
        <v>#REF!</v>
      </c>
      <c r="S35" s="57" t="e">
        <f>IF(AND('Mapa final'!#REF!="Media",'Mapa final'!#REF!="Menor"),CONCATENATE("R10C",'Mapa final'!#REF!),"")</f>
        <v>#REF!</v>
      </c>
      <c r="T35" s="57" t="e">
        <f>IF(AND('Mapa final'!#REF!="Media",'Mapa final'!#REF!="Menor"),CONCATENATE("R10C",'Mapa final'!#REF!),"")</f>
        <v>#REF!</v>
      </c>
      <c r="U35" s="58" t="e">
        <f>IF(AND('Mapa final'!#REF!="Media",'Mapa final'!#REF!="Menor"),CONCATENATE("R10C",'Mapa final'!#REF!),"")</f>
        <v>#REF!</v>
      </c>
      <c r="V35" s="56" t="e">
        <f>IF(AND('Mapa final'!#REF!="Media",'Mapa final'!#REF!="Moderado"),CONCATENATE("R10C",'Mapa final'!#REF!),"")</f>
        <v>#REF!</v>
      </c>
      <c r="W35" s="57" t="e">
        <f>IF(AND('Mapa final'!#REF!="Media",'Mapa final'!#REF!="Moderado"),CONCATENATE("R10C",'Mapa final'!#REF!),"")</f>
        <v>#REF!</v>
      </c>
      <c r="X35" s="57" t="e">
        <f>IF(AND('Mapa final'!#REF!="Media",'Mapa final'!#REF!="Moderado"),CONCATENATE("R10C",'Mapa final'!#REF!),"")</f>
        <v>#REF!</v>
      </c>
      <c r="Y35" s="57" t="e">
        <f>IF(AND('Mapa final'!#REF!="Media",'Mapa final'!#REF!="Moderado"),CONCATENATE("R10C",'Mapa final'!#REF!),"")</f>
        <v>#REF!</v>
      </c>
      <c r="Z35" s="57" t="e">
        <f>IF(AND('Mapa final'!#REF!="Media",'Mapa final'!#REF!="Moderado"),CONCATENATE("R10C",'Mapa final'!#REF!),"")</f>
        <v>#REF!</v>
      </c>
      <c r="AA35" s="58" t="e">
        <f>IF(AND('Mapa final'!#REF!="Media",'Mapa final'!#REF!="Moderado"),CONCATENATE("R10C",'Mapa final'!#REF!),"")</f>
        <v>#REF!</v>
      </c>
      <c r="AB35" s="47" t="e">
        <f>IF(AND('Mapa final'!#REF!="Media",'Mapa final'!#REF!="Mayor"),CONCATENATE("R10C",'Mapa final'!#REF!),"")</f>
        <v>#REF!</v>
      </c>
      <c r="AC35" s="48" t="e">
        <f>IF(AND('Mapa final'!#REF!="Media",'Mapa final'!#REF!="Mayor"),CONCATENATE("R10C",'Mapa final'!#REF!),"")</f>
        <v>#REF!</v>
      </c>
      <c r="AD35" s="48" t="e">
        <f>IF(AND('Mapa final'!#REF!="Media",'Mapa final'!#REF!="Mayor"),CONCATENATE("R10C",'Mapa final'!#REF!),"")</f>
        <v>#REF!</v>
      </c>
      <c r="AE35" s="48" t="e">
        <f>IF(AND('Mapa final'!#REF!="Media",'Mapa final'!#REF!="Mayor"),CONCATENATE("R10C",'Mapa final'!#REF!),"")</f>
        <v>#REF!</v>
      </c>
      <c r="AF35" s="48" t="e">
        <f>IF(AND('Mapa final'!#REF!="Media",'Mapa final'!#REF!="Mayor"),CONCATENATE("R10C",'Mapa final'!#REF!),"")</f>
        <v>#REF!</v>
      </c>
      <c r="AG35" s="49" t="e">
        <f>IF(AND('Mapa final'!#REF!="Media",'Mapa final'!#REF!="Mayor"),CONCATENATE("R10C",'Mapa final'!#REF!),"")</f>
        <v>#REF!</v>
      </c>
      <c r="AH35" s="50" t="e">
        <f>IF(AND('Mapa final'!#REF!="Media",'Mapa final'!#REF!="Catastrófico"),CONCATENATE("R10C",'Mapa final'!#REF!),"")</f>
        <v>#REF!</v>
      </c>
      <c r="AI35" s="51" t="e">
        <f>IF(AND('Mapa final'!#REF!="Media",'Mapa final'!#REF!="Catastrófico"),CONCATENATE("R10C",'Mapa final'!#REF!),"")</f>
        <v>#REF!</v>
      </c>
      <c r="AJ35" s="51" t="e">
        <f>IF(AND('Mapa final'!#REF!="Media",'Mapa final'!#REF!="Catastrófico"),CONCATENATE("R10C",'Mapa final'!#REF!),"")</f>
        <v>#REF!</v>
      </c>
      <c r="AK35" s="51" t="e">
        <f>IF(AND('Mapa final'!#REF!="Media",'Mapa final'!#REF!="Catastrófico"),CONCATENATE("R10C",'Mapa final'!#REF!),"")</f>
        <v>#REF!</v>
      </c>
      <c r="AL35" s="51" t="e">
        <f>IF(AND('Mapa final'!#REF!="Media",'Mapa final'!#REF!="Catastrófico"),CONCATENATE("R10C",'Mapa final'!#REF!),"")</f>
        <v>#REF!</v>
      </c>
      <c r="AM35" s="52" t="e">
        <f>IF(AND('Mapa final'!#REF!="Media",'Mapa final'!#REF!="Catastrófico"),CONCATENATE("R10C",'Mapa final'!#REF!),"")</f>
        <v>#REF!</v>
      </c>
      <c r="AN35" s="72"/>
      <c r="AO35" s="570"/>
      <c r="AP35" s="571"/>
      <c r="AQ35" s="571"/>
      <c r="AR35" s="571"/>
      <c r="AS35" s="571"/>
      <c r="AT35" s="5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row>
    <row r="36" spans="1:80" ht="15" customHeight="1" x14ac:dyDescent="0.25">
      <c r="A36" s="72"/>
      <c r="B36" s="521"/>
      <c r="C36" s="521"/>
      <c r="D36" s="522"/>
      <c r="E36" s="523" t="s">
        <v>112</v>
      </c>
      <c r="F36" s="524"/>
      <c r="G36" s="524"/>
      <c r="H36" s="524"/>
      <c r="I36" s="524"/>
      <c r="J36" s="62" t="str">
        <f>IF(AND('Mapa final'!$AA$13="Baja",'Mapa final'!$AC$13="Leve"),CONCATENATE("R1C",'Mapa final'!$Q$13),"")</f>
        <v/>
      </c>
      <c r="K36" s="63" t="str">
        <f>IF(AND('Mapa final'!$AA$14="Baja",'Mapa final'!$AC$14="Leve"),CONCATENATE("R1C",'Mapa final'!$Q$14),"")</f>
        <v/>
      </c>
      <c r="L36" s="63" t="str">
        <f>IF(AND('Mapa final'!$AA$15="Baja",'Mapa final'!$AC$15="Leve"),CONCATENATE("R1C",'Mapa final'!$Q$15),"")</f>
        <v/>
      </c>
      <c r="M36" s="63" t="str">
        <f>IF(AND('Mapa final'!$AA$16="Baja",'Mapa final'!$AC$16="Leve"),CONCATENATE("R1C",'Mapa final'!$Q$16),"")</f>
        <v/>
      </c>
      <c r="N36" s="63" t="str">
        <f>IF(AND('Mapa final'!$AA$17="Baja",'Mapa final'!$AC$17="Leve"),CONCATENATE("R1C",'Mapa final'!$Q$17),"")</f>
        <v/>
      </c>
      <c r="O36" s="64" t="str">
        <f>IF(AND('Mapa final'!$AA$18="Baja",'Mapa final'!$AC$18="Leve"),CONCATENATE("R1C",'Mapa final'!$Q$18),"")</f>
        <v/>
      </c>
      <c r="P36" s="53" t="str">
        <f>IF(AND('Mapa final'!$AA$13="Baja",'Mapa final'!$AC$13="Menor"),CONCATENATE("R1C",'Mapa final'!$Q$13),"")</f>
        <v/>
      </c>
      <c r="Q36" s="54" t="str">
        <f>IF(AND('Mapa final'!$AA$14="Baja",'Mapa final'!$AC$14="Menor"),CONCATENATE("R1C",'Mapa final'!$Q$14),"")</f>
        <v/>
      </c>
      <c r="R36" s="54" t="str">
        <f>IF(AND('Mapa final'!$AA$15="Baja",'Mapa final'!$AC$15="Menor"),CONCATENATE("R1C",'Mapa final'!$Q$15),"")</f>
        <v/>
      </c>
      <c r="S36" s="54" t="str">
        <f>IF(AND('Mapa final'!$AA$16="Baja",'Mapa final'!$AC$16="Menor"),CONCATENATE("R1C",'Mapa final'!$Q$16),"")</f>
        <v/>
      </c>
      <c r="T36" s="54" t="str">
        <f>IF(AND('Mapa final'!$AA$17="Baja",'Mapa final'!$AC$17="Menor"),CONCATENATE("R1C",'Mapa final'!$Q$17),"")</f>
        <v/>
      </c>
      <c r="U36" s="55" t="str">
        <f>IF(AND('Mapa final'!$AA$18="Baja",'Mapa final'!$AC$18="Menor"),CONCATENATE("R1C",'Mapa final'!$Q$18),"")</f>
        <v/>
      </c>
      <c r="V36" s="53" t="str">
        <f>IF(AND('Mapa final'!$AA$13="Baja",'Mapa final'!$AC$13="Moderado"),CONCATENATE("R1C",'Mapa final'!$Q$13),"")</f>
        <v/>
      </c>
      <c r="W36" s="54" t="str">
        <f>IF(AND('Mapa final'!$AA$14="Baja",'Mapa final'!$AC$14="Moderado"),CONCATENATE("R1C",'Mapa final'!$Q$14),"")</f>
        <v/>
      </c>
      <c r="X36" s="54" t="str">
        <f>IF(AND('Mapa final'!$AA$15="Baja",'Mapa final'!$AC$15="Moderado"),CONCATENATE("R1C",'Mapa final'!$Q$15),"")</f>
        <v/>
      </c>
      <c r="Y36" s="54" t="str">
        <f>IF(AND('Mapa final'!$AA$16="Baja",'Mapa final'!$AC$16="Moderado"),CONCATENATE("R1C",'Mapa final'!$Q$16),"")</f>
        <v/>
      </c>
      <c r="Z36" s="54" t="str">
        <f>IF(AND('Mapa final'!$AA$17="Baja",'Mapa final'!$AC$17="Moderado"),CONCATENATE("R1C",'Mapa final'!$Q$17),"")</f>
        <v/>
      </c>
      <c r="AA36" s="55" t="str">
        <f>IF(AND('Mapa final'!$AA$18="Baja",'Mapa final'!$AC$18="Moderado"),CONCATENATE("R1C",'Mapa final'!$Q$18),"")</f>
        <v/>
      </c>
      <c r="AB36" s="34" t="str">
        <f>IF(AND('Mapa final'!$AA$13="Baja",'Mapa final'!$AC$13="Mayor"),CONCATENATE("R1C",'Mapa final'!$Q$13),"")</f>
        <v/>
      </c>
      <c r="AC36" s="35" t="str">
        <f>IF(AND('Mapa final'!$AA$14="Baja",'Mapa final'!$AC$14="Mayor"),CONCATENATE("R1C",'Mapa final'!$Q$14),"")</f>
        <v/>
      </c>
      <c r="AD36" s="35" t="str">
        <f>IF(AND('Mapa final'!$AA$15="Baja",'Mapa final'!$AC$15="Mayor"),CONCATENATE("R1C",'Mapa final'!$Q$15),"")</f>
        <v/>
      </c>
      <c r="AE36" s="35" t="str">
        <f>IF(AND('Mapa final'!$AA$16="Baja",'Mapa final'!$AC$16="Mayor"),CONCATENATE("R1C",'Mapa final'!$Q$16),"")</f>
        <v/>
      </c>
      <c r="AF36" s="35" t="str">
        <f>IF(AND('Mapa final'!$AA$17="Baja",'Mapa final'!$AC$17="Mayor"),CONCATENATE("R1C",'Mapa final'!$Q$17),"")</f>
        <v/>
      </c>
      <c r="AG36" s="36" t="str">
        <f>IF(AND('Mapa final'!$AA$18="Baja",'Mapa final'!$AC$18="Mayor"),CONCATENATE("R1C",'Mapa final'!$Q$18),"")</f>
        <v/>
      </c>
      <c r="AH36" s="37" t="str">
        <f>IF(AND('Mapa final'!$AA$13="Baja",'Mapa final'!$AC$13="Catastrófico"),CONCATENATE("R1C",'Mapa final'!$Q$13),"")</f>
        <v/>
      </c>
      <c r="AI36" s="38" t="str">
        <f>IF(AND('Mapa final'!$AA$14="Baja",'Mapa final'!$AC$14="Catastrófico"),CONCATENATE("R1C",'Mapa final'!$Q$14),"")</f>
        <v/>
      </c>
      <c r="AJ36" s="38" t="str">
        <f>IF(AND('Mapa final'!$AA$15="Baja",'Mapa final'!$AC$15="Catastrófico"),CONCATENATE("R1C",'Mapa final'!$Q$15),"")</f>
        <v/>
      </c>
      <c r="AK36" s="38" t="str">
        <f>IF(AND('Mapa final'!$AA$16="Baja",'Mapa final'!$AC$16="Catastrófico"),CONCATENATE("R1C",'Mapa final'!$Q$16),"")</f>
        <v/>
      </c>
      <c r="AL36" s="38" t="str">
        <f>IF(AND('Mapa final'!$AA$17="Baja",'Mapa final'!$AC$17="Catastrófico"),CONCATENATE("R1C",'Mapa final'!$Q$17),"")</f>
        <v/>
      </c>
      <c r="AM36" s="39" t="str">
        <f>IF(AND('Mapa final'!$AA$18="Baja",'Mapa final'!$AC$18="Catastrófico"),CONCATENATE("R1C",'Mapa final'!$Q$18),"")</f>
        <v/>
      </c>
      <c r="AN36" s="72"/>
      <c r="AO36" s="546" t="s">
        <v>82</v>
      </c>
      <c r="AP36" s="547"/>
      <c r="AQ36" s="547"/>
      <c r="AR36" s="547"/>
      <c r="AS36" s="547"/>
      <c r="AT36" s="548"/>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c r="BT36" s="72"/>
      <c r="BU36" s="72"/>
      <c r="BV36" s="72"/>
      <c r="BW36" s="72"/>
      <c r="BX36" s="72"/>
    </row>
    <row r="37" spans="1:80" ht="15" customHeight="1" x14ac:dyDescent="0.25">
      <c r="A37" s="72"/>
      <c r="B37" s="521"/>
      <c r="C37" s="521"/>
      <c r="D37" s="522"/>
      <c r="E37" s="533"/>
      <c r="F37" s="534"/>
      <c r="G37" s="534"/>
      <c r="H37" s="534"/>
      <c r="I37" s="534"/>
      <c r="J37" s="65" t="e">
        <f>IF(AND('Mapa final'!#REF!="Baja",'Mapa final'!#REF!="Leve"),CONCATENATE("R2C",'Mapa final'!#REF!),"")</f>
        <v>#REF!</v>
      </c>
      <c r="K37" s="66" t="e">
        <f>IF(AND('Mapa final'!#REF!="Baja",'Mapa final'!#REF!="Leve"),CONCATENATE("R2C",'Mapa final'!#REF!),"")</f>
        <v>#REF!</v>
      </c>
      <c r="L37" s="66" t="e">
        <f>IF(AND('Mapa final'!#REF!="Baja",'Mapa final'!#REF!="Leve"),CONCATENATE("R2C",'Mapa final'!#REF!),"")</f>
        <v>#REF!</v>
      </c>
      <c r="M37" s="66" t="e">
        <f>IF(AND('Mapa final'!#REF!="Baja",'Mapa final'!#REF!="Leve"),CONCATENATE("R2C",'Mapa final'!#REF!),"")</f>
        <v>#REF!</v>
      </c>
      <c r="N37" s="66" t="e">
        <f>IF(AND('Mapa final'!#REF!="Baja",'Mapa final'!#REF!="Leve"),CONCATENATE("R2C",'Mapa final'!#REF!),"")</f>
        <v>#REF!</v>
      </c>
      <c r="O37" s="67" t="e">
        <f>IF(AND('Mapa final'!#REF!="Baja",'Mapa final'!#REF!="Leve"),CONCATENATE("R2C",'Mapa final'!#REF!),"")</f>
        <v>#REF!</v>
      </c>
      <c r="P37" s="56" t="e">
        <f>IF(AND('Mapa final'!#REF!="Baja",'Mapa final'!#REF!="Menor"),CONCATENATE("R2C",'Mapa final'!#REF!),"")</f>
        <v>#REF!</v>
      </c>
      <c r="Q37" s="57" t="e">
        <f>IF(AND('Mapa final'!#REF!="Baja",'Mapa final'!#REF!="Menor"),CONCATENATE("R2C",'Mapa final'!#REF!),"")</f>
        <v>#REF!</v>
      </c>
      <c r="R37" s="57" t="e">
        <f>IF(AND('Mapa final'!#REF!="Baja",'Mapa final'!#REF!="Menor"),CONCATENATE("R2C",'Mapa final'!#REF!),"")</f>
        <v>#REF!</v>
      </c>
      <c r="S37" s="57" t="e">
        <f>IF(AND('Mapa final'!#REF!="Baja",'Mapa final'!#REF!="Menor"),CONCATENATE("R2C",'Mapa final'!#REF!),"")</f>
        <v>#REF!</v>
      </c>
      <c r="T37" s="57" t="e">
        <f>IF(AND('Mapa final'!#REF!="Baja",'Mapa final'!#REF!="Menor"),CONCATENATE("R2C",'Mapa final'!#REF!),"")</f>
        <v>#REF!</v>
      </c>
      <c r="U37" s="58" t="e">
        <f>IF(AND('Mapa final'!#REF!="Baja",'Mapa final'!#REF!="Menor"),CONCATENATE("R2C",'Mapa final'!#REF!),"")</f>
        <v>#REF!</v>
      </c>
      <c r="V37" s="56" t="e">
        <f>IF(AND('Mapa final'!#REF!="Baja",'Mapa final'!#REF!="Moderado"),CONCATENATE("R2C",'Mapa final'!#REF!),"")</f>
        <v>#REF!</v>
      </c>
      <c r="W37" s="57" t="e">
        <f>IF(AND('Mapa final'!#REF!="Baja",'Mapa final'!#REF!="Moderado"),CONCATENATE("R2C",'Mapa final'!#REF!),"")</f>
        <v>#REF!</v>
      </c>
      <c r="X37" s="57" t="e">
        <f>IF(AND('Mapa final'!#REF!="Baja",'Mapa final'!#REF!="Moderado"),CONCATENATE("R2C",'Mapa final'!#REF!),"")</f>
        <v>#REF!</v>
      </c>
      <c r="Y37" s="57" t="e">
        <f>IF(AND('Mapa final'!#REF!="Baja",'Mapa final'!#REF!="Moderado"),CONCATENATE("R2C",'Mapa final'!#REF!),"")</f>
        <v>#REF!</v>
      </c>
      <c r="Z37" s="57" t="e">
        <f>IF(AND('Mapa final'!#REF!="Baja",'Mapa final'!#REF!="Moderado"),CONCATENATE("R2C",'Mapa final'!#REF!),"")</f>
        <v>#REF!</v>
      </c>
      <c r="AA37" s="58" t="e">
        <f>IF(AND('Mapa final'!#REF!="Baja",'Mapa final'!#REF!="Moderado"),CONCATENATE("R2C",'Mapa final'!#REF!),"")</f>
        <v>#REF!</v>
      </c>
      <c r="AB37" s="40" t="e">
        <f>IF(AND('Mapa final'!#REF!="Baja",'Mapa final'!#REF!="Mayor"),CONCATENATE("R2C",'Mapa final'!#REF!),"")</f>
        <v>#REF!</v>
      </c>
      <c r="AC37" s="41" t="e">
        <f>IF(AND('Mapa final'!#REF!="Baja",'Mapa final'!#REF!="Mayor"),CONCATENATE("R2C",'Mapa final'!#REF!),"")</f>
        <v>#REF!</v>
      </c>
      <c r="AD37" s="41" t="e">
        <f>IF(AND('Mapa final'!#REF!="Baja",'Mapa final'!#REF!="Mayor"),CONCATENATE("R2C",'Mapa final'!#REF!),"")</f>
        <v>#REF!</v>
      </c>
      <c r="AE37" s="41" t="e">
        <f>IF(AND('Mapa final'!#REF!="Baja",'Mapa final'!#REF!="Mayor"),CONCATENATE("R2C",'Mapa final'!#REF!),"")</f>
        <v>#REF!</v>
      </c>
      <c r="AF37" s="41" t="e">
        <f>IF(AND('Mapa final'!#REF!="Baja",'Mapa final'!#REF!="Mayor"),CONCATENATE("R2C",'Mapa final'!#REF!),"")</f>
        <v>#REF!</v>
      </c>
      <c r="AG37" s="42" t="e">
        <f>IF(AND('Mapa final'!#REF!="Baja",'Mapa final'!#REF!="Mayor"),CONCATENATE("R2C",'Mapa final'!#REF!),"")</f>
        <v>#REF!</v>
      </c>
      <c r="AH37" s="43" t="e">
        <f>IF(AND('Mapa final'!#REF!="Baja",'Mapa final'!#REF!="Catastrófico"),CONCATENATE("R2C",'Mapa final'!#REF!),"")</f>
        <v>#REF!</v>
      </c>
      <c r="AI37" s="44" t="e">
        <f>IF(AND('Mapa final'!#REF!="Baja",'Mapa final'!#REF!="Catastrófico"),CONCATENATE("R2C",'Mapa final'!#REF!),"")</f>
        <v>#REF!</v>
      </c>
      <c r="AJ37" s="44" t="e">
        <f>IF(AND('Mapa final'!#REF!="Baja",'Mapa final'!#REF!="Catastrófico"),CONCATENATE("R2C",'Mapa final'!#REF!),"")</f>
        <v>#REF!</v>
      </c>
      <c r="AK37" s="44" t="e">
        <f>IF(AND('Mapa final'!#REF!="Baja",'Mapa final'!#REF!="Catastrófico"),CONCATENATE("R2C",'Mapa final'!#REF!),"")</f>
        <v>#REF!</v>
      </c>
      <c r="AL37" s="44" t="e">
        <f>IF(AND('Mapa final'!#REF!="Baja",'Mapa final'!#REF!="Catastrófico"),CONCATENATE("R2C",'Mapa final'!#REF!),"")</f>
        <v>#REF!</v>
      </c>
      <c r="AM37" s="45" t="e">
        <f>IF(AND('Mapa final'!#REF!="Baja",'Mapa final'!#REF!="Catastrófico"),CONCATENATE("R2C",'Mapa final'!#REF!),"")</f>
        <v>#REF!</v>
      </c>
      <c r="AN37" s="72"/>
      <c r="AO37" s="549"/>
      <c r="AP37" s="550"/>
      <c r="AQ37" s="550"/>
      <c r="AR37" s="550"/>
      <c r="AS37" s="550"/>
      <c r="AT37" s="551"/>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row>
    <row r="38" spans="1:80" ht="15" customHeight="1" x14ac:dyDescent="0.25">
      <c r="A38" s="72"/>
      <c r="B38" s="521"/>
      <c r="C38" s="521"/>
      <c r="D38" s="522"/>
      <c r="E38" s="526"/>
      <c r="F38" s="527"/>
      <c r="G38" s="527"/>
      <c r="H38" s="527"/>
      <c r="I38" s="534"/>
      <c r="J38" s="65" t="e">
        <f>IF(AND('Mapa final'!#REF!="Baja",'Mapa final'!#REF!="Leve"),CONCATENATE("R3C",'Mapa final'!#REF!),"")</f>
        <v>#REF!</v>
      </c>
      <c r="K38" s="66" t="e">
        <f>IF(AND('Mapa final'!#REF!="Baja",'Mapa final'!#REF!="Leve"),CONCATENATE("R3C",'Mapa final'!#REF!),"")</f>
        <v>#REF!</v>
      </c>
      <c r="L38" s="66" t="e">
        <f>IF(AND('Mapa final'!#REF!="Baja",'Mapa final'!#REF!="Leve"),CONCATENATE("R3C",'Mapa final'!#REF!),"")</f>
        <v>#REF!</v>
      </c>
      <c r="M38" s="66" t="e">
        <f>IF(AND('Mapa final'!#REF!="Baja",'Mapa final'!#REF!="Leve"),CONCATENATE("R3C",'Mapa final'!#REF!),"")</f>
        <v>#REF!</v>
      </c>
      <c r="N38" s="66" t="e">
        <f>IF(AND('Mapa final'!#REF!="Baja",'Mapa final'!#REF!="Leve"),CONCATENATE("R3C",'Mapa final'!#REF!),"")</f>
        <v>#REF!</v>
      </c>
      <c r="O38" s="67" t="e">
        <f>IF(AND('Mapa final'!#REF!="Baja",'Mapa final'!#REF!="Leve"),CONCATENATE("R3C",'Mapa final'!#REF!),"")</f>
        <v>#REF!</v>
      </c>
      <c r="P38" s="56" t="e">
        <f>IF(AND('Mapa final'!#REF!="Baja",'Mapa final'!#REF!="Menor"),CONCATENATE("R3C",'Mapa final'!#REF!),"")</f>
        <v>#REF!</v>
      </c>
      <c r="Q38" s="57" t="e">
        <f>IF(AND('Mapa final'!#REF!="Baja",'Mapa final'!#REF!="Menor"),CONCATENATE("R3C",'Mapa final'!#REF!),"")</f>
        <v>#REF!</v>
      </c>
      <c r="R38" s="57" t="e">
        <f>IF(AND('Mapa final'!#REF!="Baja",'Mapa final'!#REF!="Menor"),CONCATENATE("R3C",'Mapa final'!#REF!),"")</f>
        <v>#REF!</v>
      </c>
      <c r="S38" s="57" t="e">
        <f>IF(AND('Mapa final'!#REF!="Baja",'Mapa final'!#REF!="Menor"),CONCATENATE("R3C",'Mapa final'!#REF!),"")</f>
        <v>#REF!</v>
      </c>
      <c r="T38" s="57" t="e">
        <f>IF(AND('Mapa final'!#REF!="Baja",'Mapa final'!#REF!="Menor"),CONCATENATE("R3C",'Mapa final'!#REF!),"")</f>
        <v>#REF!</v>
      </c>
      <c r="U38" s="58" t="e">
        <f>IF(AND('Mapa final'!#REF!="Baja",'Mapa final'!#REF!="Menor"),CONCATENATE("R3C",'Mapa final'!#REF!),"")</f>
        <v>#REF!</v>
      </c>
      <c r="V38" s="56" t="e">
        <f>IF(AND('Mapa final'!#REF!="Baja",'Mapa final'!#REF!="Moderado"),CONCATENATE("R3C",'Mapa final'!#REF!),"")</f>
        <v>#REF!</v>
      </c>
      <c r="W38" s="57" t="e">
        <f>IF(AND('Mapa final'!#REF!="Baja",'Mapa final'!#REF!="Moderado"),CONCATENATE("R3C",'Mapa final'!#REF!),"")</f>
        <v>#REF!</v>
      </c>
      <c r="X38" s="57" t="e">
        <f>IF(AND('Mapa final'!#REF!="Baja",'Mapa final'!#REF!="Moderado"),CONCATENATE("R3C",'Mapa final'!#REF!),"")</f>
        <v>#REF!</v>
      </c>
      <c r="Y38" s="57" t="e">
        <f>IF(AND('Mapa final'!#REF!="Baja",'Mapa final'!#REF!="Moderado"),CONCATENATE("R3C",'Mapa final'!#REF!),"")</f>
        <v>#REF!</v>
      </c>
      <c r="Z38" s="57" t="e">
        <f>IF(AND('Mapa final'!#REF!="Baja",'Mapa final'!#REF!="Moderado"),CONCATENATE("R3C",'Mapa final'!#REF!),"")</f>
        <v>#REF!</v>
      </c>
      <c r="AA38" s="58" t="e">
        <f>IF(AND('Mapa final'!#REF!="Baja",'Mapa final'!#REF!="Moderado"),CONCATENATE("R3C",'Mapa final'!#REF!),"")</f>
        <v>#REF!</v>
      </c>
      <c r="AB38" s="40" t="e">
        <f>IF(AND('Mapa final'!#REF!="Baja",'Mapa final'!#REF!="Mayor"),CONCATENATE("R3C",'Mapa final'!#REF!),"")</f>
        <v>#REF!</v>
      </c>
      <c r="AC38" s="41" t="e">
        <f>IF(AND('Mapa final'!#REF!="Baja",'Mapa final'!#REF!="Mayor"),CONCATENATE("R3C",'Mapa final'!#REF!),"")</f>
        <v>#REF!</v>
      </c>
      <c r="AD38" s="41" t="e">
        <f>IF(AND('Mapa final'!#REF!="Baja",'Mapa final'!#REF!="Mayor"),CONCATENATE("R3C",'Mapa final'!#REF!),"")</f>
        <v>#REF!</v>
      </c>
      <c r="AE38" s="41" t="e">
        <f>IF(AND('Mapa final'!#REF!="Baja",'Mapa final'!#REF!="Mayor"),CONCATENATE("R3C",'Mapa final'!#REF!),"")</f>
        <v>#REF!</v>
      </c>
      <c r="AF38" s="41" t="e">
        <f>IF(AND('Mapa final'!#REF!="Baja",'Mapa final'!#REF!="Mayor"),CONCATENATE("R3C",'Mapa final'!#REF!),"")</f>
        <v>#REF!</v>
      </c>
      <c r="AG38" s="42" t="e">
        <f>IF(AND('Mapa final'!#REF!="Baja",'Mapa final'!#REF!="Mayor"),CONCATENATE("R3C",'Mapa final'!#REF!),"")</f>
        <v>#REF!</v>
      </c>
      <c r="AH38" s="43" t="e">
        <f>IF(AND('Mapa final'!#REF!="Baja",'Mapa final'!#REF!="Catastrófico"),CONCATENATE("R3C",'Mapa final'!#REF!),"")</f>
        <v>#REF!</v>
      </c>
      <c r="AI38" s="44" t="e">
        <f>IF(AND('Mapa final'!#REF!="Baja",'Mapa final'!#REF!="Catastrófico"),CONCATENATE("R3C",'Mapa final'!#REF!),"")</f>
        <v>#REF!</v>
      </c>
      <c r="AJ38" s="44" t="e">
        <f>IF(AND('Mapa final'!#REF!="Baja",'Mapa final'!#REF!="Catastrófico"),CONCATENATE("R3C",'Mapa final'!#REF!),"")</f>
        <v>#REF!</v>
      </c>
      <c r="AK38" s="44" t="e">
        <f>IF(AND('Mapa final'!#REF!="Baja",'Mapa final'!#REF!="Catastrófico"),CONCATENATE("R3C",'Mapa final'!#REF!),"")</f>
        <v>#REF!</v>
      </c>
      <c r="AL38" s="44" t="e">
        <f>IF(AND('Mapa final'!#REF!="Baja",'Mapa final'!#REF!="Catastrófico"),CONCATENATE("R3C",'Mapa final'!#REF!),"")</f>
        <v>#REF!</v>
      </c>
      <c r="AM38" s="45" t="e">
        <f>IF(AND('Mapa final'!#REF!="Baja",'Mapa final'!#REF!="Catastrófico"),CONCATENATE("R3C",'Mapa final'!#REF!),"")</f>
        <v>#REF!</v>
      </c>
      <c r="AN38" s="72"/>
      <c r="AO38" s="549"/>
      <c r="AP38" s="550"/>
      <c r="AQ38" s="550"/>
      <c r="AR38" s="550"/>
      <c r="AS38" s="550"/>
      <c r="AT38" s="551"/>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row>
    <row r="39" spans="1:80" ht="15" customHeight="1" x14ac:dyDescent="0.25">
      <c r="A39" s="72"/>
      <c r="B39" s="521"/>
      <c r="C39" s="521"/>
      <c r="D39" s="522"/>
      <c r="E39" s="526"/>
      <c r="F39" s="527"/>
      <c r="G39" s="527"/>
      <c r="H39" s="527"/>
      <c r="I39" s="534"/>
      <c r="J39" s="65" t="e">
        <f>IF(AND('Mapa final'!#REF!="Baja",'Mapa final'!#REF!="Leve"),CONCATENATE("R4C",'Mapa final'!#REF!),"")</f>
        <v>#REF!</v>
      </c>
      <c r="K39" s="66" t="e">
        <f>IF(AND('Mapa final'!#REF!="Baja",'Mapa final'!#REF!="Leve"),CONCATENATE("R4C",'Mapa final'!#REF!),"")</f>
        <v>#REF!</v>
      </c>
      <c r="L39" s="66" t="e">
        <f>IF(AND('Mapa final'!#REF!="Baja",'Mapa final'!#REF!="Leve"),CONCATENATE("R4C",'Mapa final'!#REF!),"")</f>
        <v>#REF!</v>
      </c>
      <c r="M39" s="66" t="e">
        <f>IF(AND('Mapa final'!#REF!="Baja",'Mapa final'!#REF!="Leve"),CONCATENATE("R4C",'Mapa final'!#REF!),"")</f>
        <v>#REF!</v>
      </c>
      <c r="N39" s="66" t="e">
        <f>IF(AND('Mapa final'!#REF!="Baja",'Mapa final'!#REF!="Leve"),CONCATENATE("R4C",'Mapa final'!#REF!),"")</f>
        <v>#REF!</v>
      </c>
      <c r="O39" s="67" t="e">
        <f>IF(AND('Mapa final'!#REF!="Baja",'Mapa final'!#REF!="Leve"),CONCATENATE("R4C",'Mapa final'!#REF!),"")</f>
        <v>#REF!</v>
      </c>
      <c r="P39" s="56" t="e">
        <f>IF(AND('Mapa final'!#REF!="Baja",'Mapa final'!#REF!="Menor"),CONCATENATE("R4C",'Mapa final'!#REF!),"")</f>
        <v>#REF!</v>
      </c>
      <c r="Q39" s="57" t="e">
        <f>IF(AND('Mapa final'!#REF!="Baja",'Mapa final'!#REF!="Menor"),CONCATENATE("R4C",'Mapa final'!#REF!),"")</f>
        <v>#REF!</v>
      </c>
      <c r="R39" s="57" t="e">
        <f>IF(AND('Mapa final'!#REF!="Baja",'Mapa final'!#REF!="Menor"),CONCATENATE("R4C",'Mapa final'!#REF!),"")</f>
        <v>#REF!</v>
      </c>
      <c r="S39" s="57" t="e">
        <f>IF(AND('Mapa final'!#REF!="Baja",'Mapa final'!#REF!="Menor"),CONCATENATE("R4C",'Mapa final'!#REF!),"")</f>
        <v>#REF!</v>
      </c>
      <c r="T39" s="57" t="e">
        <f>IF(AND('Mapa final'!#REF!="Baja",'Mapa final'!#REF!="Menor"),CONCATENATE("R4C",'Mapa final'!#REF!),"")</f>
        <v>#REF!</v>
      </c>
      <c r="U39" s="58" t="e">
        <f>IF(AND('Mapa final'!#REF!="Baja",'Mapa final'!#REF!="Menor"),CONCATENATE("R4C",'Mapa final'!#REF!),"")</f>
        <v>#REF!</v>
      </c>
      <c r="V39" s="56" t="e">
        <f>IF(AND('Mapa final'!#REF!="Baja",'Mapa final'!#REF!="Moderado"),CONCATENATE("R4C",'Mapa final'!#REF!),"")</f>
        <v>#REF!</v>
      </c>
      <c r="W39" s="57" t="e">
        <f>IF(AND('Mapa final'!#REF!="Baja",'Mapa final'!#REF!="Moderado"),CONCATENATE("R4C",'Mapa final'!#REF!),"")</f>
        <v>#REF!</v>
      </c>
      <c r="X39" s="57" t="e">
        <f>IF(AND('Mapa final'!#REF!="Baja",'Mapa final'!#REF!="Moderado"),CONCATENATE("R4C",'Mapa final'!#REF!),"")</f>
        <v>#REF!</v>
      </c>
      <c r="Y39" s="57" t="e">
        <f>IF(AND('Mapa final'!#REF!="Baja",'Mapa final'!#REF!="Moderado"),CONCATENATE("R4C",'Mapa final'!#REF!),"")</f>
        <v>#REF!</v>
      </c>
      <c r="Z39" s="57" t="e">
        <f>IF(AND('Mapa final'!#REF!="Baja",'Mapa final'!#REF!="Moderado"),CONCATENATE("R4C",'Mapa final'!#REF!),"")</f>
        <v>#REF!</v>
      </c>
      <c r="AA39" s="58" t="e">
        <f>IF(AND('Mapa final'!#REF!="Baja",'Mapa final'!#REF!="Moderado"),CONCATENATE("R4C",'Mapa final'!#REF!),"")</f>
        <v>#REF!</v>
      </c>
      <c r="AB39" s="40" t="e">
        <f>IF(AND('Mapa final'!#REF!="Baja",'Mapa final'!#REF!="Mayor"),CONCATENATE("R4C",'Mapa final'!#REF!),"")</f>
        <v>#REF!</v>
      </c>
      <c r="AC39" s="41" t="e">
        <f>IF(AND('Mapa final'!#REF!="Baja",'Mapa final'!#REF!="Mayor"),CONCATENATE("R4C",'Mapa final'!#REF!),"")</f>
        <v>#REF!</v>
      </c>
      <c r="AD39" s="41" t="e">
        <f>IF(AND('Mapa final'!#REF!="Baja",'Mapa final'!#REF!="Mayor"),CONCATENATE("R4C",'Mapa final'!#REF!),"")</f>
        <v>#REF!</v>
      </c>
      <c r="AE39" s="41" t="e">
        <f>IF(AND('Mapa final'!#REF!="Baja",'Mapa final'!#REF!="Mayor"),CONCATENATE("R4C",'Mapa final'!#REF!),"")</f>
        <v>#REF!</v>
      </c>
      <c r="AF39" s="41" t="e">
        <f>IF(AND('Mapa final'!#REF!="Baja",'Mapa final'!#REF!="Mayor"),CONCATENATE("R4C",'Mapa final'!#REF!),"")</f>
        <v>#REF!</v>
      </c>
      <c r="AG39" s="42" t="e">
        <f>IF(AND('Mapa final'!#REF!="Baja",'Mapa final'!#REF!="Mayor"),CONCATENATE("R4C",'Mapa final'!#REF!),"")</f>
        <v>#REF!</v>
      </c>
      <c r="AH39" s="43" t="e">
        <f>IF(AND('Mapa final'!#REF!="Baja",'Mapa final'!#REF!="Catastrófico"),CONCATENATE("R4C",'Mapa final'!#REF!),"")</f>
        <v>#REF!</v>
      </c>
      <c r="AI39" s="44" t="e">
        <f>IF(AND('Mapa final'!#REF!="Baja",'Mapa final'!#REF!="Catastrófico"),CONCATENATE("R4C",'Mapa final'!#REF!),"")</f>
        <v>#REF!</v>
      </c>
      <c r="AJ39" s="44" t="e">
        <f>IF(AND('Mapa final'!#REF!="Baja",'Mapa final'!#REF!="Catastrófico"),CONCATENATE("R4C",'Mapa final'!#REF!),"")</f>
        <v>#REF!</v>
      </c>
      <c r="AK39" s="44" t="e">
        <f>IF(AND('Mapa final'!#REF!="Baja",'Mapa final'!#REF!="Catastrófico"),CONCATENATE("R4C",'Mapa final'!#REF!),"")</f>
        <v>#REF!</v>
      </c>
      <c r="AL39" s="44" t="e">
        <f>IF(AND('Mapa final'!#REF!="Baja",'Mapa final'!#REF!="Catastrófico"),CONCATENATE("R4C",'Mapa final'!#REF!),"")</f>
        <v>#REF!</v>
      </c>
      <c r="AM39" s="45" t="e">
        <f>IF(AND('Mapa final'!#REF!="Baja",'Mapa final'!#REF!="Catastrófico"),CONCATENATE("R4C",'Mapa final'!#REF!),"")</f>
        <v>#REF!</v>
      </c>
      <c r="AN39" s="72"/>
      <c r="AO39" s="549"/>
      <c r="AP39" s="550"/>
      <c r="AQ39" s="550"/>
      <c r="AR39" s="550"/>
      <c r="AS39" s="550"/>
      <c r="AT39" s="551"/>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c r="BV39" s="72"/>
      <c r="BW39" s="72"/>
      <c r="BX39" s="72"/>
    </row>
    <row r="40" spans="1:80" ht="15" customHeight="1" x14ac:dyDescent="0.25">
      <c r="A40" s="72"/>
      <c r="B40" s="521"/>
      <c r="C40" s="521"/>
      <c r="D40" s="522"/>
      <c r="E40" s="526"/>
      <c r="F40" s="527"/>
      <c r="G40" s="527"/>
      <c r="H40" s="527"/>
      <c r="I40" s="534"/>
      <c r="J40" s="65" t="e">
        <f>IF(AND('Mapa final'!#REF!="Baja",'Mapa final'!#REF!="Leve"),CONCATENATE("R5C",'Mapa final'!#REF!),"")</f>
        <v>#REF!</v>
      </c>
      <c r="K40" s="66" t="e">
        <f>IF(AND('Mapa final'!#REF!="Baja",'Mapa final'!#REF!="Leve"),CONCATENATE("R5C",'Mapa final'!#REF!),"")</f>
        <v>#REF!</v>
      </c>
      <c r="L40" s="66" t="e">
        <f>IF(AND('Mapa final'!#REF!="Baja",'Mapa final'!#REF!="Leve"),CONCATENATE("R5C",'Mapa final'!#REF!),"")</f>
        <v>#REF!</v>
      </c>
      <c r="M40" s="66" t="e">
        <f>IF(AND('Mapa final'!#REF!="Baja",'Mapa final'!#REF!="Leve"),CONCATENATE("R5C",'Mapa final'!#REF!),"")</f>
        <v>#REF!</v>
      </c>
      <c r="N40" s="66" t="e">
        <f>IF(AND('Mapa final'!#REF!="Baja",'Mapa final'!#REF!="Leve"),CONCATENATE("R5C",'Mapa final'!#REF!),"")</f>
        <v>#REF!</v>
      </c>
      <c r="O40" s="67" t="e">
        <f>IF(AND('Mapa final'!#REF!="Baja",'Mapa final'!#REF!="Leve"),CONCATENATE("R5C",'Mapa final'!#REF!),"")</f>
        <v>#REF!</v>
      </c>
      <c r="P40" s="56" t="e">
        <f>IF(AND('Mapa final'!#REF!="Baja",'Mapa final'!#REF!="Menor"),CONCATENATE("R5C",'Mapa final'!#REF!),"")</f>
        <v>#REF!</v>
      </c>
      <c r="Q40" s="57" t="e">
        <f>IF(AND('Mapa final'!#REF!="Baja",'Mapa final'!#REF!="Menor"),CONCATENATE("R5C",'Mapa final'!#REF!),"")</f>
        <v>#REF!</v>
      </c>
      <c r="R40" s="57" t="e">
        <f>IF(AND('Mapa final'!#REF!="Baja",'Mapa final'!#REF!="Menor"),CONCATENATE("R5C",'Mapa final'!#REF!),"")</f>
        <v>#REF!</v>
      </c>
      <c r="S40" s="57" t="e">
        <f>IF(AND('Mapa final'!#REF!="Baja",'Mapa final'!#REF!="Menor"),CONCATENATE("R5C",'Mapa final'!#REF!),"")</f>
        <v>#REF!</v>
      </c>
      <c r="T40" s="57" t="e">
        <f>IF(AND('Mapa final'!#REF!="Baja",'Mapa final'!#REF!="Menor"),CONCATENATE("R5C",'Mapa final'!#REF!),"")</f>
        <v>#REF!</v>
      </c>
      <c r="U40" s="58" t="e">
        <f>IF(AND('Mapa final'!#REF!="Baja",'Mapa final'!#REF!="Menor"),CONCATENATE("R5C",'Mapa final'!#REF!),"")</f>
        <v>#REF!</v>
      </c>
      <c r="V40" s="56" t="e">
        <f>IF(AND('Mapa final'!#REF!="Baja",'Mapa final'!#REF!="Moderado"),CONCATENATE("R5C",'Mapa final'!#REF!),"")</f>
        <v>#REF!</v>
      </c>
      <c r="W40" s="57" t="e">
        <f>IF(AND('Mapa final'!#REF!="Baja",'Mapa final'!#REF!="Moderado"),CONCATENATE("R5C",'Mapa final'!#REF!),"")</f>
        <v>#REF!</v>
      </c>
      <c r="X40" s="57" t="e">
        <f>IF(AND('Mapa final'!#REF!="Baja",'Mapa final'!#REF!="Moderado"),CONCATENATE("R5C",'Mapa final'!#REF!),"")</f>
        <v>#REF!</v>
      </c>
      <c r="Y40" s="57" t="e">
        <f>IF(AND('Mapa final'!#REF!="Baja",'Mapa final'!#REF!="Moderado"),CONCATENATE("R5C",'Mapa final'!#REF!),"")</f>
        <v>#REF!</v>
      </c>
      <c r="Z40" s="57" t="e">
        <f>IF(AND('Mapa final'!#REF!="Baja",'Mapa final'!#REF!="Moderado"),CONCATENATE("R5C",'Mapa final'!#REF!),"")</f>
        <v>#REF!</v>
      </c>
      <c r="AA40" s="58" t="e">
        <f>IF(AND('Mapa final'!#REF!="Baja",'Mapa final'!#REF!="Moderado"),CONCATENATE("R5C",'Mapa final'!#REF!),"")</f>
        <v>#REF!</v>
      </c>
      <c r="AB40" s="40" t="e">
        <f>IF(AND('Mapa final'!#REF!="Baja",'Mapa final'!#REF!="Mayor"),CONCATENATE("R5C",'Mapa final'!#REF!),"")</f>
        <v>#REF!</v>
      </c>
      <c r="AC40" s="41" t="e">
        <f>IF(AND('Mapa final'!#REF!="Baja",'Mapa final'!#REF!="Mayor"),CONCATENATE("R5C",'Mapa final'!#REF!),"")</f>
        <v>#REF!</v>
      </c>
      <c r="AD40" s="46" t="e">
        <f>IF(AND('Mapa final'!#REF!="Baja",'Mapa final'!#REF!="Mayor"),CONCATENATE("R5C",'Mapa final'!#REF!),"")</f>
        <v>#REF!</v>
      </c>
      <c r="AE40" s="46" t="e">
        <f>IF(AND('Mapa final'!#REF!="Baja",'Mapa final'!#REF!="Mayor"),CONCATENATE("R5C",'Mapa final'!#REF!),"")</f>
        <v>#REF!</v>
      </c>
      <c r="AF40" s="46" t="e">
        <f>IF(AND('Mapa final'!#REF!="Baja",'Mapa final'!#REF!="Mayor"),CONCATENATE("R5C",'Mapa final'!#REF!),"")</f>
        <v>#REF!</v>
      </c>
      <c r="AG40" s="42" t="e">
        <f>IF(AND('Mapa final'!#REF!="Baja",'Mapa final'!#REF!="Mayor"),CONCATENATE("R5C",'Mapa final'!#REF!),"")</f>
        <v>#REF!</v>
      </c>
      <c r="AH40" s="43" t="e">
        <f>IF(AND('Mapa final'!#REF!="Baja",'Mapa final'!#REF!="Catastrófico"),CONCATENATE("R5C",'Mapa final'!#REF!),"")</f>
        <v>#REF!</v>
      </c>
      <c r="AI40" s="44" t="e">
        <f>IF(AND('Mapa final'!#REF!="Baja",'Mapa final'!#REF!="Catastrófico"),CONCATENATE("R5C",'Mapa final'!#REF!),"")</f>
        <v>#REF!</v>
      </c>
      <c r="AJ40" s="44" t="e">
        <f>IF(AND('Mapa final'!#REF!="Baja",'Mapa final'!#REF!="Catastrófico"),CONCATENATE("R5C",'Mapa final'!#REF!),"")</f>
        <v>#REF!</v>
      </c>
      <c r="AK40" s="44" t="e">
        <f>IF(AND('Mapa final'!#REF!="Baja",'Mapa final'!#REF!="Catastrófico"),CONCATENATE("R5C",'Mapa final'!#REF!),"")</f>
        <v>#REF!</v>
      </c>
      <c r="AL40" s="44" t="e">
        <f>IF(AND('Mapa final'!#REF!="Baja",'Mapa final'!#REF!="Catastrófico"),CONCATENATE("R5C",'Mapa final'!#REF!),"")</f>
        <v>#REF!</v>
      </c>
      <c r="AM40" s="45" t="e">
        <f>IF(AND('Mapa final'!#REF!="Baja",'Mapa final'!#REF!="Catastrófico"),CONCATENATE("R5C",'Mapa final'!#REF!),"")</f>
        <v>#REF!</v>
      </c>
      <c r="AN40" s="72"/>
      <c r="AO40" s="549"/>
      <c r="AP40" s="550"/>
      <c r="AQ40" s="550"/>
      <c r="AR40" s="550"/>
      <c r="AS40" s="550"/>
      <c r="AT40" s="551"/>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c r="BV40" s="72"/>
      <c r="BW40" s="72"/>
      <c r="BX40" s="72"/>
    </row>
    <row r="41" spans="1:80" ht="15" customHeight="1" x14ac:dyDescent="0.25">
      <c r="A41" s="72"/>
      <c r="B41" s="521"/>
      <c r="C41" s="521"/>
      <c r="D41" s="522"/>
      <c r="E41" s="526"/>
      <c r="F41" s="527"/>
      <c r="G41" s="527"/>
      <c r="H41" s="527"/>
      <c r="I41" s="534"/>
      <c r="J41" s="65" t="e">
        <f>IF(AND('Mapa final'!#REF!="Baja",'Mapa final'!#REF!="Leve"),CONCATENATE("R6C",'Mapa final'!#REF!),"")</f>
        <v>#REF!</v>
      </c>
      <c r="K41" s="66" t="e">
        <f>IF(AND('Mapa final'!#REF!="Baja",'Mapa final'!#REF!="Leve"),CONCATENATE("R6C",'Mapa final'!#REF!),"")</f>
        <v>#REF!</v>
      </c>
      <c r="L41" s="66" t="e">
        <f>IF(AND('Mapa final'!#REF!="Baja",'Mapa final'!#REF!="Leve"),CONCATENATE("R6C",'Mapa final'!#REF!),"")</f>
        <v>#REF!</v>
      </c>
      <c r="M41" s="66" t="e">
        <f>IF(AND('Mapa final'!#REF!="Baja",'Mapa final'!#REF!="Leve"),CONCATENATE("R6C",'Mapa final'!#REF!),"")</f>
        <v>#REF!</v>
      </c>
      <c r="N41" s="66" t="e">
        <f>IF(AND('Mapa final'!#REF!="Baja",'Mapa final'!#REF!="Leve"),CONCATENATE("R6C",'Mapa final'!#REF!),"")</f>
        <v>#REF!</v>
      </c>
      <c r="O41" s="67" t="e">
        <f>IF(AND('Mapa final'!#REF!="Baja",'Mapa final'!#REF!="Leve"),CONCATENATE("R6C",'Mapa final'!#REF!),"")</f>
        <v>#REF!</v>
      </c>
      <c r="P41" s="56" t="e">
        <f>IF(AND('Mapa final'!#REF!="Baja",'Mapa final'!#REF!="Menor"),CONCATENATE("R6C",'Mapa final'!#REF!),"")</f>
        <v>#REF!</v>
      </c>
      <c r="Q41" s="57" t="e">
        <f>IF(AND('Mapa final'!#REF!="Baja",'Mapa final'!#REF!="Menor"),CONCATENATE("R6C",'Mapa final'!#REF!),"")</f>
        <v>#REF!</v>
      </c>
      <c r="R41" s="57" t="e">
        <f>IF(AND('Mapa final'!#REF!="Baja",'Mapa final'!#REF!="Menor"),CONCATENATE("R6C",'Mapa final'!#REF!),"")</f>
        <v>#REF!</v>
      </c>
      <c r="S41" s="57" t="e">
        <f>IF(AND('Mapa final'!#REF!="Baja",'Mapa final'!#REF!="Menor"),CONCATENATE("R6C",'Mapa final'!#REF!),"")</f>
        <v>#REF!</v>
      </c>
      <c r="T41" s="57" t="e">
        <f>IF(AND('Mapa final'!#REF!="Baja",'Mapa final'!#REF!="Menor"),CONCATENATE("R6C",'Mapa final'!#REF!),"")</f>
        <v>#REF!</v>
      </c>
      <c r="U41" s="58" t="e">
        <f>IF(AND('Mapa final'!#REF!="Baja",'Mapa final'!#REF!="Menor"),CONCATENATE("R6C",'Mapa final'!#REF!),"")</f>
        <v>#REF!</v>
      </c>
      <c r="V41" s="56" t="e">
        <f>IF(AND('Mapa final'!#REF!="Baja",'Mapa final'!#REF!="Moderado"),CONCATENATE("R6C",'Mapa final'!#REF!),"")</f>
        <v>#REF!</v>
      </c>
      <c r="W41" s="57" t="e">
        <f>IF(AND('Mapa final'!#REF!="Baja",'Mapa final'!#REF!="Moderado"),CONCATENATE("R6C",'Mapa final'!#REF!),"")</f>
        <v>#REF!</v>
      </c>
      <c r="X41" s="57" t="e">
        <f>IF(AND('Mapa final'!#REF!="Baja",'Mapa final'!#REF!="Moderado"),CONCATENATE("R6C",'Mapa final'!#REF!),"")</f>
        <v>#REF!</v>
      </c>
      <c r="Y41" s="57" t="e">
        <f>IF(AND('Mapa final'!#REF!="Baja",'Mapa final'!#REF!="Moderado"),CONCATENATE("R6C",'Mapa final'!#REF!),"")</f>
        <v>#REF!</v>
      </c>
      <c r="Z41" s="57" t="e">
        <f>IF(AND('Mapa final'!#REF!="Baja",'Mapa final'!#REF!="Moderado"),CONCATENATE("R6C",'Mapa final'!#REF!),"")</f>
        <v>#REF!</v>
      </c>
      <c r="AA41" s="58" t="e">
        <f>IF(AND('Mapa final'!#REF!="Baja",'Mapa final'!#REF!="Moderado"),CONCATENATE("R6C",'Mapa final'!#REF!),"")</f>
        <v>#REF!</v>
      </c>
      <c r="AB41" s="40" t="e">
        <f>IF(AND('Mapa final'!#REF!="Baja",'Mapa final'!#REF!="Mayor"),CONCATENATE("R6C",'Mapa final'!#REF!),"")</f>
        <v>#REF!</v>
      </c>
      <c r="AC41" s="41" t="e">
        <f>IF(AND('Mapa final'!#REF!="Baja",'Mapa final'!#REF!="Mayor"),CONCATENATE("R6C",'Mapa final'!#REF!),"")</f>
        <v>#REF!</v>
      </c>
      <c r="AD41" s="46" t="e">
        <f>IF(AND('Mapa final'!#REF!="Baja",'Mapa final'!#REF!="Mayor"),CONCATENATE("R6C",'Mapa final'!#REF!),"")</f>
        <v>#REF!</v>
      </c>
      <c r="AE41" s="46" t="e">
        <f>IF(AND('Mapa final'!#REF!="Baja",'Mapa final'!#REF!="Mayor"),CONCATENATE("R6C",'Mapa final'!#REF!),"")</f>
        <v>#REF!</v>
      </c>
      <c r="AF41" s="46" t="e">
        <f>IF(AND('Mapa final'!#REF!="Baja",'Mapa final'!#REF!="Mayor"),CONCATENATE("R6C",'Mapa final'!#REF!),"")</f>
        <v>#REF!</v>
      </c>
      <c r="AG41" s="42" t="e">
        <f>IF(AND('Mapa final'!#REF!="Baja",'Mapa final'!#REF!="Mayor"),CONCATENATE("R6C",'Mapa final'!#REF!),"")</f>
        <v>#REF!</v>
      </c>
      <c r="AH41" s="43" t="e">
        <f>IF(AND('Mapa final'!#REF!="Baja",'Mapa final'!#REF!="Catastrófico"),CONCATENATE("R6C",'Mapa final'!#REF!),"")</f>
        <v>#REF!</v>
      </c>
      <c r="AI41" s="44" t="e">
        <f>IF(AND('Mapa final'!#REF!="Baja",'Mapa final'!#REF!="Catastrófico"),CONCATENATE("R6C",'Mapa final'!#REF!),"")</f>
        <v>#REF!</v>
      </c>
      <c r="AJ41" s="44" t="e">
        <f>IF(AND('Mapa final'!#REF!="Baja",'Mapa final'!#REF!="Catastrófico"),CONCATENATE("R6C",'Mapa final'!#REF!),"")</f>
        <v>#REF!</v>
      </c>
      <c r="AK41" s="44" t="e">
        <f>IF(AND('Mapa final'!#REF!="Baja",'Mapa final'!#REF!="Catastrófico"),CONCATENATE("R6C",'Mapa final'!#REF!),"")</f>
        <v>#REF!</v>
      </c>
      <c r="AL41" s="44" t="e">
        <f>IF(AND('Mapa final'!#REF!="Baja",'Mapa final'!#REF!="Catastrófico"),CONCATENATE("R6C",'Mapa final'!#REF!),"")</f>
        <v>#REF!</v>
      </c>
      <c r="AM41" s="45" t="e">
        <f>IF(AND('Mapa final'!#REF!="Baja",'Mapa final'!#REF!="Catastrófico"),CONCATENATE("R6C",'Mapa final'!#REF!),"")</f>
        <v>#REF!</v>
      </c>
      <c r="AN41" s="72"/>
      <c r="AO41" s="549"/>
      <c r="AP41" s="550"/>
      <c r="AQ41" s="550"/>
      <c r="AR41" s="550"/>
      <c r="AS41" s="550"/>
      <c r="AT41" s="551"/>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c r="BV41" s="72"/>
      <c r="BW41" s="72"/>
      <c r="BX41" s="72"/>
    </row>
    <row r="42" spans="1:80" ht="15" customHeight="1" x14ac:dyDescent="0.25">
      <c r="A42" s="72"/>
      <c r="B42" s="521"/>
      <c r="C42" s="521"/>
      <c r="D42" s="522"/>
      <c r="E42" s="526"/>
      <c r="F42" s="527"/>
      <c r="G42" s="527"/>
      <c r="H42" s="527"/>
      <c r="I42" s="534"/>
      <c r="J42" s="65" t="e">
        <f>IF(AND('Mapa final'!#REF!="Baja",'Mapa final'!#REF!="Leve"),CONCATENATE("R7C",'Mapa final'!#REF!),"")</f>
        <v>#REF!</v>
      </c>
      <c r="K42" s="66" t="e">
        <f>IF(AND('Mapa final'!#REF!="Baja",'Mapa final'!#REF!="Leve"),CONCATENATE("R7C",'Mapa final'!#REF!),"")</f>
        <v>#REF!</v>
      </c>
      <c r="L42" s="66" t="e">
        <f>IF(AND('Mapa final'!#REF!="Baja",'Mapa final'!#REF!="Leve"),CONCATENATE("R7C",'Mapa final'!#REF!),"")</f>
        <v>#REF!</v>
      </c>
      <c r="M42" s="66" t="e">
        <f>IF(AND('Mapa final'!#REF!="Baja",'Mapa final'!#REF!="Leve"),CONCATENATE("R7C",'Mapa final'!#REF!),"")</f>
        <v>#REF!</v>
      </c>
      <c r="N42" s="66" t="e">
        <f>IF(AND('Mapa final'!#REF!="Baja",'Mapa final'!#REF!="Leve"),CONCATENATE("R7C",'Mapa final'!#REF!),"")</f>
        <v>#REF!</v>
      </c>
      <c r="O42" s="67" t="e">
        <f>IF(AND('Mapa final'!#REF!="Baja",'Mapa final'!#REF!="Leve"),CONCATENATE("R7C",'Mapa final'!#REF!),"")</f>
        <v>#REF!</v>
      </c>
      <c r="P42" s="56" t="e">
        <f>IF(AND('Mapa final'!#REF!="Baja",'Mapa final'!#REF!="Menor"),CONCATENATE("R7C",'Mapa final'!#REF!),"")</f>
        <v>#REF!</v>
      </c>
      <c r="Q42" s="57" t="e">
        <f>IF(AND('Mapa final'!#REF!="Baja",'Mapa final'!#REF!="Menor"),CONCATENATE("R7C",'Mapa final'!#REF!),"")</f>
        <v>#REF!</v>
      </c>
      <c r="R42" s="57" t="e">
        <f>IF(AND('Mapa final'!#REF!="Baja",'Mapa final'!#REF!="Menor"),CONCATENATE("R7C",'Mapa final'!#REF!),"")</f>
        <v>#REF!</v>
      </c>
      <c r="S42" s="57" t="e">
        <f>IF(AND('Mapa final'!#REF!="Baja",'Mapa final'!#REF!="Menor"),CONCATENATE("R7C",'Mapa final'!#REF!),"")</f>
        <v>#REF!</v>
      </c>
      <c r="T42" s="57" t="e">
        <f>IF(AND('Mapa final'!#REF!="Baja",'Mapa final'!#REF!="Menor"),CONCATENATE("R7C",'Mapa final'!#REF!),"")</f>
        <v>#REF!</v>
      </c>
      <c r="U42" s="58" t="e">
        <f>IF(AND('Mapa final'!#REF!="Baja",'Mapa final'!#REF!="Menor"),CONCATENATE("R7C",'Mapa final'!#REF!),"")</f>
        <v>#REF!</v>
      </c>
      <c r="V42" s="56" t="e">
        <f>IF(AND('Mapa final'!#REF!="Baja",'Mapa final'!#REF!="Moderado"),CONCATENATE("R7C",'Mapa final'!#REF!),"")</f>
        <v>#REF!</v>
      </c>
      <c r="W42" s="57" t="e">
        <f>IF(AND('Mapa final'!#REF!="Baja",'Mapa final'!#REF!="Moderado"),CONCATENATE("R7C",'Mapa final'!#REF!),"")</f>
        <v>#REF!</v>
      </c>
      <c r="X42" s="57" t="e">
        <f>IF(AND('Mapa final'!#REF!="Baja",'Mapa final'!#REF!="Moderado"),CONCATENATE("R7C",'Mapa final'!#REF!),"")</f>
        <v>#REF!</v>
      </c>
      <c r="Y42" s="57" t="e">
        <f>IF(AND('Mapa final'!#REF!="Baja",'Mapa final'!#REF!="Moderado"),CONCATENATE("R7C",'Mapa final'!#REF!),"")</f>
        <v>#REF!</v>
      </c>
      <c r="Z42" s="57" t="e">
        <f>IF(AND('Mapa final'!#REF!="Baja",'Mapa final'!#REF!="Moderado"),CONCATENATE("R7C",'Mapa final'!#REF!),"")</f>
        <v>#REF!</v>
      </c>
      <c r="AA42" s="58" t="e">
        <f>IF(AND('Mapa final'!#REF!="Baja",'Mapa final'!#REF!="Moderado"),CONCATENATE("R7C",'Mapa final'!#REF!),"")</f>
        <v>#REF!</v>
      </c>
      <c r="AB42" s="40" t="e">
        <f>IF(AND('Mapa final'!#REF!="Baja",'Mapa final'!#REF!="Mayor"),CONCATENATE("R7C",'Mapa final'!#REF!),"")</f>
        <v>#REF!</v>
      </c>
      <c r="AC42" s="41" t="e">
        <f>IF(AND('Mapa final'!#REF!="Baja",'Mapa final'!#REF!="Mayor"),CONCATENATE("R7C",'Mapa final'!#REF!),"")</f>
        <v>#REF!</v>
      </c>
      <c r="AD42" s="46" t="e">
        <f>IF(AND('Mapa final'!#REF!="Baja",'Mapa final'!#REF!="Mayor"),CONCATENATE("R7C",'Mapa final'!#REF!),"")</f>
        <v>#REF!</v>
      </c>
      <c r="AE42" s="46" t="e">
        <f>IF(AND('Mapa final'!#REF!="Baja",'Mapa final'!#REF!="Mayor"),CONCATENATE("R7C",'Mapa final'!#REF!),"")</f>
        <v>#REF!</v>
      </c>
      <c r="AF42" s="46" t="e">
        <f>IF(AND('Mapa final'!#REF!="Baja",'Mapa final'!#REF!="Mayor"),CONCATENATE("R7C",'Mapa final'!#REF!),"")</f>
        <v>#REF!</v>
      </c>
      <c r="AG42" s="42" t="e">
        <f>IF(AND('Mapa final'!#REF!="Baja",'Mapa final'!#REF!="Mayor"),CONCATENATE("R7C",'Mapa final'!#REF!),"")</f>
        <v>#REF!</v>
      </c>
      <c r="AH42" s="43" t="e">
        <f>IF(AND('Mapa final'!#REF!="Baja",'Mapa final'!#REF!="Catastrófico"),CONCATENATE("R7C",'Mapa final'!#REF!),"")</f>
        <v>#REF!</v>
      </c>
      <c r="AI42" s="44" t="e">
        <f>IF(AND('Mapa final'!#REF!="Baja",'Mapa final'!#REF!="Catastrófico"),CONCATENATE("R7C",'Mapa final'!#REF!),"")</f>
        <v>#REF!</v>
      </c>
      <c r="AJ42" s="44" t="e">
        <f>IF(AND('Mapa final'!#REF!="Baja",'Mapa final'!#REF!="Catastrófico"),CONCATENATE("R7C",'Mapa final'!#REF!),"")</f>
        <v>#REF!</v>
      </c>
      <c r="AK42" s="44" t="e">
        <f>IF(AND('Mapa final'!#REF!="Baja",'Mapa final'!#REF!="Catastrófico"),CONCATENATE("R7C",'Mapa final'!#REF!),"")</f>
        <v>#REF!</v>
      </c>
      <c r="AL42" s="44" t="e">
        <f>IF(AND('Mapa final'!#REF!="Baja",'Mapa final'!#REF!="Catastrófico"),CONCATENATE("R7C",'Mapa final'!#REF!),"")</f>
        <v>#REF!</v>
      </c>
      <c r="AM42" s="45" t="e">
        <f>IF(AND('Mapa final'!#REF!="Baja",'Mapa final'!#REF!="Catastrófico"),CONCATENATE("R7C",'Mapa final'!#REF!),"")</f>
        <v>#REF!</v>
      </c>
      <c r="AN42" s="72"/>
      <c r="AO42" s="549"/>
      <c r="AP42" s="550"/>
      <c r="AQ42" s="550"/>
      <c r="AR42" s="550"/>
      <c r="AS42" s="550"/>
      <c r="AT42" s="551"/>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row>
    <row r="43" spans="1:80" ht="15" customHeight="1" x14ac:dyDescent="0.25">
      <c r="A43" s="72"/>
      <c r="B43" s="521"/>
      <c r="C43" s="521"/>
      <c r="D43" s="522"/>
      <c r="E43" s="526"/>
      <c r="F43" s="527"/>
      <c r="G43" s="527"/>
      <c r="H43" s="527"/>
      <c r="I43" s="534"/>
      <c r="J43" s="65" t="e">
        <f>IF(AND('Mapa final'!#REF!="Baja",'Mapa final'!#REF!="Leve"),CONCATENATE("R8C",'Mapa final'!#REF!),"")</f>
        <v>#REF!</v>
      </c>
      <c r="K43" s="66" t="e">
        <f>IF(AND('Mapa final'!#REF!="Baja",'Mapa final'!#REF!="Leve"),CONCATENATE("R8C",'Mapa final'!#REF!),"")</f>
        <v>#REF!</v>
      </c>
      <c r="L43" s="66" t="e">
        <f>IF(AND('Mapa final'!#REF!="Baja",'Mapa final'!#REF!="Leve"),CONCATENATE("R8C",'Mapa final'!#REF!),"")</f>
        <v>#REF!</v>
      </c>
      <c r="M43" s="66" t="e">
        <f>IF(AND('Mapa final'!#REF!="Baja",'Mapa final'!#REF!="Leve"),CONCATENATE("R8C",'Mapa final'!#REF!),"")</f>
        <v>#REF!</v>
      </c>
      <c r="N43" s="66" t="e">
        <f>IF(AND('Mapa final'!#REF!="Baja",'Mapa final'!#REF!="Leve"),CONCATENATE("R8C",'Mapa final'!#REF!),"")</f>
        <v>#REF!</v>
      </c>
      <c r="O43" s="67" t="e">
        <f>IF(AND('Mapa final'!#REF!="Baja",'Mapa final'!#REF!="Leve"),CONCATENATE("R8C",'Mapa final'!#REF!),"")</f>
        <v>#REF!</v>
      </c>
      <c r="P43" s="56" t="e">
        <f>IF(AND('Mapa final'!#REF!="Baja",'Mapa final'!#REF!="Menor"),CONCATENATE("R8C",'Mapa final'!#REF!),"")</f>
        <v>#REF!</v>
      </c>
      <c r="Q43" s="57" t="e">
        <f>IF(AND('Mapa final'!#REF!="Baja",'Mapa final'!#REF!="Menor"),CONCATENATE("R8C",'Mapa final'!#REF!),"")</f>
        <v>#REF!</v>
      </c>
      <c r="R43" s="57" t="e">
        <f>IF(AND('Mapa final'!#REF!="Baja",'Mapa final'!#REF!="Menor"),CONCATENATE("R8C",'Mapa final'!#REF!),"")</f>
        <v>#REF!</v>
      </c>
      <c r="S43" s="57" t="e">
        <f>IF(AND('Mapa final'!#REF!="Baja",'Mapa final'!#REF!="Menor"),CONCATENATE("R8C",'Mapa final'!#REF!),"")</f>
        <v>#REF!</v>
      </c>
      <c r="T43" s="57" t="e">
        <f>IF(AND('Mapa final'!#REF!="Baja",'Mapa final'!#REF!="Menor"),CONCATENATE("R8C",'Mapa final'!#REF!),"")</f>
        <v>#REF!</v>
      </c>
      <c r="U43" s="58" t="e">
        <f>IF(AND('Mapa final'!#REF!="Baja",'Mapa final'!#REF!="Menor"),CONCATENATE("R8C",'Mapa final'!#REF!),"")</f>
        <v>#REF!</v>
      </c>
      <c r="V43" s="56" t="e">
        <f>IF(AND('Mapa final'!#REF!="Baja",'Mapa final'!#REF!="Moderado"),CONCATENATE("R8C",'Mapa final'!#REF!),"")</f>
        <v>#REF!</v>
      </c>
      <c r="W43" s="57" t="e">
        <f>IF(AND('Mapa final'!#REF!="Baja",'Mapa final'!#REF!="Moderado"),CONCATENATE("R8C",'Mapa final'!#REF!),"")</f>
        <v>#REF!</v>
      </c>
      <c r="X43" s="57" t="e">
        <f>IF(AND('Mapa final'!#REF!="Baja",'Mapa final'!#REF!="Moderado"),CONCATENATE("R8C",'Mapa final'!#REF!),"")</f>
        <v>#REF!</v>
      </c>
      <c r="Y43" s="57" t="e">
        <f>IF(AND('Mapa final'!#REF!="Baja",'Mapa final'!#REF!="Moderado"),CONCATENATE("R8C",'Mapa final'!#REF!),"")</f>
        <v>#REF!</v>
      </c>
      <c r="Z43" s="57" t="e">
        <f>IF(AND('Mapa final'!#REF!="Baja",'Mapa final'!#REF!="Moderado"),CONCATENATE("R8C",'Mapa final'!#REF!),"")</f>
        <v>#REF!</v>
      </c>
      <c r="AA43" s="58" t="e">
        <f>IF(AND('Mapa final'!#REF!="Baja",'Mapa final'!#REF!="Moderado"),CONCATENATE("R8C",'Mapa final'!#REF!),"")</f>
        <v>#REF!</v>
      </c>
      <c r="AB43" s="40" t="e">
        <f>IF(AND('Mapa final'!#REF!="Baja",'Mapa final'!#REF!="Mayor"),CONCATENATE("R8C",'Mapa final'!#REF!),"")</f>
        <v>#REF!</v>
      </c>
      <c r="AC43" s="41" t="e">
        <f>IF(AND('Mapa final'!#REF!="Baja",'Mapa final'!#REF!="Mayor"),CONCATENATE("R8C",'Mapa final'!#REF!),"")</f>
        <v>#REF!</v>
      </c>
      <c r="AD43" s="46" t="e">
        <f>IF(AND('Mapa final'!#REF!="Baja",'Mapa final'!#REF!="Mayor"),CONCATENATE("R8C",'Mapa final'!#REF!),"")</f>
        <v>#REF!</v>
      </c>
      <c r="AE43" s="46" t="e">
        <f>IF(AND('Mapa final'!#REF!="Baja",'Mapa final'!#REF!="Mayor"),CONCATENATE("R8C",'Mapa final'!#REF!),"")</f>
        <v>#REF!</v>
      </c>
      <c r="AF43" s="46" t="e">
        <f>IF(AND('Mapa final'!#REF!="Baja",'Mapa final'!#REF!="Mayor"),CONCATENATE("R8C",'Mapa final'!#REF!),"")</f>
        <v>#REF!</v>
      </c>
      <c r="AG43" s="42" t="e">
        <f>IF(AND('Mapa final'!#REF!="Baja",'Mapa final'!#REF!="Mayor"),CONCATENATE("R8C",'Mapa final'!#REF!),"")</f>
        <v>#REF!</v>
      </c>
      <c r="AH43" s="43" t="e">
        <f>IF(AND('Mapa final'!#REF!="Baja",'Mapa final'!#REF!="Catastrófico"),CONCATENATE("R8C",'Mapa final'!#REF!),"")</f>
        <v>#REF!</v>
      </c>
      <c r="AI43" s="44" t="e">
        <f>IF(AND('Mapa final'!#REF!="Baja",'Mapa final'!#REF!="Catastrófico"),CONCATENATE("R8C",'Mapa final'!#REF!),"")</f>
        <v>#REF!</v>
      </c>
      <c r="AJ43" s="44" t="e">
        <f>IF(AND('Mapa final'!#REF!="Baja",'Mapa final'!#REF!="Catastrófico"),CONCATENATE("R8C",'Mapa final'!#REF!),"")</f>
        <v>#REF!</v>
      </c>
      <c r="AK43" s="44" t="e">
        <f>IF(AND('Mapa final'!#REF!="Baja",'Mapa final'!#REF!="Catastrófico"),CONCATENATE("R8C",'Mapa final'!#REF!),"")</f>
        <v>#REF!</v>
      </c>
      <c r="AL43" s="44" t="e">
        <f>IF(AND('Mapa final'!#REF!="Baja",'Mapa final'!#REF!="Catastrófico"),CONCATENATE("R8C",'Mapa final'!#REF!),"")</f>
        <v>#REF!</v>
      </c>
      <c r="AM43" s="45" t="e">
        <f>IF(AND('Mapa final'!#REF!="Baja",'Mapa final'!#REF!="Catastrófico"),CONCATENATE("R8C",'Mapa final'!#REF!),"")</f>
        <v>#REF!</v>
      </c>
      <c r="AN43" s="72"/>
      <c r="AO43" s="549"/>
      <c r="AP43" s="550"/>
      <c r="AQ43" s="550"/>
      <c r="AR43" s="550"/>
      <c r="AS43" s="550"/>
      <c r="AT43" s="551"/>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row>
    <row r="44" spans="1:80" ht="15" customHeight="1" x14ac:dyDescent="0.25">
      <c r="A44" s="72"/>
      <c r="B44" s="521"/>
      <c r="C44" s="521"/>
      <c r="D44" s="522"/>
      <c r="E44" s="526"/>
      <c r="F44" s="527"/>
      <c r="G44" s="527"/>
      <c r="H44" s="527"/>
      <c r="I44" s="534"/>
      <c r="J44" s="65" t="e">
        <f>IF(AND('Mapa final'!#REF!="Baja",'Mapa final'!#REF!="Leve"),CONCATENATE("R9C",'Mapa final'!#REF!),"")</f>
        <v>#REF!</v>
      </c>
      <c r="K44" s="66" t="e">
        <f>IF(AND('Mapa final'!#REF!="Baja",'Mapa final'!#REF!="Leve"),CONCATENATE("R9C",'Mapa final'!#REF!),"")</f>
        <v>#REF!</v>
      </c>
      <c r="L44" s="66" t="e">
        <f>IF(AND('Mapa final'!#REF!="Baja",'Mapa final'!#REF!="Leve"),CONCATENATE("R9C",'Mapa final'!#REF!),"")</f>
        <v>#REF!</v>
      </c>
      <c r="M44" s="66" t="e">
        <f>IF(AND('Mapa final'!#REF!="Baja",'Mapa final'!#REF!="Leve"),CONCATENATE("R9C",'Mapa final'!#REF!),"")</f>
        <v>#REF!</v>
      </c>
      <c r="N44" s="66" t="e">
        <f>IF(AND('Mapa final'!#REF!="Baja",'Mapa final'!#REF!="Leve"),CONCATENATE("R9C",'Mapa final'!#REF!),"")</f>
        <v>#REF!</v>
      </c>
      <c r="O44" s="67" t="e">
        <f>IF(AND('Mapa final'!#REF!="Baja",'Mapa final'!#REF!="Leve"),CONCATENATE("R9C",'Mapa final'!#REF!),"")</f>
        <v>#REF!</v>
      </c>
      <c r="P44" s="56" t="e">
        <f>IF(AND('Mapa final'!#REF!="Baja",'Mapa final'!#REF!="Menor"),CONCATENATE("R9C",'Mapa final'!#REF!),"")</f>
        <v>#REF!</v>
      </c>
      <c r="Q44" s="57" t="e">
        <f>IF(AND('Mapa final'!#REF!="Baja",'Mapa final'!#REF!="Menor"),CONCATENATE("R9C",'Mapa final'!#REF!),"")</f>
        <v>#REF!</v>
      </c>
      <c r="R44" s="57" t="e">
        <f>IF(AND('Mapa final'!#REF!="Baja",'Mapa final'!#REF!="Menor"),CONCATENATE("R9C",'Mapa final'!#REF!),"")</f>
        <v>#REF!</v>
      </c>
      <c r="S44" s="57" t="e">
        <f>IF(AND('Mapa final'!#REF!="Baja",'Mapa final'!#REF!="Menor"),CONCATENATE("R9C",'Mapa final'!#REF!),"")</f>
        <v>#REF!</v>
      </c>
      <c r="T44" s="57" t="e">
        <f>IF(AND('Mapa final'!#REF!="Baja",'Mapa final'!#REF!="Menor"),CONCATENATE("R9C",'Mapa final'!#REF!),"")</f>
        <v>#REF!</v>
      </c>
      <c r="U44" s="58" t="e">
        <f>IF(AND('Mapa final'!#REF!="Baja",'Mapa final'!#REF!="Menor"),CONCATENATE("R9C",'Mapa final'!#REF!),"")</f>
        <v>#REF!</v>
      </c>
      <c r="V44" s="56" t="e">
        <f>IF(AND('Mapa final'!#REF!="Baja",'Mapa final'!#REF!="Moderado"),CONCATENATE("R9C",'Mapa final'!#REF!),"")</f>
        <v>#REF!</v>
      </c>
      <c r="W44" s="57" t="e">
        <f>IF(AND('Mapa final'!#REF!="Baja",'Mapa final'!#REF!="Moderado"),CONCATENATE("R9C",'Mapa final'!#REF!),"")</f>
        <v>#REF!</v>
      </c>
      <c r="X44" s="57" t="e">
        <f>IF(AND('Mapa final'!#REF!="Baja",'Mapa final'!#REF!="Moderado"),CONCATENATE("R9C",'Mapa final'!#REF!),"")</f>
        <v>#REF!</v>
      </c>
      <c r="Y44" s="57" t="e">
        <f>IF(AND('Mapa final'!#REF!="Baja",'Mapa final'!#REF!="Moderado"),CONCATENATE("R9C",'Mapa final'!#REF!),"")</f>
        <v>#REF!</v>
      </c>
      <c r="Z44" s="57" t="e">
        <f>IF(AND('Mapa final'!#REF!="Baja",'Mapa final'!#REF!="Moderado"),CONCATENATE("R9C",'Mapa final'!#REF!),"")</f>
        <v>#REF!</v>
      </c>
      <c r="AA44" s="58" t="e">
        <f>IF(AND('Mapa final'!#REF!="Baja",'Mapa final'!#REF!="Moderado"),CONCATENATE("R9C",'Mapa final'!#REF!),"")</f>
        <v>#REF!</v>
      </c>
      <c r="AB44" s="40" t="e">
        <f>IF(AND('Mapa final'!#REF!="Baja",'Mapa final'!#REF!="Mayor"),CONCATENATE("R9C",'Mapa final'!#REF!),"")</f>
        <v>#REF!</v>
      </c>
      <c r="AC44" s="41" t="e">
        <f>IF(AND('Mapa final'!#REF!="Baja",'Mapa final'!#REF!="Mayor"),CONCATENATE("R9C",'Mapa final'!#REF!),"")</f>
        <v>#REF!</v>
      </c>
      <c r="AD44" s="46" t="e">
        <f>IF(AND('Mapa final'!#REF!="Baja",'Mapa final'!#REF!="Mayor"),CONCATENATE("R9C",'Mapa final'!#REF!),"")</f>
        <v>#REF!</v>
      </c>
      <c r="AE44" s="46" t="e">
        <f>IF(AND('Mapa final'!#REF!="Baja",'Mapa final'!#REF!="Mayor"),CONCATENATE("R9C",'Mapa final'!#REF!),"")</f>
        <v>#REF!</v>
      </c>
      <c r="AF44" s="46" t="e">
        <f>IF(AND('Mapa final'!#REF!="Baja",'Mapa final'!#REF!="Mayor"),CONCATENATE("R9C",'Mapa final'!#REF!),"")</f>
        <v>#REF!</v>
      </c>
      <c r="AG44" s="42" t="e">
        <f>IF(AND('Mapa final'!#REF!="Baja",'Mapa final'!#REF!="Mayor"),CONCATENATE("R9C",'Mapa final'!#REF!),"")</f>
        <v>#REF!</v>
      </c>
      <c r="AH44" s="43" t="e">
        <f>IF(AND('Mapa final'!#REF!="Baja",'Mapa final'!#REF!="Catastrófico"),CONCATENATE("R9C",'Mapa final'!#REF!),"")</f>
        <v>#REF!</v>
      </c>
      <c r="AI44" s="44" t="e">
        <f>IF(AND('Mapa final'!#REF!="Baja",'Mapa final'!#REF!="Catastrófico"),CONCATENATE("R9C",'Mapa final'!#REF!),"")</f>
        <v>#REF!</v>
      </c>
      <c r="AJ44" s="44" t="e">
        <f>IF(AND('Mapa final'!#REF!="Baja",'Mapa final'!#REF!="Catastrófico"),CONCATENATE("R9C",'Mapa final'!#REF!),"")</f>
        <v>#REF!</v>
      </c>
      <c r="AK44" s="44" t="e">
        <f>IF(AND('Mapa final'!#REF!="Baja",'Mapa final'!#REF!="Catastrófico"),CONCATENATE("R9C",'Mapa final'!#REF!),"")</f>
        <v>#REF!</v>
      </c>
      <c r="AL44" s="44" t="e">
        <f>IF(AND('Mapa final'!#REF!="Baja",'Mapa final'!#REF!="Catastrófico"),CONCATENATE("R9C",'Mapa final'!#REF!),"")</f>
        <v>#REF!</v>
      </c>
      <c r="AM44" s="45" t="e">
        <f>IF(AND('Mapa final'!#REF!="Baja",'Mapa final'!#REF!="Catastrófico"),CONCATENATE("R9C",'Mapa final'!#REF!),"")</f>
        <v>#REF!</v>
      </c>
      <c r="AN44" s="72"/>
      <c r="AO44" s="549"/>
      <c r="AP44" s="550"/>
      <c r="AQ44" s="550"/>
      <c r="AR44" s="550"/>
      <c r="AS44" s="550"/>
      <c r="AT44" s="551"/>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row>
    <row r="45" spans="1:80" ht="15.75" customHeight="1" thickBot="1" x14ac:dyDescent="0.3">
      <c r="A45" s="72"/>
      <c r="B45" s="521"/>
      <c r="C45" s="521"/>
      <c r="D45" s="522"/>
      <c r="E45" s="529"/>
      <c r="F45" s="530"/>
      <c r="G45" s="530"/>
      <c r="H45" s="530"/>
      <c r="I45" s="530"/>
      <c r="J45" s="68" t="e">
        <f>IF(AND('Mapa final'!#REF!="Baja",'Mapa final'!#REF!="Leve"),CONCATENATE("R10C",'Mapa final'!#REF!),"")</f>
        <v>#REF!</v>
      </c>
      <c r="K45" s="69" t="e">
        <f>IF(AND('Mapa final'!#REF!="Baja",'Mapa final'!#REF!="Leve"),CONCATENATE("R10C",'Mapa final'!#REF!),"")</f>
        <v>#REF!</v>
      </c>
      <c r="L45" s="69" t="e">
        <f>IF(AND('Mapa final'!#REF!="Baja",'Mapa final'!#REF!="Leve"),CONCATENATE("R10C",'Mapa final'!#REF!),"")</f>
        <v>#REF!</v>
      </c>
      <c r="M45" s="69" t="e">
        <f>IF(AND('Mapa final'!#REF!="Baja",'Mapa final'!#REF!="Leve"),CONCATENATE("R10C",'Mapa final'!#REF!),"")</f>
        <v>#REF!</v>
      </c>
      <c r="N45" s="69" t="e">
        <f>IF(AND('Mapa final'!#REF!="Baja",'Mapa final'!#REF!="Leve"),CONCATENATE("R10C",'Mapa final'!#REF!),"")</f>
        <v>#REF!</v>
      </c>
      <c r="O45" s="70" t="e">
        <f>IF(AND('Mapa final'!#REF!="Baja",'Mapa final'!#REF!="Leve"),CONCATENATE("R10C",'Mapa final'!#REF!),"")</f>
        <v>#REF!</v>
      </c>
      <c r="P45" s="56" t="e">
        <f>IF(AND('Mapa final'!#REF!="Baja",'Mapa final'!#REF!="Menor"),CONCATENATE("R10C",'Mapa final'!#REF!),"")</f>
        <v>#REF!</v>
      </c>
      <c r="Q45" s="57" t="e">
        <f>IF(AND('Mapa final'!#REF!="Baja",'Mapa final'!#REF!="Menor"),CONCATENATE("R10C",'Mapa final'!#REF!),"")</f>
        <v>#REF!</v>
      </c>
      <c r="R45" s="57" t="e">
        <f>IF(AND('Mapa final'!#REF!="Baja",'Mapa final'!#REF!="Menor"),CONCATENATE("R10C",'Mapa final'!#REF!),"")</f>
        <v>#REF!</v>
      </c>
      <c r="S45" s="57" t="e">
        <f>IF(AND('Mapa final'!#REF!="Baja",'Mapa final'!#REF!="Menor"),CONCATENATE("R10C",'Mapa final'!#REF!),"")</f>
        <v>#REF!</v>
      </c>
      <c r="T45" s="57" t="e">
        <f>IF(AND('Mapa final'!#REF!="Baja",'Mapa final'!#REF!="Menor"),CONCATENATE("R10C",'Mapa final'!#REF!),"")</f>
        <v>#REF!</v>
      </c>
      <c r="U45" s="58" t="e">
        <f>IF(AND('Mapa final'!#REF!="Baja",'Mapa final'!#REF!="Menor"),CONCATENATE("R10C",'Mapa final'!#REF!),"")</f>
        <v>#REF!</v>
      </c>
      <c r="V45" s="59" t="e">
        <f>IF(AND('Mapa final'!#REF!="Baja",'Mapa final'!#REF!="Moderado"),CONCATENATE("R10C",'Mapa final'!#REF!),"")</f>
        <v>#REF!</v>
      </c>
      <c r="W45" s="60" t="e">
        <f>IF(AND('Mapa final'!#REF!="Baja",'Mapa final'!#REF!="Moderado"),CONCATENATE("R10C",'Mapa final'!#REF!),"")</f>
        <v>#REF!</v>
      </c>
      <c r="X45" s="60" t="e">
        <f>IF(AND('Mapa final'!#REF!="Baja",'Mapa final'!#REF!="Moderado"),CONCATENATE("R10C",'Mapa final'!#REF!),"")</f>
        <v>#REF!</v>
      </c>
      <c r="Y45" s="60" t="e">
        <f>IF(AND('Mapa final'!#REF!="Baja",'Mapa final'!#REF!="Moderado"),CONCATENATE("R10C",'Mapa final'!#REF!),"")</f>
        <v>#REF!</v>
      </c>
      <c r="Z45" s="60" t="e">
        <f>IF(AND('Mapa final'!#REF!="Baja",'Mapa final'!#REF!="Moderado"),CONCATENATE("R10C",'Mapa final'!#REF!),"")</f>
        <v>#REF!</v>
      </c>
      <c r="AA45" s="61" t="e">
        <f>IF(AND('Mapa final'!#REF!="Baja",'Mapa final'!#REF!="Moderado"),CONCATENATE("R10C",'Mapa final'!#REF!),"")</f>
        <v>#REF!</v>
      </c>
      <c r="AB45" s="47" t="e">
        <f>IF(AND('Mapa final'!#REF!="Baja",'Mapa final'!#REF!="Mayor"),CONCATENATE("R10C",'Mapa final'!#REF!),"")</f>
        <v>#REF!</v>
      </c>
      <c r="AC45" s="48" t="e">
        <f>IF(AND('Mapa final'!#REF!="Baja",'Mapa final'!#REF!="Mayor"),CONCATENATE("R10C",'Mapa final'!#REF!),"")</f>
        <v>#REF!</v>
      </c>
      <c r="AD45" s="48" t="e">
        <f>IF(AND('Mapa final'!#REF!="Baja",'Mapa final'!#REF!="Mayor"),CONCATENATE("R10C",'Mapa final'!#REF!),"")</f>
        <v>#REF!</v>
      </c>
      <c r="AE45" s="48" t="e">
        <f>IF(AND('Mapa final'!#REF!="Baja",'Mapa final'!#REF!="Mayor"),CONCATENATE("R10C",'Mapa final'!#REF!),"")</f>
        <v>#REF!</v>
      </c>
      <c r="AF45" s="48" t="e">
        <f>IF(AND('Mapa final'!#REF!="Baja",'Mapa final'!#REF!="Mayor"),CONCATENATE("R10C",'Mapa final'!#REF!),"")</f>
        <v>#REF!</v>
      </c>
      <c r="AG45" s="49" t="e">
        <f>IF(AND('Mapa final'!#REF!="Baja",'Mapa final'!#REF!="Mayor"),CONCATENATE("R10C",'Mapa final'!#REF!),"")</f>
        <v>#REF!</v>
      </c>
      <c r="AH45" s="50" t="e">
        <f>IF(AND('Mapa final'!#REF!="Baja",'Mapa final'!#REF!="Catastrófico"),CONCATENATE("R10C",'Mapa final'!#REF!),"")</f>
        <v>#REF!</v>
      </c>
      <c r="AI45" s="51" t="e">
        <f>IF(AND('Mapa final'!#REF!="Baja",'Mapa final'!#REF!="Catastrófico"),CONCATENATE("R10C",'Mapa final'!#REF!),"")</f>
        <v>#REF!</v>
      </c>
      <c r="AJ45" s="51" t="e">
        <f>IF(AND('Mapa final'!#REF!="Baja",'Mapa final'!#REF!="Catastrófico"),CONCATENATE("R10C",'Mapa final'!#REF!),"")</f>
        <v>#REF!</v>
      </c>
      <c r="AK45" s="51" t="e">
        <f>IF(AND('Mapa final'!#REF!="Baja",'Mapa final'!#REF!="Catastrófico"),CONCATENATE("R10C",'Mapa final'!#REF!),"")</f>
        <v>#REF!</v>
      </c>
      <c r="AL45" s="51" t="e">
        <f>IF(AND('Mapa final'!#REF!="Baja",'Mapa final'!#REF!="Catastrófico"),CONCATENATE("R10C",'Mapa final'!#REF!),"")</f>
        <v>#REF!</v>
      </c>
      <c r="AM45" s="52" t="e">
        <f>IF(AND('Mapa final'!#REF!="Baja",'Mapa final'!#REF!="Catastrófico"),CONCATENATE("R10C",'Mapa final'!#REF!),"")</f>
        <v>#REF!</v>
      </c>
      <c r="AN45" s="72"/>
      <c r="AO45" s="552"/>
      <c r="AP45" s="553"/>
      <c r="AQ45" s="553"/>
      <c r="AR45" s="553"/>
      <c r="AS45" s="553"/>
      <c r="AT45" s="554"/>
    </row>
    <row r="46" spans="1:80" ht="46.5" customHeight="1" x14ac:dyDescent="0.35">
      <c r="A46" s="72"/>
      <c r="B46" s="521"/>
      <c r="C46" s="521"/>
      <c r="D46" s="522"/>
      <c r="E46" s="523" t="s">
        <v>111</v>
      </c>
      <c r="F46" s="524"/>
      <c r="G46" s="524"/>
      <c r="H46" s="524"/>
      <c r="I46" s="525"/>
      <c r="J46" s="62" t="str">
        <f>IF(AND('Mapa final'!$AA$13="Muy Baja",'Mapa final'!$AC$13="Leve"),CONCATENATE("R1C",'Mapa final'!$Q$13),"")</f>
        <v/>
      </c>
      <c r="K46" s="63" t="str">
        <f>IF(AND('Mapa final'!$AA$14="Muy Baja",'Mapa final'!$AC$14="Leve"),CONCATENATE("R1C",'Mapa final'!$Q$14),"")</f>
        <v/>
      </c>
      <c r="L46" s="63" t="str">
        <f>IF(AND('Mapa final'!$AA$15="Muy Baja",'Mapa final'!$AC$15="Leve"),CONCATENATE("R1C",'Mapa final'!$Q$15),"")</f>
        <v/>
      </c>
      <c r="M46" s="63" t="str">
        <f>IF(AND('Mapa final'!$AA$16="Muy Baja",'Mapa final'!$AC$16="Leve"),CONCATENATE("R1C",'Mapa final'!$Q$16),"")</f>
        <v/>
      </c>
      <c r="N46" s="63" t="str">
        <f>IF(AND('Mapa final'!$AA$17="Muy Baja",'Mapa final'!$AC$17="Leve"),CONCATENATE("R1C",'Mapa final'!$Q$17),"")</f>
        <v/>
      </c>
      <c r="O46" s="64" t="str">
        <f>IF(AND('Mapa final'!$AA$18="Muy Baja",'Mapa final'!$AC$18="Leve"),CONCATENATE("R1C",'Mapa final'!$Q$18),"")</f>
        <v/>
      </c>
      <c r="P46" s="62" t="str">
        <f>IF(AND('Mapa final'!$AA$13="Muy Baja",'Mapa final'!$AC$13="Menor"),CONCATENATE("R1C",'Mapa final'!$Q$13),"")</f>
        <v/>
      </c>
      <c r="Q46" s="63" t="str">
        <f>IF(AND('Mapa final'!$AA$14="Muy Baja",'Mapa final'!$AC$14="Menor"),CONCATENATE("R1C",'Mapa final'!$Q$14),"")</f>
        <v/>
      </c>
      <c r="R46" s="63" t="str">
        <f>IF(AND('Mapa final'!$AA$15="Muy Baja",'Mapa final'!$AC$15="Menor"),CONCATENATE("R1C",'Mapa final'!$Q$15),"")</f>
        <v/>
      </c>
      <c r="S46" s="63" t="str">
        <f>IF(AND('Mapa final'!$AA$16="Muy Baja",'Mapa final'!$AC$16="Menor"),CONCATENATE("R1C",'Mapa final'!$Q$16),"")</f>
        <v/>
      </c>
      <c r="T46" s="63" t="str">
        <f>IF(AND('Mapa final'!$AA$17="Muy Baja",'Mapa final'!$AC$17="Menor"),CONCATENATE("R1C",'Mapa final'!$Q$17),"")</f>
        <v/>
      </c>
      <c r="U46" s="64" t="str">
        <f>IF(AND('Mapa final'!$AA$18="Muy Baja",'Mapa final'!$AC$18="Menor"),CONCATENATE("R1C",'Mapa final'!$Q$18),"")</f>
        <v/>
      </c>
      <c r="V46" s="53" t="str">
        <f>IF(AND('Mapa final'!$AA$13="Muy Baja",'Mapa final'!$AC$13="Moderado"),CONCATENATE("R1C",'Mapa final'!$Q$13),"")</f>
        <v/>
      </c>
      <c r="W46" s="71" t="str">
        <f>IF(AND('Mapa final'!$AA$14="Muy Baja",'Mapa final'!$AC$14="Moderado"),CONCATENATE("R1C",'Mapa final'!$Q$14),"")</f>
        <v/>
      </c>
      <c r="X46" s="54" t="str">
        <f>IF(AND('Mapa final'!$AA$15="Muy Baja",'Mapa final'!$AC$15="Moderado"),CONCATENATE("R1C",'Mapa final'!$Q$15),"")</f>
        <v/>
      </c>
      <c r="Y46" s="54" t="str">
        <f>IF(AND('Mapa final'!$AA$16="Muy Baja",'Mapa final'!$AC$16="Moderado"),CONCATENATE("R1C",'Mapa final'!$Q$16),"")</f>
        <v/>
      </c>
      <c r="Z46" s="54" t="str">
        <f>IF(AND('Mapa final'!$AA$17="Muy Baja",'Mapa final'!$AC$17="Moderado"),CONCATENATE("R1C",'Mapa final'!$Q$17),"")</f>
        <v/>
      </c>
      <c r="AA46" s="55" t="str">
        <f>IF(AND('Mapa final'!$AA$18="Muy Baja",'Mapa final'!$AC$18="Moderado"),CONCATENATE("R1C",'Mapa final'!$Q$18),"")</f>
        <v/>
      </c>
      <c r="AB46" s="34" t="str">
        <f>IF(AND('Mapa final'!$AA$13="Muy Baja",'Mapa final'!$AC$13="Mayor"),CONCATENATE("R1C",'Mapa final'!$Q$13),"")</f>
        <v/>
      </c>
      <c r="AC46" s="35" t="str">
        <f>IF(AND('Mapa final'!$AA$14="Muy Baja",'Mapa final'!$AC$14="Mayor"),CONCATENATE("R1C",'Mapa final'!$Q$14),"")</f>
        <v/>
      </c>
      <c r="AD46" s="35" t="str">
        <f>IF(AND('Mapa final'!$AA$15="Muy Baja",'Mapa final'!$AC$15="Mayor"),CONCATENATE("R1C",'Mapa final'!$Q$15),"")</f>
        <v/>
      </c>
      <c r="AE46" s="35" t="str">
        <f>IF(AND('Mapa final'!$AA$16="Muy Baja",'Mapa final'!$AC$16="Mayor"),CONCATENATE("R1C",'Mapa final'!$Q$16),"")</f>
        <v/>
      </c>
      <c r="AF46" s="35" t="str">
        <f>IF(AND('Mapa final'!$AA$17="Muy Baja",'Mapa final'!$AC$17="Mayor"),CONCATENATE("R1C",'Mapa final'!$Q$17),"")</f>
        <v/>
      </c>
      <c r="AG46" s="36" t="str">
        <f>IF(AND('Mapa final'!$AA$18="Muy Baja",'Mapa final'!$AC$18="Mayor"),CONCATENATE("R1C",'Mapa final'!$Q$18),"")</f>
        <v/>
      </c>
      <c r="AH46" s="37" t="str">
        <f>IF(AND('Mapa final'!$AA$13="Muy Baja",'Mapa final'!$AC$13="Catastrófico"),CONCATENATE("R1C",'Mapa final'!$Q$13),"")</f>
        <v/>
      </c>
      <c r="AI46" s="38" t="str">
        <f>IF(AND('Mapa final'!$AA$14="Muy Baja",'Mapa final'!$AC$14="Catastrófico"),CONCATENATE("R1C",'Mapa final'!$Q$14),"")</f>
        <v/>
      </c>
      <c r="AJ46" s="38" t="str">
        <f>IF(AND('Mapa final'!$AA$15="Muy Baja",'Mapa final'!$AC$15="Catastrófico"),CONCATENATE("R1C",'Mapa final'!$Q$15),"")</f>
        <v/>
      </c>
      <c r="AK46" s="38" t="str">
        <f>IF(AND('Mapa final'!$AA$16="Muy Baja",'Mapa final'!$AC$16="Catastrófico"),CONCATENATE("R1C",'Mapa final'!$Q$16),"")</f>
        <v/>
      </c>
      <c r="AL46" s="38" t="str">
        <f>IF(AND('Mapa final'!$AA$17="Muy Baja",'Mapa final'!$AC$17="Catastrófico"),CONCATENATE("R1C",'Mapa final'!$Q$17),"")</f>
        <v/>
      </c>
      <c r="AM46" s="39" t="str">
        <f>IF(AND('Mapa final'!$AA$18="Muy Baja",'Mapa final'!$AC$18="Catastrófico"),CONCATENATE("R1C",'Mapa final'!$Q$18),"")</f>
        <v/>
      </c>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c r="BV46" s="72"/>
      <c r="BW46" s="72"/>
      <c r="BX46" s="72"/>
      <c r="BY46" s="72"/>
      <c r="BZ46" s="72"/>
      <c r="CA46" s="72"/>
      <c r="CB46" s="72"/>
    </row>
    <row r="47" spans="1:80" ht="46.5" customHeight="1" x14ac:dyDescent="0.25">
      <c r="A47" s="72"/>
      <c r="B47" s="521"/>
      <c r="C47" s="521"/>
      <c r="D47" s="522"/>
      <c r="E47" s="533"/>
      <c r="F47" s="534"/>
      <c r="G47" s="534"/>
      <c r="H47" s="534"/>
      <c r="I47" s="528"/>
      <c r="J47" s="65" t="e">
        <f>IF(AND('Mapa final'!#REF!="Muy Baja",'Mapa final'!#REF!="Leve"),CONCATENATE("R2C",'Mapa final'!#REF!),"")</f>
        <v>#REF!</v>
      </c>
      <c r="K47" s="66" t="e">
        <f>IF(AND('Mapa final'!#REF!="Muy Baja",'Mapa final'!#REF!="Leve"),CONCATENATE("R2C",'Mapa final'!#REF!),"")</f>
        <v>#REF!</v>
      </c>
      <c r="L47" s="66" t="e">
        <f>IF(AND('Mapa final'!#REF!="Muy Baja",'Mapa final'!#REF!="Leve"),CONCATENATE("R2C",'Mapa final'!#REF!),"")</f>
        <v>#REF!</v>
      </c>
      <c r="M47" s="66" t="e">
        <f>IF(AND('Mapa final'!#REF!="Muy Baja",'Mapa final'!#REF!="Leve"),CONCATENATE("R2C",'Mapa final'!#REF!),"")</f>
        <v>#REF!</v>
      </c>
      <c r="N47" s="66" t="e">
        <f>IF(AND('Mapa final'!#REF!="Muy Baja",'Mapa final'!#REF!="Leve"),CONCATENATE("R2C",'Mapa final'!#REF!),"")</f>
        <v>#REF!</v>
      </c>
      <c r="O47" s="67" t="e">
        <f>IF(AND('Mapa final'!#REF!="Muy Baja",'Mapa final'!#REF!="Leve"),CONCATENATE("R2C",'Mapa final'!#REF!),"")</f>
        <v>#REF!</v>
      </c>
      <c r="P47" s="65" t="e">
        <f>IF(AND('Mapa final'!#REF!="Muy Baja",'Mapa final'!#REF!="Menor"),CONCATENATE("R2C",'Mapa final'!#REF!),"")</f>
        <v>#REF!</v>
      </c>
      <c r="Q47" s="66" t="e">
        <f>IF(AND('Mapa final'!#REF!="Muy Baja",'Mapa final'!#REF!="Menor"),CONCATENATE("R2C",'Mapa final'!#REF!),"")</f>
        <v>#REF!</v>
      </c>
      <c r="R47" s="66" t="e">
        <f>IF(AND('Mapa final'!#REF!="Muy Baja",'Mapa final'!#REF!="Menor"),CONCATENATE("R2C",'Mapa final'!#REF!),"")</f>
        <v>#REF!</v>
      </c>
      <c r="S47" s="66" t="e">
        <f>IF(AND('Mapa final'!#REF!="Muy Baja",'Mapa final'!#REF!="Menor"),CONCATENATE("R2C",'Mapa final'!#REF!),"")</f>
        <v>#REF!</v>
      </c>
      <c r="T47" s="66" t="e">
        <f>IF(AND('Mapa final'!#REF!="Muy Baja",'Mapa final'!#REF!="Menor"),CONCATENATE("R2C",'Mapa final'!#REF!),"")</f>
        <v>#REF!</v>
      </c>
      <c r="U47" s="67" t="e">
        <f>IF(AND('Mapa final'!#REF!="Muy Baja",'Mapa final'!#REF!="Menor"),CONCATENATE("R2C",'Mapa final'!#REF!),"")</f>
        <v>#REF!</v>
      </c>
      <c r="V47" s="56" t="e">
        <f>IF(AND('Mapa final'!#REF!="Muy Baja",'Mapa final'!#REF!="Moderado"),CONCATENATE("R2C",'Mapa final'!#REF!),"")</f>
        <v>#REF!</v>
      </c>
      <c r="W47" s="57" t="e">
        <f>IF(AND('Mapa final'!#REF!="Muy Baja",'Mapa final'!#REF!="Moderado"),CONCATENATE("R2C",'Mapa final'!#REF!),"")</f>
        <v>#REF!</v>
      </c>
      <c r="X47" s="57" t="e">
        <f>IF(AND('Mapa final'!#REF!="Muy Baja",'Mapa final'!#REF!="Moderado"),CONCATENATE("R2C",'Mapa final'!#REF!),"")</f>
        <v>#REF!</v>
      </c>
      <c r="Y47" s="57" t="e">
        <f>IF(AND('Mapa final'!#REF!="Muy Baja",'Mapa final'!#REF!="Moderado"),CONCATENATE("R2C",'Mapa final'!#REF!),"")</f>
        <v>#REF!</v>
      </c>
      <c r="Z47" s="57" t="e">
        <f>IF(AND('Mapa final'!#REF!="Muy Baja",'Mapa final'!#REF!="Moderado"),CONCATENATE("R2C",'Mapa final'!#REF!),"")</f>
        <v>#REF!</v>
      </c>
      <c r="AA47" s="58" t="e">
        <f>IF(AND('Mapa final'!#REF!="Muy Baja",'Mapa final'!#REF!="Moderado"),CONCATENATE("R2C",'Mapa final'!#REF!),"")</f>
        <v>#REF!</v>
      </c>
      <c r="AB47" s="40" t="e">
        <f>IF(AND('Mapa final'!#REF!="Muy Baja",'Mapa final'!#REF!="Mayor"),CONCATENATE("R2C",'Mapa final'!#REF!),"")</f>
        <v>#REF!</v>
      </c>
      <c r="AC47" s="41" t="e">
        <f>IF(AND('Mapa final'!#REF!="Muy Baja",'Mapa final'!#REF!="Mayor"),CONCATENATE("R2C",'Mapa final'!#REF!),"")</f>
        <v>#REF!</v>
      </c>
      <c r="AD47" s="41" t="e">
        <f>IF(AND('Mapa final'!#REF!="Muy Baja",'Mapa final'!#REF!="Mayor"),CONCATENATE("R2C",'Mapa final'!#REF!),"")</f>
        <v>#REF!</v>
      </c>
      <c r="AE47" s="41" t="e">
        <f>IF(AND('Mapa final'!#REF!="Muy Baja",'Mapa final'!#REF!="Mayor"),CONCATENATE("R2C",'Mapa final'!#REF!),"")</f>
        <v>#REF!</v>
      </c>
      <c r="AF47" s="41" t="e">
        <f>IF(AND('Mapa final'!#REF!="Muy Baja",'Mapa final'!#REF!="Mayor"),CONCATENATE("R2C",'Mapa final'!#REF!),"")</f>
        <v>#REF!</v>
      </c>
      <c r="AG47" s="42" t="e">
        <f>IF(AND('Mapa final'!#REF!="Muy Baja",'Mapa final'!#REF!="Mayor"),CONCATENATE("R2C",'Mapa final'!#REF!),"")</f>
        <v>#REF!</v>
      </c>
      <c r="AH47" s="43" t="e">
        <f>IF(AND('Mapa final'!#REF!="Muy Baja",'Mapa final'!#REF!="Catastrófico"),CONCATENATE("R2C",'Mapa final'!#REF!),"")</f>
        <v>#REF!</v>
      </c>
      <c r="AI47" s="44" t="e">
        <f>IF(AND('Mapa final'!#REF!="Muy Baja",'Mapa final'!#REF!="Catastrófico"),CONCATENATE("R2C",'Mapa final'!#REF!),"")</f>
        <v>#REF!</v>
      </c>
      <c r="AJ47" s="44" t="e">
        <f>IF(AND('Mapa final'!#REF!="Muy Baja",'Mapa final'!#REF!="Catastrófico"),CONCATENATE("R2C",'Mapa final'!#REF!),"")</f>
        <v>#REF!</v>
      </c>
      <c r="AK47" s="44" t="e">
        <f>IF(AND('Mapa final'!#REF!="Muy Baja",'Mapa final'!#REF!="Catastrófico"),CONCATENATE("R2C",'Mapa final'!#REF!),"")</f>
        <v>#REF!</v>
      </c>
      <c r="AL47" s="44" t="e">
        <f>IF(AND('Mapa final'!#REF!="Muy Baja",'Mapa final'!#REF!="Catastrófico"),CONCATENATE("R2C",'Mapa final'!#REF!),"")</f>
        <v>#REF!</v>
      </c>
      <c r="AM47" s="45" t="e">
        <f>IF(AND('Mapa final'!#REF!="Muy Baja",'Mapa final'!#REF!="Catastrófico"),CONCATENATE("R2C",'Mapa final'!#REF!),"")</f>
        <v>#REF!</v>
      </c>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row>
    <row r="48" spans="1:80" ht="15" customHeight="1" x14ac:dyDescent="0.25">
      <c r="A48" s="72"/>
      <c r="B48" s="521"/>
      <c r="C48" s="521"/>
      <c r="D48" s="522"/>
      <c r="E48" s="533"/>
      <c r="F48" s="534"/>
      <c r="G48" s="534"/>
      <c r="H48" s="534"/>
      <c r="I48" s="528"/>
      <c r="J48" s="65" t="e">
        <f>IF(AND('Mapa final'!#REF!="Muy Baja",'Mapa final'!#REF!="Leve"),CONCATENATE("R3C",'Mapa final'!#REF!),"")</f>
        <v>#REF!</v>
      </c>
      <c r="K48" s="66" t="e">
        <f>IF(AND('Mapa final'!#REF!="Muy Baja",'Mapa final'!#REF!="Leve"),CONCATENATE("R3C",'Mapa final'!#REF!),"")</f>
        <v>#REF!</v>
      </c>
      <c r="L48" s="66" t="e">
        <f>IF(AND('Mapa final'!#REF!="Muy Baja",'Mapa final'!#REF!="Leve"),CONCATENATE("R3C",'Mapa final'!#REF!),"")</f>
        <v>#REF!</v>
      </c>
      <c r="M48" s="66" t="e">
        <f>IF(AND('Mapa final'!#REF!="Muy Baja",'Mapa final'!#REF!="Leve"),CONCATENATE("R3C",'Mapa final'!#REF!),"")</f>
        <v>#REF!</v>
      </c>
      <c r="N48" s="66" t="e">
        <f>IF(AND('Mapa final'!#REF!="Muy Baja",'Mapa final'!#REF!="Leve"),CONCATENATE("R3C",'Mapa final'!#REF!),"")</f>
        <v>#REF!</v>
      </c>
      <c r="O48" s="67" t="e">
        <f>IF(AND('Mapa final'!#REF!="Muy Baja",'Mapa final'!#REF!="Leve"),CONCATENATE("R3C",'Mapa final'!#REF!),"")</f>
        <v>#REF!</v>
      </c>
      <c r="P48" s="65" t="e">
        <f>IF(AND('Mapa final'!#REF!="Muy Baja",'Mapa final'!#REF!="Menor"),CONCATENATE("R3C",'Mapa final'!#REF!),"")</f>
        <v>#REF!</v>
      </c>
      <c r="Q48" s="66" t="e">
        <f>IF(AND('Mapa final'!#REF!="Muy Baja",'Mapa final'!#REF!="Menor"),CONCATENATE("R3C",'Mapa final'!#REF!),"")</f>
        <v>#REF!</v>
      </c>
      <c r="R48" s="66" t="e">
        <f>IF(AND('Mapa final'!#REF!="Muy Baja",'Mapa final'!#REF!="Menor"),CONCATENATE("R3C",'Mapa final'!#REF!),"")</f>
        <v>#REF!</v>
      </c>
      <c r="S48" s="66" t="e">
        <f>IF(AND('Mapa final'!#REF!="Muy Baja",'Mapa final'!#REF!="Menor"),CONCATENATE("R3C",'Mapa final'!#REF!),"")</f>
        <v>#REF!</v>
      </c>
      <c r="T48" s="66" t="e">
        <f>IF(AND('Mapa final'!#REF!="Muy Baja",'Mapa final'!#REF!="Menor"),CONCATENATE("R3C",'Mapa final'!#REF!),"")</f>
        <v>#REF!</v>
      </c>
      <c r="U48" s="67" t="e">
        <f>IF(AND('Mapa final'!#REF!="Muy Baja",'Mapa final'!#REF!="Menor"),CONCATENATE("R3C",'Mapa final'!#REF!),"")</f>
        <v>#REF!</v>
      </c>
      <c r="V48" s="56" t="e">
        <f>IF(AND('Mapa final'!#REF!="Muy Baja",'Mapa final'!#REF!="Moderado"),CONCATENATE("R3C",'Mapa final'!#REF!),"")</f>
        <v>#REF!</v>
      </c>
      <c r="W48" s="57" t="e">
        <f>IF(AND('Mapa final'!#REF!="Muy Baja",'Mapa final'!#REF!="Moderado"),CONCATENATE("R3C",'Mapa final'!#REF!),"")</f>
        <v>#REF!</v>
      </c>
      <c r="X48" s="57" t="e">
        <f>IF(AND('Mapa final'!#REF!="Muy Baja",'Mapa final'!#REF!="Moderado"),CONCATENATE("R3C",'Mapa final'!#REF!),"")</f>
        <v>#REF!</v>
      </c>
      <c r="Y48" s="57" t="e">
        <f>IF(AND('Mapa final'!#REF!="Muy Baja",'Mapa final'!#REF!="Moderado"),CONCATENATE("R3C",'Mapa final'!#REF!),"")</f>
        <v>#REF!</v>
      </c>
      <c r="Z48" s="57" t="e">
        <f>IF(AND('Mapa final'!#REF!="Muy Baja",'Mapa final'!#REF!="Moderado"),CONCATENATE("R3C",'Mapa final'!#REF!),"")</f>
        <v>#REF!</v>
      </c>
      <c r="AA48" s="58" t="e">
        <f>IF(AND('Mapa final'!#REF!="Muy Baja",'Mapa final'!#REF!="Moderado"),CONCATENATE("R3C",'Mapa final'!#REF!),"")</f>
        <v>#REF!</v>
      </c>
      <c r="AB48" s="40" t="e">
        <f>IF(AND('Mapa final'!#REF!="Muy Baja",'Mapa final'!#REF!="Mayor"),CONCATENATE("R3C",'Mapa final'!#REF!),"")</f>
        <v>#REF!</v>
      </c>
      <c r="AC48" s="41" t="e">
        <f>IF(AND('Mapa final'!#REF!="Muy Baja",'Mapa final'!#REF!="Mayor"),CONCATENATE("R3C",'Mapa final'!#REF!),"")</f>
        <v>#REF!</v>
      </c>
      <c r="AD48" s="41" t="e">
        <f>IF(AND('Mapa final'!#REF!="Muy Baja",'Mapa final'!#REF!="Mayor"),CONCATENATE("R3C",'Mapa final'!#REF!),"")</f>
        <v>#REF!</v>
      </c>
      <c r="AE48" s="41" t="e">
        <f>IF(AND('Mapa final'!#REF!="Muy Baja",'Mapa final'!#REF!="Mayor"),CONCATENATE("R3C",'Mapa final'!#REF!),"")</f>
        <v>#REF!</v>
      </c>
      <c r="AF48" s="41" t="e">
        <f>IF(AND('Mapa final'!#REF!="Muy Baja",'Mapa final'!#REF!="Mayor"),CONCATENATE("R3C",'Mapa final'!#REF!),"")</f>
        <v>#REF!</v>
      </c>
      <c r="AG48" s="42" t="e">
        <f>IF(AND('Mapa final'!#REF!="Muy Baja",'Mapa final'!#REF!="Mayor"),CONCATENATE("R3C",'Mapa final'!#REF!),"")</f>
        <v>#REF!</v>
      </c>
      <c r="AH48" s="43" t="e">
        <f>IF(AND('Mapa final'!#REF!="Muy Baja",'Mapa final'!#REF!="Catastrófico"),CONCATENATE("R3C",'Mapa final'!#REF!),"")</f>
        <v>#REF!</v>
      </c>
      <c r="AI48" s="44" t="e">
        <f>IF(AND('Mapa final'!#REF!="Muy Baja",'Mapa final'!#REF!="Catastrófico"),CONCATENATE("R3C",'Mapa final'!#REF!),"")</f>
        <v>#REF!</v>
      </c>
      <c r="AJ48" s="44" t="e">
        <f>IF(AND('Mapa final'!#REF!="Muy Baja",'Mapa final'!#REF!="Catastrófico"),CONCATENATE("R3C",'Mapa final'!#REF!),"")</f>
        <v>#REF!</v>
      </c>
      <c r="AK48" s="44" t="e">
        <f>IF(AND('Mapa final'!#REF!="Muy Baja",'Mapa final'!#REF!="Catastrófico"),CONCATENATE("R3C",'Mapa final'!#REF!),"")</f>
        <v>#REF!</v>
      </c>
      <c r="AL48" s="44" t="e">
        <f>IF(AND('Mapa final'!#REF!="Muy Baja",'Mapa final'!#REF!="Catastrófico"),CONCATENATE("R3C",'Mapa final'!#REF!),"")</f>
        <v>#REF!</v>
      </c>
      <c r="AM48" s="45" t="e">
        <f>IF(AND('Mapa final'!#REF!="Muy Baja",'Mapa final'!#REF!="Catastrófico"),CONCATENATE("R3C",'Mapa final'!#REF!),"")</f>
        <v>#REF!</v>
      </c>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row>
    <row r="49" spans="1:80" ht="15" customHeight="1" x14ac:dyDescent="0.25">
      <c r="A49" s="72"/>
      <c r="B49" s="521"/>
      <c r="C49" s="521"/>
      <c r="D49" s="522"/>
      <c r="E49" s="526"/>
      <c r="F49" s="527"/>
      <c r="G49" s="527"/>
      <c r="H49" s="527"/>
      <c r="I49" s="528"/>
      <c r="J49" s="65" t="e">
        <f>IF(AND('Mapa final'!#REF!="Muy Baja",'Mapa final'!#REF!="Leve"),CONCATENATE("R4C",'Mapa final'!#REF!),"")</f>
        <v>#REF!</v>
      </c>
      <c r="K49" s="66" t="e">
        <f>IF(AND('Mapa final'!#REF!="Muy Baja",'Mapa final'!#REF!="Leve"),CONCATENATE("R4C",'Mapa final'!#REF!),"")</f>
        <v>#REF!</v>
      </c>
      <c r="L49" s="66" t="e">
        <f>IF(AND('Mapa final'!#REF!="Muy Baja",'Mapa final'!#REF!="Leve"),CONCATENATE("R4C",'Mapa final'!#REF!),"")</f>
        <v>#REF!</v>
      </c>
      <c r="M49" s="66" t="e">
        <f>IF(AND('Mapa final'!#REF!="Muy Baja",'Mapa final'!#REF!="Leve"),CONCATENATE("R4C",'Mapa final'!#REF!),"")</f>
        <v>#REF!</v>
      </c>
      <c r="N49" s="66" t="e">
        <f>IF(AND('Mapa final'!#REF!="Muy Baja",'Mapa final'!#REF!="Leve"),CONCATENATE("R4C",'Mapa final'!#REF!),"")</f>
        <v>#REF!</v>
      </c>
      <c r="O49" s="67" t="e">
        <f>IF(AND('Mapa final'!#REF!="Muy Baja",'Mapa final'!#REF!="Leve"),CONCATENATE("R4C",'Mapa final'!#REF!),"")</f>
        <v>#REF!</v>
      </c>
      <c r="P49" s="65" t="e">
        <f>IF(AND('Mapa final'!#REF!="Muy Baja",'Mapa final'!#REF!="Menor"),CONCATENATE("R4C",'Mapa final'!#REF!),"")</f>
        <v>#REF!</v>
      </c>
      <c r="Q49" s="66" t="e">
        <f>IF(AND('Mapa final'!#REF!="Muy Baja",'Mapa final'!#REF!="Menor"),CONCATENATE("R4C",'Mapa final'!#REF!),"")</f>
        <v>#REF!</v>
      </c>
      <c r="R49" s="66" t="e">
        <f>IF(AND('Mapa final'!#REF!="Muy Baja",'Mapa final'!#REF!="Menor"),CONCATENATE("R4C",'Mapa final'!#REF!),"")</f>
        <v>#REF!</v>
      </c>
      <c r="S49" s="66" t="e">
        <f>IF(AND('Mapa final'!#REF!="Muy Baja",'Mapa final'!#REF!="Menor"),CONCATENATE("R4C",'Mapa final'!#REF!),"")</f>
        <v>#REF!</v>
      </c>
      <c r="T49" s="66" t="e">
        <f>IF(AND('Mapa final'!#REF!="Muy Baja",'Mapa final'!#REF!="Menor"),CONCATENATE("R4C",'Mapa final'!#REF!),"")</f>
        <v>#REF!</v>
      </c>
      <c r="U49" s="67" t="e">
        <f>IF(AND('Mapa final'!#REF!="Muy Baja",'Mapa final'!#REF!="Menor"),CONCATENATE("R4C",'Mapa final'!#REF!),"")</f>
        <v>#REF!</v>
      </c>
      <c r="V49" s="56" t="e">
        <f>IF(AND('Mapa final'!#REF!="Muy Baja",'Mapa final'!#REF!="Moderado"),CONCATENATE("R4C",'Mapa final'!#REF!),"")</f>
        <v>#REF!</v>
      </c>
      <c r="W49" s="57" t="e">
        <f>IF(AND('Mapa final'!#REF!="Muy Baja",'Mapa final'!#REF!="Moderado"),CONCATENATE("R4C",'Mapa final'!#REF!),"")</f>
        <v>#REF!</v>
      </c>
      <c r="X49" s="57" t="e">
        <f>IF(AND('Mapa final'!#REF!="Muy Baja",'Mapa final'!#REF!="Moderado"),CONCATENATE("R4C",'Mapa final'!#REF!),"")</f>
        <v>#REF!</v>
      </c>
      <c r="Y49" s="57" t="e">
        <f>IF(AND('Mapa final'!#REF!="Muy Baja",'Mapa final'!#REF!="Moderado"),CONCATENATE("R4C",'Mapa final'!#REF!),"")</f>
        <v>#REF!</v>
      </c>
      <c r="Z49" s="57" t="e">
        <f>IF(AND('Mapa final'!#REF!="Muy Baja",'Mapa final'!#REF!="Moderado"),CONCATENATE("R4C",'Mapa final'!#REF!),"")</f>
        <v>#REF!</v>
      </c>
      <c r="AA49" s="58" t="e">
        <f>IF(AND('Mapa final'!#REF!="Muy Baja",'Mapa final'!#REF!="Moderado"),CONCATENATE("R4C",'Mapa final'!#REF!),"")</f>
        <v>#REF!</v>
      </c>
      <c r="AB49" s="40" t="e">
        <f>IF(AND('Mapa final'!#REF!="Muy Baja",'Mapa final'!#REF!="Mayor"),CONCATENATE("R4C",'Mapa final'!#REF!),"")</f>
        <v>#REF!</v>
      </c>
      <c r="AC49" s="41" t="e">
        <f>IF(AND('Mapa final'!#REF!="Muy Baja",'Mapa final'!#REF!="Mayor"),CONCATENATE("R4C",'Mapa final'!#REF!),"")</f>
        <v>#REF!</v>
      </c>
      <c r="AD49" s="41" t="e">
        <f>IF(AND('Mapa final'!#REF!="Muy Baja",'Mapa final'!#REF!="Mayor"),CONCATENATE("R4C",'Mapa final'!#REF!),"")</f>
        <v>#REF!</v>
      </c>
      <c r="AE49" s="41" t="e">
        <f>IF(AND('Mapa final'!#REF!="Muy Baja",'Mapa final'!#REF!="Mayor"),CONCATENATE("R4C",'Mapa final'!#REF!),"")</f>
        <v>#REF!</v>
      </c>
      <c r="AF49" s="41" t="e">
        <f>IF(AND('Mapa final'!#REF!="Muy Baja",'Mapa final'!#REF!="Mayor"),CONCATENATE("R4C",'Mapa final'!#REF!),"")</f>
        <v>#REF!</v>
      </c>
      <c r="AG49" s="42" t="e">
        <f>IF(AND('Mapa final'!#REF!="Muy Baja",'Mapa final'!#REF!="Mayor"),CONCATENATE("R4C",'Mapa final'!#REF!),"")</f>
        <v>#REF!</v>
      </c>
      <c r="AH49" s="43" t="e">
        <f>IF(AND('Mapa final'!#REF!="Muy Baja",'Mapa final'!#REF!="Catastrófico"),CONCATENATE("R4C",'Mapa final'!#REF!),"")</f>
        <v>#REF!</v>
      </c>
      <c r="AI49" s="44" t="e">
        <f>IF(AND('Mapa final'!#REF!="Muy Baja",'Mapa final'!#REF!="Catastrófico"),CONCATENATE("R4C",'Mapa final'!#REF!),"")</f>
        <v>#REF!</v>
      </c>
      <c r="AJ49" s="44" t="e">
        <f>IF(AND('Mapa final'!#REF!="Muy Baja",'Mapa final'!#REF!="Catastrófico"),CONCATENATE("R4C",'Mapa final'!#REF!),"")</f>
        <v>#REF!</v>
      </c>
      <c r="AK49" s="44" t="e">
        <f>IF(AND('Mapa final'!#REF!="Muy Baja",'Mapa final'!#REF!="Catastrófico"),CONCATENATE("R4C",'Mapa final'!#REF!),"")</f>
        <v>#REF!</v>
      </c>
      <c r="AL49" s="44" t="e">
        <f>IF(AND('Mapa final'!#REF!="Muy Baja",'Mapa final'!#REF!="Catastrófico"),CONCATENATE("R4C",'Mapa final'!#REF!),"")</f>
        <v>#REF!</v>
      </c>
      <c r="AM49" s="45" t="e">
        <f>IF(AND('Mapa final'!#REF!="Muy Baja",'Mapa final'!#REF!="Catastrófico"),CONCATENATE("R4C",'Mapa final'!#REF!),"")</f>
        <v>#REF!</v>
      </c>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row>
    <row r="50" spans="1:80" ht="15" customHeight="1" x14ac:dyDescent="0.25">
      <c r="A50" s="72"/>
      <c r="B50" s="521"/>
      <c r="C50" s="521"/>
      <c r="D50" s="522"/>
      <c r="E50" s="526"/>
      <c r="F50" s="527"/>
      <c r="G50" s="527"/>
      <c r="H50" s="527"/>
      <c r="I50" s="528"/>
      <c r="J50" s="65" t="e">
        <f>IF(AND('Mapa final'!#REF!="Muy Baja",'Mapa final'!#REF!="Leve"),CONCATENATE("R5C",'Mapa final'!#REF!),"")</f>
        <v>#REF!</v>
      </c>
      <c r="K50" s="66" t="e">
        <f>IF(AND('Mapa final'!#REF!="Muy Baja",'Mapa final'!#REF!="Leve"),CONCATENATE("R5C",'Mapa final'!#REF!),"")</f>
        <v>#REF!</v>
      </c>
      <c r="L50" s="66" t="e">
        <f>IF(AND('Mapa final'!#REF!="Muy Baja",'Mapa final'!#REF!="Leve"),CONCATENATE("R5C",'Mapa final'!#REF!),"")</f>
        <v>#REF!</v>
      </c>
      <c r="M50" s="66" t="e">
        <f>IF(AND('Mapa final'!#REF!="Muy Baja",'Mapa final'!#REF!="Leve"),CONCATENATE("R5C",'Mapa final'!#REF!),"")</f>
        <v>#REF!</v>
      </c>
      <c r="N50" s="66" t="e">
        <f>IF(AND('Mapa final'!#REF!="Muy Baja",'Mapa final'!#REF!="Leve"),CONCATENATE("R5C",'Mapa final'!#REF!),"")</f>
        <v>#REF!</v>
      </c>
      <c r="O50" s="67" t="e">
        <f>IF(AND('Mapa final'!#REF!="Muy Baja",'Mapa final'!#REF!="Leve"),CONCATENATE("R5C",'Mapa final'!#REF!),"")</f>
        <v>#REF!</v>
      </c>
      <c r="P50" s="65" t="e">
        <f>IF(AND('Mapa final'!#REF!="Muy Baja",'Mapa final'!#REF!="Menor"),CONCATENATE("R5C",'Mapa final'!#REF!),"")</f>
        <v>#REF!</v>
      </c>
      <c r="Q50" s="66" t="e">
        <f>IF(AND('Mapa final'!#REF!="Muy Baja",'Mapa final'!#REF!="Menor"),CONCATENATE("R5C",'Mapa final'!#REF!),"")</f>
        <v>#REF!</v>
      </c>
      <c r="R50" s="66" t="e">
        <f>IF(AND('Mapa final'!#REF!="Muy Baja",'Mapa final'!#REF!="Menor"),CONCATENATE("R5C",'Mapa final'!#REF!),"")</f>
        <v>#REF!</v>
      </c>
      <c r="S50" s="66" t="e">
        <f>IF(AND('Mapa final'!#REF!="Muy Baja",'Mapa final'!#REF!="Menor"),CONCATENATE("R5C",'Mapa final'!#REF!),"")</f>
        <v>#REF!</v>
      </c>
      <c r="T50" s="66" t="e">
        <f>IF(AND('Mapa final'!#REF!="Muy Baja",'Mapa final'!#REF!="Menor"),CONCATENATE("R5C",'Mapa final'!#REF!),"")</f>
        <v>#REF!</v>
      </c>
      <c r="U50" s="67" t="e">
        <f>IF(AND('Mapa final'!#REF!="Muy Baja",'Mapa final'!#REF!="Menor"),CONCATENATE("R5C",'Mapa final'!#REF!),"")</f>
        <v>#REF!</v>
      </c>
      <c r="V50" s="56" t="e">
        <f>IF(AND('Mapa final'!#REF!="Muy Baja",'Mapa final'!#REF!="Moderado"),CONCATENATE("R5C",'Mapa final'!#REF!),"")</f>
        <v>#REF!</v>
      </c>
      <c r="W50" s="57" t="e">
        <f>IF(AND('Mapa final'!#REF!="Muy Baja",'Mapa final'!#REF!="Moderado"),CONCATENATE("R5C",'Mapa final'!#REF!),"")</f>
        <v>#REF!</v>
      </c>
      <c r="X50" s="57" t="e">
        <f>IF(AND('Mapa final'!#REF!="Muy Baja",'Mapa final'!#REF!="Moderado"),CONCATENATE("R5C",'Mapa final'!#REF!),"")</f>
        <v>#REF!</v>
      </c>
      <c r="Y50" s="57" t="e">
        <f>IF(AND('Mapa final'!#REF!="Muy Baja",'Mapa final'!#REF!="Moderado"),CONCATENATE("R5C",'Mapa final'!#REF!),"")</f>
        <v>#REF!</v>
      </c>
      <c r="Z50" s="57" t="e">
        <f>IF(AND('Mapa final'!#REF!="Muy Baja",'Mapa final'!#REF!="Moderado"),CONCATENATE("R5C",'Mapa final'!#REF!),"")</f>
        <v>#REF!</v>
      </c>
      <c r="AA50" s="58" t="e">
        <f>IF(AND('Mapa final'!#REF!="Muy Baja",'Mapa final'!#REF!="Moderado"),CONCATENATE("R5C",'Mapa final'!#REF!),"")</f>
        <v>#REF!</v>
      </c>
      <c r="AB50" s="40" t="e">
        <f>IF(AND('Mapa final'!#REF!="Muy Baja",'Mapa final'!#REF!="Mayor"),CONCATENATE("R5C",'Mapa final'!#REF!),"")</f>
        <v>#REF!</v>
      </c>
      <c r="AC50" s="41" t="e">
        <f>IF(AND('Mapa final'!#REF!="Muy Baja",'Mapa final'!#REF!="Mayor"),CONCATENATE("R5C",'Mapa final'!#REF!),"")</f>
        <v>#REF!</v>
      </c>
      <c r="AD50" s="46" t="e">
        <f>IF(AND('Mapa final'!#REF!="Muy Baja",'Mapa final'!#REF!="Mayor"),CONCATENATE("R5C",'Mapa final'!#REF!),"")</f>
        <v>#REF!</v>
      </c>
      <c r="AE50" s="46" t="e">
        <f>IF(AND('Mapa final'!#REF!="Muy Baja",'Mapa final'!#REF!="Mayor"),CONCATENATE("R5C",'Mapa final'!#REF!),"")</f>
        <v>#REF!</v>
      </c>
      <c r="AF50" s="46" t="e">
        <f>IF(AND('Mapa final'!#REF!="Muy Baja",'Mapa final'!#REF!="Mayor"),CONCATENATE("R5C",'Mapa final'!#REF!),"")</f>
        <v>#REF!</v>
      </c>
      <c r="AG50" s="42" t="e">
        <f>IF(AND('Mapa final'!#REF!="Muy Baja",'Mapa final'!#REF!="Mayor"),CONCATENATE("R5C",'Mapa final'!#REF!),"")</f>
        <v>#REF!</v>
      </c>
      <c r="AH50" s="43" t="e">
        <f>IF(AND('Mapa final'!#REF!="Muy Baja",'Mapa final'!#REF!="Catastrófico"),CONCATENATE("R5C",'Mapa final'!#REF!),"")</f>
        <v>#REF!</v>
      </c>
      <c r="AI50" s="44" t="e">
        <f>IF(AND('Mapa final'!#REF!="Muy Baja",'Mapa final'!#REF!="Catastrófico"),CONCATENATE("R5C",'Mapa final'!#REF!),"")</f>
        <v>#REF!</v>
      </c>
      <c r="AJ50" s="44" t="e">
        <f>IF(AND('Mapa final'!#REF!="Muy Baja",'Mapa final'!#REF!="Catastrófico"),CONCATENATE("R5C",'Mapa final'!#REF!),"")</f>
        <v>#REF!</v>
      </c>
      <c r="AK50" s="44" t="e">
        <f>IF(AND('Mapa final'!#REF!="Muy Baja",'Mapa final'!#REF!="Catastrófico"),CONCATENATE("R5C",'Mapa final'!#REF!),"")</f>
        <v>#REF!</v>
      </c>
      <c r="AL50" s="44" t="e">
        <f>IF(AND('Mapa final'!#REF!="Muy Baja",'Mapa final'!#REF!="Catastrófico"),CONCATENATE("R5C",'Mapa final'!#REF!),"")</f>
        <v>#REF!</v>
      </c>
      <c r="AM50" s="45" t="e">
        <f>IF(AND('Mapa final'!#REF!="Muy Baja",'Mapa final'!#REF!="Catastrófico"),CONCATENATE("R5C",'Mapa final'!#REF!),"")</f>
        <v>#REF!</v>
      </c>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c r="BV50" s="72"/>
      <c r="BW50" s="72"/>
      <c r="BX50" s="72"/>
      <c r="BY50" s="72"/>
      <c r="BZ50" s="72"/>
      <c r="CA50" s="72"/>
      <c r="CB50" s="72"/>
    </row>
    <row r="51" spans="1:80" ht="15" customHeight="1" x14ac:dyDescent="0.25">
      <c r="A51" s="72"/>
      <c r="B51" s="521"/>
      <c r="C51" s="521"/>
      <c r="D51" s="522"/>
      <c r="E51" s="526"/>
      <c r="F51" s="527"/>
      <c r="G51" s="527"/>
      <c r="H51" s="527"/>
      <c r="I51" s="528"/>
      <c r="J51" s="65" t="e">
        <f>IF(AND('Mapa final'!#REF!="Muy Baja",'Mapa final'!#REF!="Leve"),CONCATENATE("R6C",'Mapa final'!#REF!),"")</f>
        <v>#REF!</v>
      </c>
      <c r="K51" s="66" t="e">
        <f>IF(AND('Mapa final'!#REF!="Muy Baja",'Mapa final'!#REF!="Leve"),CONCATENATE("R6C",'Mapa final'!#REF!),"")</f>
        <v>#REF!</v>
      </c>
      <c r="L51" s="66" t="e">
        <f>IF(AND('Mapa final'!#REF!="Muy Baja",'Mapa final'!#REF!="Leve"),CONCATENATE("R6C",'Mapa final'!#REF!),"")</f>
        <v>#REF!</v>
      </c>
      <c r="M51" s="66" t="e">
        <f>IF(AND('Mapa final'!#REF!="Muy Baja",'Mapa final'!#REF!="Leve"),CONCATENATE("R6C",'Mapa final'!#REF!),"")</f>
        <v>#REF!</v>
      </c>
      <c r="N51" s="66" t="e">
        <f>IF(AND('Mapa final'!#REF!="Muy Baja",'Mapa final'!#REF!="Leve"),CONCATENATE("R6C",'Mapa final'!#REF!),"")</f>
        <v>#REF!</v>
      </c>
      <c r="O51" s="67" t="e">
        <f>IF(AND('Mapa final'!#REF!="Muy Baja",'Mapa final'!#REF!="Leve"),CONCATENATE("R6C",'Mapa final'!#REF!),"")</f>
        <v>#REF!</v>
      </c>
      <c r="P51" s="65" t="e">
        <f>IF(AND('Mapa final'!#REF!="Muy Baja",'Mapa final'!#REF!="Menor"),CONCATENATE("R6C",'Mapa final'!#REF!),"")</f>
        <v>#REF!</v>
      </c>
      <c r="Q51" s="66" t="e">
        <f>IF(AND('Mapa final'!#REF!="Muy Baja",'Mapa final'!#REF!="Menor"),CONCATENATE("R6C",'Mapa final'!#REF!),"")</f>
        <v>#REF!</v>
      </c>
      <c r="R51" s="66" t="e">
        <f>IF(AND('Mapa final'!#REF!="Muy Baja",'Mapa final'!#REF!="Menor"),CONCATENATE("R6C",'Mapa final'!#REF!),"")</f>
        <v>#REF!</v>
      </c>
      <c r="S51" s="66" t="e">
        <f>IF(AND('Mapa final'!#REF!="Muy Baja",'Mapa final'!#REF!="Menor"),CONCATENATE("R6C",'Mapa final'!#REF!),"")</f>
        <v>#REF!</v>
      </c>
      <c r="T51" s="66" t="e">
        <f>IF(AND('Mapa final'!#REF!="Muy Baja",'Mapa final'!#REF!="Menor"),CONCATENATE("R6C",'Mapa final'!#REF!),"")</f>
        <v>#REF!</v>
      </c>
      <c r="U51" s="67" t="e">
        <f>IF(AND('Mapa final'!#REF!="Muy Baja",'Mapa final'!#REF!="Menor"),CONCATENATE("R6C",'Mapa final'!#REF!),"")</f>
        <v>#REF!</v>
      </c>
      <c r="V51" s="56" t="e">
        <f>IF(AND('Mapa final'!#REF!="Muy Baja",'Mapa final'!#REF!="Moderado"),CONCATENATE("R6C",'Mapa final'!#REF!),"")</f>
        <v>#REF!</v>
      </c>
      <c r="W51" s="57" t="e">
        <f>IF(AND('Mapa final'!#REF!="Muy Baja",'Mapa final'!#REF!="Moderado"),CONCATENATE("R6C",'Mapa final'!#REF!),"")</f>
        <v>#REF!</v>
      </c>
      <c r="X51" s="57" t="e">
        <f>IF(AND('Mapa final'!#REF!="Muy Baja",'Mapa final'!#REF!="Moderado"),CONCATENATE("R6C",'Mapa final'!#REF!),"")</f>
        <v>#REF!</v>
      </c>
      <c r="Y51" s="57" t="e">
        <f>IF(AND('Mapa final'!#REF!="Muy Baja",'Mapa final'!#REF!="Moderado"),CONCATENATE("R6C",'Mapa final'!#REF!),"")</f>
        <v>#REF!</v>
      </c>
      <c r="Z51" s="57" t="e">
        <f>IF(AND('Mapa final'!#REF!="Muy Baja",'Mapa final'!#REF!="Moderado"),CONCATENATE("R6C",'Mapa final'!#REF!),"")</f>
        <v>#REF!</v>
      </c>
      <c r="AA51" s="58" t="e">
        <f>IF(AND('Mapa final'!#REF!="Muy Baja",'Mapa final'!#REF!="Moderado"),CONCATENATE("R6C",'Mapa final'!#REF!),"")</f>
        <v>#REF!</v>
      </c>
      <c r="AB51" s="40" t="e">
        <f>IF(AND('Mapa final'!#REF!="Muy Baja",'Mapa final'!#REF!="Mayor"),CONCATENATE("R6C",'Mapa final'!#REF!),"")</f>
        <v>#REF!</v>
      </c>
      <c r="AC51" s="41" t="e">
        <f>IF(AND('Mapa final'!#REF!="Muy Baja",'Mapa final'!#REF!="Mayor"),CONCATENATE("R6C",'Mapa final'!#REF!),"")</f>
        <v>#REF!</v>
      </c>
      <c r="AD51" s="46" t="e">
        <f>IF(AND('Mapa final'!#REF!="Muy Baja",'Mapa final'!#REF!="Mayor"),CONCATENATE("R6C",'Mapa final'!#REF!),"")</f>
        <v>#REF!</v>
      </c>
      <c r="AE51" s="46" t="e">
        <f>IF(AND('Mapa final'!#REF!="Muy Baja",'Mapa final'!#REF!="Mayor"),CONCATENATE("R6C",'Mapa final'!#REF!),"")</f>
        <v>#REF!</v>
      </c>
      <c r="AF51" s="46" t="e">
        <f>IF(AND('Mapa final'!#REF!="Muy Baja",'Mapa final'!#REF!="Mayor"),CONCATENATE("R6C",'Mapa final'!#REF!),"")</f>
        <v>#REF!</v>
      </c>
      <c r="AG51" s="42" t="e">
        <f>IF(AND('Mapa final'!#REF!="Muy Baja",'Mapa final'!#REF!="Mayor"),CONCATENATE("R6C",'Mapa final'!#REF!),"")</f>
        <v>#REF!</v>
      </c>
      <c r="AH51" s="43" t="e">
        <f>IF(AND('Mapa final'!#REF!="Muy Baja",'Mapa final'!#REF!="Catastrófico"),CONCATENATE("R6C",'Mapa final'!#REF!),"")</f>
        <v>#REF!</v>
      </c>
      <c r="AI51" s="44" t="e">
        <f>IF(AND('Mapa final'!#REF!="Muy Baja",'Mapa final'!#REF!="Catastrófico"),CONCATENATE("R6C",'Mapa final'!#REF!),"")</f>
        <v>#REF!</v>
      </c>
      <c r="AJ51" s="44" t="e">
        <f>IF(AND('Mapa final'!#REF!="Muy Baja",'Mapa final'!#REF!="Catastrófico"),CONCATENATE("R6C",'Mapa final'!#REF!),"")</f>
        <v>#REF!</v>
      </c>
      <c r="AK51" s="44" t="e">
        <f>IF(AND('Mapa final'!#REF!="Muy Baja",'Mapa final'!#REF!="Catastrófico"),CONCATENATE("R6C",'Mapa final'!#REF!),"")</f>
        <v>#REF!</v>
      </c>
      <c r="AL51" s="44" t="e">
        <f>IF(AND('Mapa final'!#REF!="Muy Baja",'Mapa final'!#REF!="Catastrófico"),CONCATENATE("R6C",'Mapa final'!#REF!),"")</f>
        <v>#REF!</v>
      </c>
      <c r="AM51" s="45" t="e">
        <f>IF(AND('Mapa final'!#REF!="Muy Baja",'Mapa final'!#REF!="Catastrófico"),CONCATENATE("R6C",'Mapa final'!#REF!),"")</f>
        <v>#REF!</v>
      </c>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c r="BV51" s="72"/>
      <c r="BW51" s="72"/>
      <c r="BX51" s="72"/>
      <c r="BY51" s="72"/>
      <c r="BZ51" s="72"/>
      <c r="CA51" s="72"/>
      <c r="CB51" s="72"/>
    </row>
    <row r="52" spans="1:80" ht="15" customHeight="1" x14ac:dyDescent="0.25">
      <c r="A52" s="72"/>
      <c r="B52" s="521"/>
      <c r="C52" s="521"/>
      <c r="D52" s="522"/>
      <c r="E52" s="526"/>
      <c r="F52" s="527"/>
      <c r="G52" s="527"/>
      <c r="H52" s="527"/>
      <c r="I52" s="528"/>
      <c r="J52" s="65" t="e">
        <f>IF(AND('Mapa final'!#REF!="Muy Baja",'Mapa final'!#REF!="Leve"),CONCATENATE("R7C",'Mapa final'!#REF!),"")</f>
        <v>#REF!</v>
      </c>
      <c r="K52" s="66" t="e">
        <f>IF(AND('Mapa final'!#REF!="Muy Baja",'Mapa final'!#REF!="Leve"),CONCATENATE("R7C",'Mapa final'!#REF!),"")</f>
        <v>#REF!</v>
      </c>
      <c r="L52" s="66" t="e">
        <f>IF(AND('Mapa final'!#REF!="Muy Baja",'Mapa final'!#REF!="Leve"),CONCATENATE("R7C",'Mapa final'!#REF!),"")</f>
        <v>#REF!</v>
      </c>
      <c r="M52" s="66" t="e">
        <f>IF(AND('Mapa final'!#REF!="Muy Baja",'Mapa final'!#REF!="Leve"),CONCATENATE("R7C",'Mapa final'!#REF!),"")</f>
        <v>#REF!</v>
      </c>
      <c r="N52" s="66" t="e">
        <f>IF(AND('Mapa final'!#REF!="Muy Baja",'Mapa final'!#REF!="Leve"),CONCATENATE("R7C",'Mapa final'!#REF!),"")</f>
        <v>#REF!</v>
      </c>
      <c r="O52" s="67" t="e">
        <f>IF(AND('Mapa final'!#REF!="Muy Baja",'Mapa final'!#REF!="Leve"),CONCATENATE("R7C",'Mapa final'!#REF!),"")</f>
        <v>#REF!</v>
      </c>
      <c r="P52" s="65" t="e">
        <f>IF(AND('Mapa final'!#REF!="Muy Baja",'Mapa final'!#REF!="Menor"),CONCATENATE("R7C",'Mapa final'!#REF!),"")</f>
        <v>#REF!</v>
      </c>
      <c r="Q52" s="66" t="e">
        <f>IF(AND('Mapa final'!#REF!="Muy Baja",'Mapa final'!#REF!="Menor"),CONCATENATE("R7C",'Mapa final'!#REF!),"")</f>
        <v>#REF!</v>
      </c>
      <c r="R52" s="66" t="e">
        <f>IF(AND('Mapa final'!#REF!="Muy Baja",'Mapa final'!#REF!="Menor"),CONCATENATE("R7C",'Mapa final'!#REF!),"")</f>
        <v>#REF!</v>
      </c>
      <c r="S52" s="66" t="e">
        <f>IF(AND('Mapa final'!#REF!="Muy Baja",'Mapa final'!#REF!="Menor"),CONCATENATE("R7C",'Mapa final'!#REF!),"")</f>
        <v>#REF!</v>
      </c>
      <c r="T52" s="66" t="e">
        <f>IF(AND('Mapa final'!#REF!="Muy Baja",'Mapa final'!#REF!="Menor"),CONCATENATE("R7C",'Mapa final'!#REF!),"")</f>
        <v>#REF!</v>
      </c>
      <c r="U52" s="67" t="e">
        <f>IF(AND('Mapa final'!#REF!="Muy Baja",'Mapa final'!#REF!="Menor"),CONCATENATE("R7C",'Mapa final'!#REF!),"")</f>
        <v>#REF!</v>
      </c>
      <c r="V52" s="56" t="e">
        <f>IF(AND('Mapa final'!#REF!="Muy Baja",'Mapa final'!#REF!="Moderado"),CONCATENATE("R7C",'Mapa final'!#REF!),"")</f>
        <v>#REF!</v>
      </c>
      <c r="W52" s="57" t="e">
        <f>IF(AND('Mapa final'!#REF!="Muy Baja",'Mapa final'!#REF!="Moderado"),CONCATENATE("R7C",'Mapa final'!#REF!),"")</f>
        <v>#REF!</v>
      </c>
      <c r="X52" s="57" t="e">
        <f>IF(AND('Mapa final'!#REF!="Muy Baja",'Mapa final'!#REF!="Moderado"),CONCATENATE("R7C",'Mapa final'!#REF!),"")</f>
        <v>#REF!</v>
      </c>
      <c r="Y52" s="57" t="e">
        <f>IF(AND('Mapa final'!#REF!="Muy Baja",'Mapa final'!#REF!="Moderado"),CONCATENATE("R7C",'Mapa final'!#REF!),"")</f>
        <v>#REF!</v>
      </c>
      <c r="Z52" s="57" t="e">
        <f>IF(AND('Mapa final'!#REF!="Muy Baja",'Mapa final'!#REF!="Moderado"),CONCATENATE("R7C",'Mapa final'!#REF!),"")</f>
        <v>#REF!</v>
      </c>
      <c r="AA52" s="58" t="e">
        <f>IF(AND('Mapa final'!#REF!="Muy Baja",'Mapa final'!#REF!="Moderado"),CONCATENATE("R7C",'Mapa final'!#REF!),"")</f>
        <v>#REF!</v>
      </c>
      <c r="AB52" s="40" t="e">
        <f>IF(AND('Mapa final'!#REF!="Muy Baja",'Mapa final'!#REF!="Mayor"),CONCATENATE("R7C",'Mapa final'!#REF!),"")</f>
        <v>#REF!</v>
      </c>
      <c r="AC52" s="41" t="e">
        <f>IF(AND('Mapa final'!#REF!="Muy Baja",'Mapa final'!#REF!="Mayor"),CONCATENATE("R7C",'Mapa final'!#REF!),"")</f>
        <v>#REF!</v>
      </c>
      <c r="AD52" s="46" t="e">
        <f>IF(AND('Mapa final'!#REF!="Muy Baja",'Mapa final'!#REF!="Mayor"),CONCATENATE("R7C",'Mapa final'!#REF!),"")</f>
        <v>#REF!</v>
      </c>
      <c r="AE52" s="46" t="e">
        <f>IF(AND('Mapa final'!#REF!="Muy Baja",'Mapa final'!#REF!="Mayor"),CONCATENATE("R7C",'Mapa final'!#REF!),"")</f>
        <v>#REF!</v>
      </c>
      <c r="AF52" s="46" t="e">
        <f>IF(AND('Mapa final'!#REF!="Muy Baja",'Mapa final'!#REF!="Mayor"),CONCATENATE("R7C",'Mapa final'!#REF!),"")</f>
        <v>#REF!</v>
      </c>
      <c r="AG52" s="42" t="e">
        <f>IF(AND('Mapa final'!#REF!="Muy Baja",'Mapa final'!#REF!="Mayor"),CONCATENATE("R7C",'Mapa final'!#REF!),"")</f>
        <v>#REF!</v>
      </c>
      <c r="AH52" s="43" t="e">
        <f>IF(AND('Mapa final'!#REF!="Muy Baja",'Mapa final'!#REF!="Catastrófico"),CONCATENATE("R7C",'Mapa final'!#REF!),"")</f>
        <v>#REF!</v>
      </c>
      <c r="AI52" s="44" t="e">
        <f>IF(AND('Mapa final'!#REF!="Muy Baja",'Mapa final'!#REF!="Catastrófico"),CONCATENATE("R7C",'Mapa final'!#REF!),"")</f>
        <v>#REF!</v>
      </c>
      <c r="AJ52" s="44" t="e">
        <f>IF(AND('Mapa final'!#REF!="Muy Baja",'Mapa final'!#REF!="Catastrófico"),CONCATENATE("R7C",'Mapa final'!#REF!),"")</f>
        <v>#REF!</v>
      </c>
      <c r="AK52" s="44" t="e">
        <f>IF(AND('Mapa final'!#REF!="Muy Baja",'Mapa final'!#REF!="Catastrófico"),CONCATENATE("R7C",'Mapa final'!#REF!),"")</f>
        <v>#REF!</v>
      </c>
      <c r="AL52" s="44" t="e">
        <f>IF(AND('Mapa final'!#REF!="Muy Baja",'Mapa final'!#REF!="Catastrófico"),CONCATENATE("R7C",'Mapa final'!#REF!),"")</f>
        <v>#REF!</v>
      </c>
      <c r="AM52" s="45" t="e">
        <f>IF(AND('Mapa final'!#REF!="Muy Baja",'Mapa final'!#REF!="Catastrófico"),CONCATENATE("R7C",'Mapa final'!#REF!),"")</f>
        <v>#REF!</v>
      </c>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row>
    <row r="53" spans="1:80" ht="15" customHeight="1" x14ac:dyDescent="0.25">
      <c r="A53" s="72"/>
      <c r="B53" s="521"/>
      <c r="C53" s="521"/>
      <c r="D53" s="522"/>
      <c r="E53" s="526"/>
      <c r="F53" s="527"/>
      <c r="G53" s="527"/>
      <c r="H53" s="527"/>
      <c r="I53" s="528"/>
      <c r="J53" s="65" t="e">
        <f>IF(AND('Mapa final'!#REF!="Muy Baja",'Mapa final'!#REF!="Leve"),CONCATENATE("R8C",'Mapa final'!#REF!),"")</f>
        <v>#REF!</v>
      </c>
      <c r="K53" s="66" t="e">
        <f>IF(AND('Mapa final'!#REF!="Muy Baja",'Mapa final'!#REF!="Leve"),CONCATENATE("R8C",'Mapa final'!#REF!),"")</f>
        <v>#REF!</v>
      </c>
      <c r="L53" s="66" t="e">
        <f>IF(AND('Mapa final'!#REF!="Muy Baja",'Mapa final'!#REF!="Leve"),CONCATENATE("R8C",'Mapa final'!#REF!),"")</f>
        <v>#REF!</v>
      </c>
      <c r="M53" s="66" t="e">
        <f>IF(AND('Mapa final'!#REF!="Muy Baja",'Mapa final'!#REF!="Leve"),CONCATENATE("R8C",'Mapa final'!#REF!),"")</f>
        <v>#REF!</v>
      </c>
      <c r="N53" s="66" t="e">
        <f>IF(AND('Mapa final'!#REF!="Muy Baja",'Mapa final'!#REF!="Leve"),CONCATENATE("R8C",'Mapa final'!#REF!),"")</f>
        <v>#REF!</v>
      </c>
      <c r="O53" s="67" t="e">
        <f>IF(AND('Mapa final'!#REF!="Muy Baja",'Mapa final'!#REF!="Leve"),CONCATENATE("R8C",'Mapa final'!#REF!),"")</f>
        <v>#REF!</v>
      </c>
      <c r="P53" s="65" t="e">
        <f>IF(AND('Mapa final'!#REF!="Muy Baja",'Mapa final'!#REF!="Menor"),CONCATENATE("R8C",'Mapa final'!#REF!),"")</f>
        <v>#REF!</v>
      </c>
      <c r="Q53" s="66" t="e">
        <f>IF(AND('Mapa final'!#REF!="Muy Baja",'Mapa final'!#REF!="Menor"),CONCATENATE("R8C",'Mapa final'!#REF!),"")</f>
        <v>#REF!</v>
      </c>
      <c r="R53" s="66" t="e">
        <f>IF(AND('Mapa final'!#REF!="Muy Baja",'Mapa final'!#REF!="Menor"),CONCATENATE("R8C",'Mapa final'!#REF!),"")</f>
        <v>#REF!</v>
      </c>
      <c r="S53" s="66" t="e">
        <f>IF(AND('Mapa final'!#REF!="Muy Baja",'Mapa final'!#REF!="Menor"),CONCATENATE("R8C",'Mapa final'!#REF!),"")</f>
        <v>#REF!</v>
      </c>
      <c r="T53" s="66" t="e">
        <f>IF(AND('Mapa final'!#REF!="Muy Baja",'Mapa final'!#REF!="Menor"),CONCATENATE("R8C",'Mapa final'!#REF!),"")</f>
        <v>#REF!</v>
      </c>
      <c r="U53" s="67" t="e">
        <f>IF(AND('Mapa final'!#REF!="Muy Baja",'Mapa final'!#REF!="Menor"),CONCATENATE("R8C",'Mapa final'!#REF!),"")</f>
        <v>#REF!</v>
      </c>
      <c r="V53" s="56" t="e">
        <f>IF(AND('Mapa final'!#REF!="Muy Baja",'Mapa final'!#REF!="Moderado"),CONCATENATE("R8C",'Mapa final'!#REF!),"")</f>
        <v>#REF!</v>
      </c>
      <c r="W53" s="57" t="e">
        <f>IF(AND('Mapa final'!#REF!="Muy Baja",'Mapa final'!#REF!="Moderado"),CONCATENATE("R8C",'Mapa final'!#REF!),"")</f>
        <v>#REF!</v>
      </c>
      <c r="X53" s="57" t="e">
        <f>IF(AND('Mapa final'!#REF!="Muy Baja",'Mapa final'!#REF!="Moderado"),CONCATENATE("R8C",'Mapa final'!#REF!),"")</f>
        <v>#REF!</v>
      </c>
      <c r="Y53" s="57" t="e">
        <f>IF(AND('Mapa final'!#REF!="Muy Baja",'Mapa final'!#REF!="Moderado"),CONCATENATE("R8C",'Mapa final'!#REF!),"")</f>
        <v>#REF!</v>
      </c>
      <c r="Z53" s="57" t="e">
        <f>IF(AND('Mapa final'!#REF!="Muy Baja",'Mapa final'!#REF!="Moderado"),CONCATENATE("R8C",'Mapa final'!#REF!),"")</f>
        <v>#REF!</v>
      </c>
      <c r="AA53" s="58" t="e">
        <f>IF(AND('Mapa final'!#REF!="Muy Baja",'Mapa final'!#REF!="Moderado"),CONCATENATE("R8C",'Mapa final'!#REF!),"")</f>
        <v>#REF!</v>
      </c>
      <c r="AB53" s="40" t="e">
        <f>IF(AND('Mapa final'!#REF!="Muy Baja",'Mapa final'!#REF!="Mayor"),CONCATENATE("R8C",'Mapa final'!#REF!),"")</f>
        <v>#REF!</v>
      </c>
      <c r="AC53" s="41" t="e">
        <f>IF(AND('Mapa final'!#REF!="Muy Baja",'Mapa final'!#REF!="Mayor"),CONCATENATE("R8C",'Mapa final'!#REF!),"")</f>
        <v>#REF!</v>
      </c>
      <c r="AD53" s="46" t="e">
        <f>IF(AND('Mapa final'!#REF!="Muy Baja",'Mapa final'!#REF!="Mayor"),CONCATENATE("R8C",'Mapa final'!#REF!),"")</f>
        <v>#REF!</v>
      </c>
      <c r="AE53" s="46" t="e">
        <f>IF(AND('Mapa final'!#REF!="Muy Baja",'Mapa final'!#REF!="Mayor"),CONCATENATE("R8C",'Mapa final'!#REF!),"")</f>
        <v>#REF!</v>
      </c>
      <c r="AF53" s="46" t="e">
        <f>IF(AND('Mapa final'!#REF!="Muy Baja",'Mapa final'!#REF!="Mayor"),CONCATENATE("R8C",'Mapa final'!#REF!),"")</f>
        <v>#REF!</v>
      </c>
      <c r="AG53" s="42" t="e">
        <f>IF(AND('Mapa final'!#REF!="Muy Baja",'Mapa final'!#REF!="Mayor"),CONCATENATE("R8C",'Mapa final'!#REF!),"")</f>
        <v>#REF!</v>
      </c>
      <c r="AH53" s="43" t="e">
        <f>IF(AND('Mapa final'!#REF!="Muy Baja",'Mapa final'!#REF!="Catastrófico"),CONCATENATE("R8C",'Mapa final'!#REF!),"")</f>
        <v>#REF!</v>
      </c>
      <c r="AI53" s="44" t="e">
        <f>IF(AND('Mapa final'!#REF!="Muy Baja",'Mapa final'!#REF!="Catastrófico"),CONCATENATE("R8C",'Mapa final'!#REF!),"")</f>
        <v>#REF!</v>
      </c>
      <c r="AJ53" s="44" t="e">
        <f>IF(AND('Mapa final'!#REF!="Muy Baja",'Mapa final'!#REF!="Catastrófico"),CONCATENATE("R8C",'Mapa final'!#REF!),"")</f>
        <v>#REF!</v>
      </c>
      <c r="AK53" s="44" t="e">
        <f>IF(AND('Mapa final'!#REF!="Muy Baja",'Mapa final'!#REF!="Catastrófico"),CONCATENATE("R8C",'Mapa final'!#REF!),"")</f>
        <v>#REF!</v>
      </c>
      <c r="AL53" s="44" t="e">
        <f>IF(AND('Mapa final'!#REF!="Muy Baja",'Mapa final'!#REF!="Catastrófico"),CONCATENATE("R8C",'Mapa final'!#REF!),"")</f>
        <v>#REF!</v>
      </c>
      <c r="AM53" s="45" t="e">
        <f>IF(AND('Mapa final'!#REF!="Muy Baja",'Mapa final'!#REF!="Catastrófico"),CONCATENATE("R8C",'Mapa final'!#REF!),"")</f>
        <v>#REF!</v>
      </c>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row>
    <row r="54" spans="1:80" ht="15" customHeight="1" x14ac:dyDescent="0.25">
      <c r="A54" s="72"/>
      <c r="B54" s="521"/>
      <c r="C54" s="521"/>
      <c r="D54" s="522"/>
      <c r="E54" s="526"/>
      <c r="F54" s="527"/>
      <c r="G54" s="527"/>
      <c r="H54" s="527"/>
      <c r="I54" s="528"/>
      <c r="J54" s="65" t="e">
        <f>IF(AND('Mapa final'!#REF!="Muy Baja",'Mapa final'!#REF!="Leve"),CONCATENATE("R9C",'Mapa final'!#REF!),"")</f>
        <v>#REF!</v>
      </c>
      <c r="K54" s="66" t="e">
        <f>IF(AND('Mapa final'!#REF!="Muy Baja",'Mapa final'!#REF!="Leve"),CONCATENATE("R9C",'Mapa final'!#REF!),"")</f>
        <v>#REF!</v>
      </c>
      <c r="L54" s="66" t="e">
        <f>IF(AND('Mapa final'!#REF!="Muy Baja",'Mapa final'!#REF!="Leve"),CONCATENATE("R9C",'Mapa final'!#REF!),"")</f>
        <v>#REF!</v>
      </c>
      <c r="M54" s="66" t="e">
        <f>IF(AND('Mapa final'!#REF!="Muy Baja",'Mapa final'!#REF!="Leve"),CONCATENATE("R9C",'Mapa final'!#REF!),"")</f>
        <v>#REF!</v>
      </c>
      <c r="N54" s="66" t="e">
        <f>IF(AND('Mapa final'!#REF!="Muy Baja",'Mapa final'!#REF!="Leve"),CONCATENATE("R9C",'Mapa final'!#REF!),"")</f>
        <v>#REF!</v>
      </c>
      <c r="O54" s="67" t="e">
        <f>IF(AND('Mapa final'!#REF!="Muy Baja",'Mapa final'!#REF!="Leve"),CONCATENATE("R9C",'Mapa final'!#REF!),"")</f>
        <v>#REF!</v>
      </c>
      <c r="P54" s="65" t="e">
        <f>IF(AND('Mapa final'!#REF!="Muy Baja",'Mapa final'!#REF!="Menor"),CONCATENATE("R9C",'Mapa final'!#REF!),"")</f>
        <v>#REF!</v>
      </c>
      <c r="Q54" s="66" t="e">
        <f>IF(AND('Mapa final'!#REF!="Muy Baja",'Mapa final'!#REF!="Menor"),CONCATENATE("R9C",'Mapa final'!#REF!),"")</f>
        <v>#REF!</v>
      </c>
      <c r="R54" s="66" t="e">
        <f>IF(AND('Mapa final'!#REF!="Muy Baja",'Mapa final'!#REF!="Menor"),CONCATENATE("R9C",'Mapa final'!#REF!),"")</f>
        <v>#REF!</v>
      </c>
      <c r="S54" s="66" t="e">
        <f>IF(AND('Mapa final'!#REF!="Muy Baja",'Mapa final'!#REF!="Menor"),CONCATENATE("R9C",'Mapa final'!#REF!),"")</f>
        <v>#REF!</v>
      </c>
      <c r="T54" s="66" t="e">
        <f>IF(AND('Mapa final'!#REF!="Muy Baja",'Mapa final'!#REF!="Menor"),CONCATENATE("R9C",'Mapa final'!#REF!),"")</f>
        <v>#REF!</v>
      </c>
      <c r="U54" s="67" t="e">
        <f>IF(AND('Mapa final'!#REF!="Muy Baja",'Mapa final'!#REF!="Menor"),CONCATENATE("R9C",'Mapa final'!#REF!),"")</f>
        <v>#REF!</v>
      </c>
      <c r="V54" s="56" t="e">
        <f>IF(AND('Mapa final'!#REF!="Muy Baja",'Mapa final'!#REF!="Moderado"),CONCATENATE("R9C",'Mapa final'!#REF!),"")</f>
        <v>#REF!</v>
      </c>
      <c r="W54" s="57" t="e">
        <f>IF(AND('Mapa final'!#REF!="Muy Baja",'Mapa final'!#REF!="Moderado"),CONCATENATE("R9C",'Mapa final'!#REF!),"")</f>
        <v>#REF!</v>
      </c>
      <c r="X54" s="57" t="e">
        <f>IF(AND('Mapa final'!#REF!="Muy Baja",'Mapa final'!#REF!="Moderado"),CONCATENATE("R9C",'Mapa final'!#REF!),"")</f>
        <v>#REF!</v>
      </c>
      <c r="Y54" s="57" t="e">
        <f>IF(AND('Mapa final'!#REF!="Muy Baja",'Mapa final'!#REF!="Moderado"),CONCATENATE("R9C",'Mapa final'!#REF!),"")</f>
        <v>#REF!</v>
      </c>
      <c r="Z54" s="57" t="e">
        <f>IF(AND('Mapa final'!#REF!="Muy Baja",'Mapa final'!#REF!="Moderado"),CONCATENATE("R9C",'Mapa final'!#REF!),"")</f>
        <v>#REF!</v>
      </c>
      <c r="AA54" s="58" t="e">
        <f>IF(AND('Mapa final'!#REF!="Muy Baja",'Mapa final'!#REF!="Moderado"),CONCATENATE("R9C",'Mapa final'!#REF!),"")</f>
        <v>#REF!</v>
      </c>
      <c r="AB54" s="40" t="e">
        <f>IF(AND('Mapa final'!#REF!="Muy Baja",'Mapa final'!#REF!="Mayor"),CONCATENATE("R9C",'Mapa final'!#REF!),"")</f>
        <v>#REF!</v>
      </c>
      <c r="AC54" s="41" t="e">
        <f>IF(AND('Mapa final'!#REF!="Muy Baja",'Mapa final'!#REF!="Mayor"),CONCATENATE("R9C",'Mapa final'!#REF!),"")</f>
        <v>#REF!</v>
      </c>
      <c r="AD54" s="46" t="e">
        <f>IF(AND('Mapa final'!#REF!="Muy Baja",'Mapa final'!#REF!="Mayor"),CONCATENATE("R9C",'Mapa final'!#REF!),"")</f>
        <v>#REF!</v>
      </c>
      <c r="AE54" s="46" t="e">
        <f>IF(AND('Mapa final'!#REF!="Muy Baja",'Mapa final'!#REF!="Mayor"),CONCATENATE("R9C",'Mapa final'!#REF!),"")</f>
        <v>#REF!</v>
      </c>
      <c r="AF54" s="46" t="e">
        <f>IF(AND('Mapa final'!#REF!="Muy Baja",'Mapa final'!#REF!="Mayor"),CONCATENATE("R9C",'Mapa final'!#REF!),"")</f>
        <v>#REF!</v>
      </c>
      <c r="AG54" s="42" t="e">
        <f>IF(AND('Mapa final'!#REF!="Muy Baja",'Mapa final'!#REF!="Mayor"),CONCATENATE("R9C",'Mapa final'!#REF!),"")</f>
        <v>#REF!</v>
      </c>
      <c r="AH54" s="43" t="e">
        <f>IF(AND('Mapa final'!#REF!="Muy Baja",'Mapa final'!#REF!="Catastrófico"),CONCATENATE("R9C",'Mapa final'!#REF!),"")</f>
        <v>#REF!</v>
      </c>
      <c r="AI54" s="44" t="e">
        <f>IF(AND('Mapa final'!#REF!="Muy Baja",'Mapa final'!#REF!="Catastrófico"),CONCATENATE("R9C",'Mapa final'!#REF!),"")</f>
        <v>#REF!</v>
      </c>
      <c r="AJ54" s="44" t="e">
        <f>IF(AND('Mapa final'!#REF!="Muy Baja",'Mapa final'!#REF!="Catastrófico"),CONCATENATE("R9C",'Mapa final'!#REF!),"")</f>
        <v>#REF!</v>
      </c>
      <c r="AK54" s="44" t="e">
        <f>IF(AND('Mapa final'!#REF!="Muy Baja",'Mapa final'!#REF!="Catastrófico"),CONCATENATE("R9C",'Mapa final'!#REF!),"")</f>
        <v>#REF!</v>
      </c>
      <c r="AL54" s="44" t="e">
        <f>IF(AND('Mapa final'!#REF!="Muy Baja",'Mapa final'!#REF!="Catastrófico"),CONCATENATE("R9C",'Mapa final'!#REF!),"")</f>
        <v>#REF!</v>
      </c>
      <c r="AM54" s="45" t="e">
        <f>IF(AND('Mapa final'!#REF!="Muy Baja",'Mapa final'!#REF!="Catastrófico"),CONCATENATE("R9C",'Mapa final'!#REF!),"")</f>
        <v>#REF!</v>
      </c>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row>
    <row r="55" spans="1:80" ht="15.75" customHeight="1" thickBot="1" x14ac:dyDescent="0.3">
      <c r="A55" s="72"/>
      <c r="B55" s="521"/>
      <c r="C55" s="521"/>
      <c r="D55" s="522"/>
      <c r="E55" s="529"/>
      <c r="F55" s="530"/>
      <c r="G55" s="530"/>
      <c r="H55" s="530"/>
      <c r="I55" s="531"/>
      <c r="J55" s="68" t="e">
        <f>IF(AND('Mapa final'!#REF!="Muy Baja",'Mapa final'!#REF!="Leve"),CONCATENATE("R10C",'Mapa final'!#REF!),"")</f>
        <v>#REF!</v>
      </c>
      <c r="K55" s="69" t="e">
        <f>IF(AND('Mapa final'!#REF!="Muy Baja",'Mapa final'!#REF!="Leve"),CONCATENATE("R10C",'Mapa final'!#REF!),"")</f>
        <v>#REF!</v>
      </c>
      <c r="L55" s="69" t="e">
        <f>IF(AND('Mapa final'!#REF!="Muy Baja",'Mapa final'!#REF!="Leve"),CONCATENATE("R10C",'Mapa final'!#REF!),"")</f>
        <v>#REF!</v>
      </c>
      <c r="M55" s="69" t="e">
        <f>IF(AND('Mapa final'!#REF!="Muy Baja",'Mapa final'!#REF!="Leve"),CONCATENATE("R10C",'Mapa final'!#REF!),"")</f>
        <v>#REF!</v>
      </c>
      <c r="N55" s="69" t="e">
        <f>IF(AND('Mapa final'!#REF!="Muy Baja",'Mapa final'!#REF!="Leve"),CONCATENATE("R10C",'Mapa final'!#REF!),"")</f>
        <v>#REF!</v>
      </c>
      <c r="O55" s="70" t="e">
        <f>IF(AND('Mapa final'!#REF!="Muy Baja",'Mapa final'!#REF!="Leve"),CONCATENATE("R10C",'Mapa final'!#REF!),"")</f>
        <v>#REF!</v>
      </c>
      <c r="P55" s="68" t="e">
        <f>IF(AND('Mapa final'!#REF!="Muy Baja",'Mapa final'!#REF!="Menor"),CONCATENATE("R10C",'Mapa final'!#REF!),"")</f>
        <v>#REF!</v>
      </c>
      <c r="Q55" s="69" t="e">
        <f>IF(AND('Mapa final'!#REF!="Muy Baja",'Mapa final'!#REF!="Menor"),CONCATENATE("R10C",'Mapa final'!#REF!),"")</f>
        <v>#REF!</v>
      </c>
      <c r="R55" s="69" t="e">
        <f>IF(AND('Mapa final'!#REF!="Muy Baja",'Mapa final'!#REF!="Menor"),CONCATENATE("R10C",'Mapa final'!#REF!),"")</f>
        <v>#REF!</v>
      </c>
      <c r="S55" s="69" t="e">
        <f>IF(AND('Mapa final'!#REF!="Muy Baja",'Mapa final'!#REF!="Menor"),CONCATENATE("R10C",'Mapa final'!#REF!),"")</f>
        <v>#REF!</v>
      </c>
      <c r="T55" s="69" t="e">
        <f>IF(AND('Mapa final'!#REF!="Muy Baja",'Mapa final'!#REF!="Menor"),CONCATENATE("R10C",'Mapa final'!#REF!),"")</f>
        <v>#REF!</v>
      </c>
      <c r="U55" s="70" t="e">
        <f>IF(AND('Mapa final'!#REF!="Muy Baja",'Mapa final'!#REF!="Menor"),CONCATENATE("R10C",'Mapa final'!#REF!),"")</f>
        <v>#REF!</v>
      </c>
      <c r="V55" s="59" t="e">
        <f>IF(AND('Mapa final'!#REF!="Muy Baja",'Mapa final'!#REF!="Moderado"),CONCATENATE("R10C",'Mapa final'!#REF!),"")</f>
        <v>#REF!</v>
      </c>
      <c r="W55" s="60" t="e">
        <f>IF(AND('Mapa final'!#REF!="Muy Baja",'Mapa final'!#REF!="Moderado"),CONCATENATE("R10C",'Mapa final'!#REF!),"")</f>
        <v>#REF!</v>
      </c>
      <c r="X55" s="60" t="e">
        <f>IF(AND('Mapa final'!#REF!="Muy Baja",'Mapa final'!#REF!="Moderado"),CONCATENATE("R10C",'Mapa final'!#REF!),"")</f>
        <v>#REF!</v>
      </c>
      <c r="Y55" s="60" t="e">
        <f>IF(AND('Mapa final'!#REF!="Muy Baja",'Mapa final'!#REF!="Moderado"),CONCATENATE("R10C",'Mapa final'!#REF!),"")</f>
        <v>#REF!</v>
      </c>
      <c r="Z55" s="60" t="e">
        <f>IF(AND('Mapa final'!#REF!="Muy Baja",'Mapa final'!#REF!="Moderado"),CONCATENATE("R10C",'Mapa final'!#REF!),"")</f>
        <v>#REF!</v>
      </c>
      <c r="AA55" s="61" t="e">
        <f>IF(AND('Mapa final'!#REF!="Muy Baja",'Mapa final'!#REF!="Moderado"),CONCATENATE("R10C",'Mapa final'!#REF!),"")</f>
        <v>#REF!</v>
      </c>
      <c r="AB55" s="47" t="e">
        <f>IF(AND('Mapa final'!#REF!="Muy Baja",'Mapa final'!#REF!="Mayor"),CONCATENATE("R10C",'Mapa final'!#REF!),"")</f>
        <v>#REF!</v>
      </c>
      <c r="AC55" s="48" t="e">
        <f>IF(AND('Mapa final'!#REF!="Muy Baja",'Mapa final'!#REF!="Mayor"),CONCATENATE("R10C",'Mapa final'!#REF!),"")</f>
        <v>#REF!</v>
      </c>
      <c r="AD55" s="48" t="e">
        <f>IF(AND('Mapa final'!#REF!="Muy Baja",'Mapa final'!#REF!="Mayor"),CONCATENATE("R10C",'Mapa final'!#REF!),"")</f>
        <v>#REF!</v>
      </c>
      <c r="AE55" s="48" t="e">
        <f>IF(AND('Mapa final'!#REF!="Muy Baja",'Mapa final'!#REF!="Mayor"),CONCATENATE("R10C",'Mapa final'!#REF!),"")</f>
        <v>#REF!</v>
      </c>
      <c r="AF55" s="48" t="e">
        <f>IF(AND('Mapa final'!#REF!="Muy Baja",'Mapa final'!#REF!="Mayor"),CONCATENATE("R10C",'Mapa final'!#REF!),"")</f>
        <v>#REF!</v>
      </c>
      <c r="AG55" s="49" t="e">
        <f>IF(AND('Mapa final'!#REF!="Muy Baja",'Mapa final'!#REF!="Mayor"),CONCATENATE("R10C",'Mapa final'!#REF!),"")</f>
        <v>#REF!</v>
      </c>
      <c r="AH55" s="50" t="e">
        <f>IF(AND('Mapa final'!#REF!="Muy Baja",'Mapa final'!#REF!="Catastrófico"),CONCATENATE("R10C",'Mapa final'!#REF!),"")</f>
        <v>#REF!</v>
      </c>
      <c r="AI55" s="51" t="e">
        <f>IF(AND('Mapa final'!#REF!="Muy Baja",'Mapa final'!#REF!="Catastrófico"),CONCATENATE("R10C",'Mapa final'!#REF!),"")</f>
        <v>#REF!</v>
      </c>
      <c r="AJ55" s="51" t="e">
        <f>IF(AND('Mapa final'!#REF!="Muy Baja",'Mapa final'!#REF!="Catastrófico"),CONCATENATE("R10C",'Mapa final'!#REF!),"")</f>
        <v>#REF!</v>
      </c>
      <c r="AK55" s="51" t="e">
        <f>IF(AND('Mapa final'!#REF!="Muy Baja",'Mapa final'!#REF!="Catastrófico"),CONCATENATE("R10C",'Mapa final'!#REF!),"")</f>
        <v>#REF!</v>
      </c>
      <c r="AL55" s="51" t="e">
        <f>IF(AND('Mapa final'!#REF!="Muy Baja",'Mapa final'!#REF!="Catastrófico"),CONCATENATE("R10C",'Mapa final'!#REF!),"")</f>
        <v>#REF!</v>
      </c>
      <c r="AM55" s="52" t="e">
        <f>IF(AND('Mapa final'!#REF!="Muy Baja",'Mapa final'!#REF!="Catastrófico"),CONCATENATE("R10C",'Mapa final'!#REF!),"")</f>
        <v>#REF!</v>
      </c>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row>
    <row r="56" spans="1:80" x14ac:dyDescent="0.25">
      <c r="A56" s="72"/>
      <c r="B56" s="72"/>
      <c r="C56" s="72"/>
      <c r="D56" s="72"/>
      <c r="E56" s="72"/>
      <c r="F56" s="72"/>
      <c r="G56" s="72"/>
      <c r="H56" s="72"/>
      <c r="I56" s="72"/>
      <c r="J56" s="523" t="s">
        <v>110</v>
      </c>
      <c r="K56" s="524"/>
      <c r="L56" s="524"/>
      <c r="M56" s="524"/>
      <c r="N56" s="524"/>
      <c r="O56" s="525"/>
      <c r="P56" s="523" t="s">
        <v>109</v>
      </c>
      <c r="Q56" s="524"/>
      <c r="R56" s="524"/>
      <c r="S56" s="524"/>
      <c r="T56" s="524"/>
      <c r="U56" s="525"/>
      <c r="V56" s="523" t="s">
        <v>108</v>
      </c>
      <c r="W56" s="524"/>
      <c r="X56" s="524"/>
      <c r="Y56" s="524"/>
      <c r="Z56" s="524"/>
      <c r="AA56" s="525"/>
      <c r="AB56" s="523" t="s">
        <v>107</v>
      </c>
      <c r="AC56" s="532"/>
      <c r="AD56" s="524"/>
      <c r="AE56" s="524"/>
      <c r="AF56" s="524"/>
      <c r="AG56" s="525"/>
      <c r="AH56" s="523" t="s">
        <v>106</v>
      </c>
      <c r="AI56" s="524"/>
      <c r="AJ56" s="524"/>
      <c r="AK56" s="524"/>
      <c r="AL56" s="524"/>
      <c r="AM56" s="525"/>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row>
    <row r="57" spans="1:80" x14ac:dyDescent="0.25">
      <c r="A57" s="72"/>
      <c r="B57" s="72"/>
      <c r="C57" s="72"/>
      <c r="D57" s="72"/>
      <c r="E57" s="72"/>
      <c r="F57" s="72"/>
      <c r="G57" s="72"/>
      <c r="H57" s="72"/>
      <c r="I57" s="72"/>
      <c r="J57" s="526"/>
      <c r="K57" s="527"/>
      <c r="L57" s="527"/>
      <c r="M57" s="527"/>
      <c r="N57" s="527"/>
      <c r="O57" s="528"/>
      <c r="P57" s="526"/>
      <c r="Q57" s="527"/>
      <c r="R57" s="527"/>
      <c r="S57" s="527"/>
      <c r="T57" s="527"/>
      <c r="U57" s="528"/>
      <c r="V57" s="526"/>
      <c r="W57" s="527"/>
      <c r="X57" s="527"/>
      <c r="Y57" s="527"/>
      <c r="Z57" s="527"/>
      <c r="AA57" s="528"/>
      <c r="AB57" s="526"/>
      <c r="AC57" s="527"/>
      <c r="AD57" s="527"/>
      <c r="AE57" s="527"/>
      <c r="AF57" s="527"/>
      <c r="AG57" s="528"/>
      <c r="AH57" s="526"/>
      <c r="AI57" s="527"/>
      <c r="AJ57" s="527"/>
      <c r="AK57" s="527"/>
      <c r="AL57" s="527"/>
      <c r="AM57" s="528"/>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row>
    <row r="58" spans="1:80" x14ac:dyDescent="0.25">
      <c r="A58" s="72"/>
      <c r="B58" s="72"/>
      <c r="C58" s="72"/>
      <c r="D58" s="72"/>
      <c r="E58" s="72"/>
      <c r="F58" s="72"/>
      <c r="G58" s="72"/>
      <c r="H58" s="72"/>
      <c r="I58" s="72"/>
      <c r="J58" s="526"/>
      <c r="K58" s="527"/>
      <c r="L58" s="527"/>
      <c r="M58" s="527"/>
      <c r="N58" s="527"/>
      <c r="O58" s="528"/>
      <c r="P58" s="526"/>
      <c r="Q58" s="527"/>
      <c r="R58" s="527"/>
      <c r="S58" s="527"/>
      <c r="T58" s="527"/>
      <c r="U58" s="528"/>
      <c r="V58" s="526"/>
      <c r="W58" s="527"/>
      <c r="X58" s="527"/>
      <c r="Y58" s="527"/>
      <c r="Z58" s="527"/>
      <c r="AA58" s="528"/>
      <c r="AB58" s="526"/>
      <c r="AC58" s="527"/>
      <c r="AD58" s="527"/>
      <c r="AE58" s="527"/>
      <c r="AF58" s="527"/>
      <c r="AG58" s="528"/>
      <c r="AH58" s="526"/>
      <c r="AI58" s="527"/>
      <c r="AJ58" s="527"/>
      <c r="AK58" s="527"/>
      <c r="AL58" s="527"/>
      <c r="AM58" s="528"/>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row>
    <row r="59" spans="1:80" x14ac:dyDescent="0.25">
      <c r="A59" s="72"/>
      <c r="B59" s="72"/>
      <c r="C59" s="72"/>
      <c r="D59" s="72"/>
      <c r="E59" s="72"/>
      <c r="F59" s="72"/>
      <c r="G59" s="72"/>
      <c r="H59" s="72"/>
      <c r="I59" s="72"/>
      <c r="J59" s="526"/>
      <c r="K59" s="527"/>
      <c r="L59" s="527"/>
      <c r="M59" s="527"/>
      <c r="N59" s="527"/>
      <c r="O59" s="528"/>
      <c r="P59" s="526"/>
      <c r="Q59" s="527"/>
      <c r="R59" s="527"/>
      <c r="S59" s="527"/>
      <c r="T59" s="527"/>
      <c r="U59" s="528"/>
      <c r="V59" s="526"/>
      <c r="W59" s="527"/>
      <c r="X59" s="527"/>
      <c r="Y59" s="527"/>
      <c r="Z59" s="527"/>
      <c r="AA59" s="528"/>
      <c r="AB59" s="526"/>
      <c r="AC59" s="527"/>
      <c r="AD59" s="527"/>
      <c r="AE59" s="527"/>
      <c r="AF59" s="527"/>
      <c r="AG59" s="528"/>
      <c r="AH59" s="526"/>
      <c r="AI59" s="527"/>
      <c r="AJ59" s="527"/>
      <c r="AK59" s="527"/>
      <c r="AL59" s="527"/>
      <c r="AM59" s="528"/>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row>
    <row r="60" spans="1:80" x14ac:dyDescent="0.25">
      <c r="A60" s="72"/>
      <c r="B60" s="72"/>
      <c r="C60" s="72"/>
      <c r="D60" s="72"/>
      <c r="E60" s="72"/>
      <c r="F60" s="72"/>
      <c r="G60" s="72"/>
      <c r="H60" s="72"/>
      <c r="I60" s="72"/>
      <c r="J60" s="526"/>
      <c r="K60" s="527"/>
      <c r="L60" s="527"/>
      <c r="M60" s="527"/>
      <c r="N60" s="527"/>
      <c r="O60" s="528"/>
      <c r="P60" s="526"/>
      <c r="Q60" s="527"/>
      <c r="R60" s="527"/>
      <c r="S60" s="527"/>
      <c r="T60" s="527"/>
      <c r="U60" s="528"/>
      <c r="V60" s="526"/>
      <c r="W60" s="527"/>
      <c r="X60" s="527"/>
      <c r="Y60" s="527"/>
      <c r="Z60" s="527"/>
      <c r="AA60" s="528"/>
      <c r="AB60" s="526"/>
      <c r="AC60" s="527"/>
      <c r="AD60" s="527"/>
      <c r="AE60" s="527"/>
      <c r="AF60" s="527"/>
      <c r="AG60" s="528"/>
      <c r="AH60" s="526"/>
      <c r="AI60" s="527"/>
      <c r="AJ60" s="527"/>
      <c r="AK60" s="527"/>
      <c r="AL60" s="527"/>
      <c r="AM60" s="528"/>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row>
    <row r="61" spans="1:80" ht="15.75" thickBot="1" x14ac:dyDescent="0.3">
      <c r="A61" s="72"/>
      <c r="B61" s="72"/>
      <c r="C61" s="72"/>
      <c r="D61" s="72"/>
      <c r="E61" s="72"/>
      <c r="F61" s="72"/>
      <c r="G61" s="72"/>
      <c r="H61" s="72"/>
      <c r="I61" s="72"/>
      <c r="J61" s="529"/>
      <c r="K61" s="530"/>
      <c r="L61" s="530"/>
      <c r="M61" s="530"/>
      <c r="N61" s="530"/>
      <c r="O61" s="531"/>
      <c r="P61" s="529"/>
      <c r="Q61" s="530"/>
      <c r="R61" s="530"/>
      <c r="S61" s="530"/>
      <c r="T61" s="530"/>
      <c r="U61" s="531"/>
      <c r="V61" s="529"/>
      <c r="W61" s="530"/>
      <c r="X61" s="530"/>
      <c r="Y61" s="530"/>
      <c r="Z61" s="530"/>
      <c r="AA61" s="531"/>
      <c r="AB61" s="529"/>
      <c r="AC61" s="530"/>
      <c r="AD61" s="530"/>
      <c r="AE61" s="530"/>
      <c r="AF61" s="530"/>
      <c r="AG61" s="531"/>
      <c r="AH61" s="529"/>
      <c r="AI61" s="530"/>
      <c r="AJ61" s="530"/>
      <c r="AK61" s="530"/>
      <c r="AL61" s="530"/>
      <c r="AM61" s="531"/>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row>
    <row r="62" spans="1:80" x14ac:dyDescent="0.25">
      <c r="A62" s="7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row>
    <row r="63" spans="1:80" ht="15" customHeight="1" x14ac:dyDescent="0.25">
      <c r="A63" s="72"/>
      <c r="B63" s="76"/>
      <c r="C63" s="76"/>
      <c r="D63" s="76"/>
      <c r="E63" s="76"/>
      <c r="F63" s="76"/>
      <c r="G63" s="76"/>
      <c r="H63" s="76"/>
      <c r="I63" s="76"/>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L63" s="76"/>
      <c r="AM63" s="76"/>
      <c r="AN63" s="76"/>
      <c r="AO63" s="76"/>
      <c r="AP63" s="76"/>
      <c r="AQ63" s="76"/>
      <c r="AR63" s="76"/>
      <c r="AS63" s="76"/>
      <c r="AT63" s="76"/>
      <c r="AU63" s="72"/>
      <c r="AV63" s="72"/>
      <c r="AW63" s="72"/>
      <c r="AX63" s="72"/>
      <c r="AY63" s="72"/>
      <c r="AZ63" s="72"/>
      <c r="BA63" s="72"/>
      <c r="BB63" s="72"/>
      <c r="BC63" s="72"/>
      <c r="BD63" s="72"/>
      <c r="BE63" s="72"/>
      <c r="BF63" s="72"/>
      <c r="BG63" s="72"/>
      <c r="BH63" s="72"/>
    </row>
    <row r="64" spans="1:80" ht="15" customHeight="1" x14ac:dyDescent="0.25">
      <c r="A64" s="72"/>
      <c r="B64" s="76"/>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6"/>
      <c r="AE64" s="76"/>
      <c r="AF64" s="76"/>
      <c r="AG64" s="76"/>
      <c r="AH64" s="76"/>
      <c r="AI64" s="76"/>
      <c r="AJ64" s="76"/>
      <c r="AK64" s="76"/>
      <c r="AL64" s="76"/>
      <c r="AM64" s="76"/>
      <c r="AN64" s="76"/>
      <c r="AO64" s="76"/>
      <c r="AP64" s="76"/>
      <c r="AQ64" s="76"/>
      <c r="AR64" s="76"/>
      <c r="AS64" s="76"/>
      <c r="AT64" s="76"/>
      <c r="AU64" s="72"/>
      <c r="AV64" s="72"/>
      <c r="AW64" s="72"/>
      <c r="AX64" s="72"/>
      <c r="AY64" s="72"/>
      <c r="AZ64" s="72"/>
      <c r="BA64" s="72"/>
      <c r="BB64" s="72"/>
      <c r="BC64" s="72"/>
      <c r="BD64" s="72"/>
      <c r="BE64" s="72"/>
      <c r="BF64" s="72"/>
      <c r="BG64" s="72"/>
      <c r="BH64" s="72"/>
    </row>
    <row r="65" spans="1:60" x14ac:dyDescent="0.25">
      <c r="A65" s="72"/>
      <c r="B65" s="72"/>
      <c r="C65" s="72"/>
      <c r="D65" s="72"/>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row>
    <row r="66" spans="1:60" x14ac:dyDescent="0.25">
      <c r="A66" s="72"/>
      <c r="B66" s="72"/>
      <c r="C66" s="72"/>
      <c r="D66" s="72"/>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row>
    <row r="67" spans="1:60" x14ac:dyDescent="0.25">
      <c r="A67" s="72"/>
      <c r="B67" s="72"/>
      <c r="C67" s="72"/>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row>
    <row r="68" spans="1:60" x14ac:dyDescent="0.25">
      <c r="A68" s="72"/>
      <c r="B68" s="72"/>
      <c r="C68" s="72"/>
      <c r="D68" s="72"/>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row>
    <row r="69" spans="1:60" x14ac:dyDescent="0.25">
      <c r="A69" s="72"/>
      <c r="B69" s="72"/>
      <c r="C69" s="72"/>
      <c r="D69" s="72"/>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row>
    <row r="70" spans="1:60" x14ac:dyDescent="0.25">
      <c r="A70" s="72"/>
      <c r="B70" s="72"/>
      <c r="C70" s="72"/>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row>
    <row r="71" spans="1:60" x14ac:dyDescent="0.25">
      <c r="A71" s="72"/>
      <c r="B71" s="72"/>
      <c r="C71" s="72"/>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row>
    <row r="72" spans="1:60" x14ac:dyDescent="0.25">
      <c r="A72" s="72"/>
      <c r="B72" s="72"/>
      <c r="C72" s="72"/>
      <c r="D72" s="72"/>
      <c r="E72" s="72"/>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row>
    <row r="73" spans="1:60" x14ac:dyDescent="0.25">
      <c r="A73" s="72"/>
      <c r="B73" s="72"/>
      <c r="C73" s="72"/>
      <c r="D73" s="72"/>
      <c r="E73" s="72"/>
      <c r="F73" s="72"/>
      <c r="G73" s="72"/>
      <c r="H73" s="72"/>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row>
    <row r="74" spans="1:60" x14ac:dyDescent="0.25">
      <c r="A74" s="72"/>
      <c r="B74" s="72"/>
      <c r="C74" s="72"/>
      <c r="D74" s="72"/>
      <c r="E74" s="72"/>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row>
    <row r="75" spans="1:60" x14ac:dyDescent="0.25">
      <c r="A75" s="72"/>
      <c r="B75" s="72"/>
      <c r="C75" s="72"/>
      <c r="D75" s="72"/>
      <c r="E75" s="72"/>
      <c r="F75" s="72"/>
      <c r="G75" s="72"/>
      <c r="H75" s="72"/>
      <c r="I75" s="72"/>
      <c r="J75" s="72"/>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row>
    <row r="76" spans="1:60" x14ac:dyDescent="0.25">
      <c r="A76" s="72"/>
      <c r="B76" s="72"/>
      <c r="C76" s="72"/>
      <c r="D76" s="72"/>
      <c r="E76" s="72"/>
      <c r="F76" s="72"/>
      <c r="G76" s="72"/>
      <c r="H76" s="72"/>
      <c r="I76" s="72"/>
      <c r="J76" s="72"/>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row>
    <row r="77" spans="1:60" x14ac:dyDescent="0.25">
      <c r="A77" s="72"/>
      <c r="B77" s="72"/>
      <c r="C77" s="72"/>
      <c r="D77" s="72"/>
      <c r="E77" s="72"/>
      <c r="F77" s="72"/>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row>
    <row r="78" spans="1:60" x14ac:dyDescent="0.25">
      <c r="A78" s="72"/>
      <c r="B78" s="72"/>
      <c r="C78" s="72"/>
      <c r="D78" s="72"/>
      <c r="E78" s="72"/>
      <c r="F78" s="72"/>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row>
    <row r="79" spans="1:60" x14ac:dyDescent="0.25">
      <c r="A79" s="72"/>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row>
    <row r="80" spans="1:60" x14ac:dyDescent="0.25">
      <c r="A80" s="72"/>
      <c r="B80" s="72"/>
      <c r="C80" s="72"/>
      <c r="D80" s="72"/>
      <c r="E80" s="72"/>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row>
    <row r="81" spans="1:60" x14ac:dyDescent="0.25">
      <c r="A81" s="72"/>
      <c r="B81" s="72"/>
      <c r="C81" s="72"/>
      <c r="D81" s="72"/>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row>
    <row r="82" spans="1:60" x14ac:dyDescent="0.25">
      <c r="A82" s="72"/>
      <c r="B82" s="72"/>
      <c r="C82" s="72"/>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row>
    <row r="83" spans="1:60" x14ac:dyDescent="0.25">
      <c r="A83" s="72"/>
      <c r="B83" s="72"/>
      <c r="C83" s="72"/>
      <c r="D83" s="72"/>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row>
    <row r="84" spans="1:60" x14ac:dyDescent="0.25">
      <c r="A84" s="72"/>
      <c r="B84" s="72"/>
      <c r="C84" s="72"/>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row>
    <row r="85" spans="1:60" x14ac:dyDescent="0.25">
      <c r="A85" s="72"/>
      <c r="B85" s="72"/>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row>
    <row r="86" spans="1:60" x14ac:dyDescent="0.25">
      <c r="A86" s="72"/>
      <c r="B86" s="72"/>
      <c r="C86" s="72"/>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row>
    <row r="87" spans="1:60" x14ac:dyDescent="0.25">
      <c r="A87" s="72"/>
      <c r="B87" s="72"/>
      <c r="C87" s="72"/>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2"/>
    </row>
    <row r="88" spans="1:60" x14ac:dyDescent="0.25">
      <c r="A88" s="72"/>
      <c r="B88" s="72"/>
      <c r="C88" s="72"/>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row>
    <row r="89" spans="1:60" x14ac:dyDescent="0.25">
      <c r="A89" s="72"/>
      <c r="B89" s="72"/>
      <c r="C89" s="72"/>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row>
    <row r="90" spans="1:60" x14ac:dyDescent="0.25">
      <c r="A90" s="72"/>
      <c r="B90" s="72"/>
      <c r="C90" s="72"/>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row>
    <row r="91" spans="1:60" x14ac:dyDescent="0.25">
      <c r="A91" s="72"/>
      <c r="B91" s="72"/>
      <c r="C91" s="72"/>
      <c r="D91" s="72"/>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row>
    <row r="92" spans="1:60" x14ac:dyDescent="0.25">
      <c r="A92" s="72"/>
      <c r="B92" s="72"/>
      <c r="C92" s="72"/>
      <c r="D92" s="72"/>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row>
    <row r="93" spans="1:60" x14ac:dyDescent="0.25">
      <c r="A93" s="72"/>
      <c r="B93" s="72"/>
      <c r="C93" s="72"/>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row>
    <row r="94" spans="1:60" x14ac:dyDescent="0.25">
      <c r="A94" s="72"/>
      <c r="B94" s="72"/>
      <c r="C94" s="72"/>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row>
    <row r="95" spans="1:60" x14ac:dyDescent="0.25">
      <c r="A95" s="72"/>
      <c r="B95" s="72"/>
      <c r="C95" s="72"/>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row>
    <row r="96" spans="1:60" x14ac:dyDescent="0.25">
      <c r="A96" s="72"/>
      <c r="B96" s="72"/>
      <c r="C96" s="72"/>
      <c r="D96" s="72"/>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row>
    <row r="97" spans="1:60" x14ac:dyDescent="0.25">
      <c r="A97" s="72"/>
      <c r="B97" s="72"/>
      <c r="C97" s="72"/>
      <c r="D97" s="72"/>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row>
    <row r="98" spans="1:60" x14ac:dyDescent="0.25">
      <c r="A98" s="72"/>
      <c r="B98" s="72"/>
      <c r="C98" s="72"/>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row>
    <row r="99" spans="1:60" x14ac:dyDescent="0.25">
      <c r="A99" s="72"/>
      <c r="B99" s="72"/>
      <c r="C99" s="72"/>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row>
    <row r="100" spans="1:60" x14ac:dyDescent="0.25">
      <c r="A100" s="72"/>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row>
    <row r="101" spans="1:60" x14ac:dyDescent="0.25">
      <c r="A101" s="72"/>
      <c r="B101" s="72"/>
      <c r="C101" s="72"/>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row>
    <row r="102" spans="1:60" x14ac:dyDescent="0.25">
      <c r="A102" s="72"/>
      <c r="B102" s="72"/>
      <c r="C102" s="72"/>
      <c r="D102" s="72"/>
      <c r="E102" s="72"/>
      <c r="F102" s="72"/>
      <c r="G102" s="72"/>
      <c r="H102" s="72"/>
      <c r="I102" s="72"/>
      <c r="J102" s="72"/>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row>
    <row r="103" spans="1:60" x14ac:dyDescent="0.25">
      <c r="A103" s="72"/>
      <c r="B103" s="72"/>
      <c r="C103" s="72"/>
      <c r="D103" s="72"/>
      <c r="E103" s="72"/>
      <c r="F103" s="72"/>
      <c r="G103" s="72"/>
      <c r="H103" s="72"/>
      <c r="I103" s="72"/>
      <c r="J103" s="72"/>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row>
    <row r="104" spans="1:60" x14ac:dyDescent="0.25">
      <c r="A104" s="72"/>
      <c r="B104" s="72"/>
      <c r="C104" s="72"/>
      <c r="D104" s="72"/>
      <c r="E104" s="72"/>
      <c r="F104" s="72"/>
      <c r="G104" s="72"/>
      <c r="H104" s="72"/>
      <c r="I104" s="72"/>
      <c r="J104" s="72"/>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row>
    <row r="105" spans="1:60" x14ac:dyDescent="0.25">
      <c r="A105" s="72"/>
      <c r="B105" s="72"/>
      <c r="C105" s="72"/>
      <c r="D105" s="72"/>
      <c r="E105" s="72"/>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row>
    <row r="106" spans="1:60" x14ac:dyDescent="0.25">
      <c r="A106" s="72"/>
      <c r="B106" s="72"/>
      <c r="C106" s="72"/>
      <c r="D106" s="72"/>
      <c r="E106" s="72"/>
      <c r="F106" s="72"/>
      <c r="G106" s="72"/>
      <c r="H106" s="72"/>
      <c r="I106" s="72"/>
      <c r="J106" s="72"/>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row>
    <row r="107" spans="1:60" x14ac:dyDescent="0.25">
      <c r="A107" s="72"/>
      <c r="B107" s="72"/>
      <c r="C107" s="72"/>
      <c r="D107" s="72"/>
      <c r="E107" s="72"/>
      <c r="F107" s="72"/>
      <c r="G107" s="72"/>
      <c r="H107" s="72"/>
      <c r="I107" s="72"/>
      <c r="J107" s="72"/>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c r="BH107" s="72"/>
    </row>
    <row r="108" spans="1:60" x14ac:dyDescent="0.25">
      <c r="A108" s="72"/>
      <c r="B108" s="72"/>
      <c r="C108" s="72"/>
      <c r="D108" s="72"/>
      <c r="E108" s="72"/>
      <c r="F108" s="72"/>
      <c r="G108" s="72"/>
      <c r="H108" s="72"/>
      <c r="I108" s="72"/>
      <c r="J108" s="72"/>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c r="BH108" s="72"/>
    </row>
    <row r="109" spans="1:60" x14ac:dyDescent="0.25">
      <c r="A109" s="72"/>
      <c r="B109" s="72"/>
      <c r="C109" s="72"/>
      <c r="D109" s="72"/>
      <c r="E109" s="72"/>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c r="BH109" s="72"/>
    </row>
    <row r="110" spans="1:60" x14ac:dyDescent="0.25">
      <c r="A110" s="72"/>
      <c r="B110" s="72"/>
      <c r="C110" s="72"/>
      <c r="D110" s="72"/>
      <c r="E110" s="72"/>
      <c r="F110" s="72"/>
      <c r="G110" s="72"/>
      <c r="H110" s="72"/>
      <c r="I110" s="72"/>
      <c r="J110" s="72"/>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row>
    <row r="111" spans="1:60" x14ac:dyDescent="0.25">
      <c r="A111" s="72"/>
      <c r="B111" s="72"/>
      <c r="C111" s="72"/>
      <c r="D111" s="72"/>
      <c r="E111" s="72"/>
      <c r="F111" s="72"/>
      <c r="G111" s="72"/>
      <c r="H111" s="72"/>
      <c r="I111" s="72"/>
      <c r="J111" s="72"/>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c r="BH111" s="72"/>
    </row>
    <row r="112" spans="1:60" x14ac:dyDescent="0.25">
      <c r="A112" s="72"/>
      <c r="B112" s="72"/>
      <c r="C112" s="72"/>
      <c r="D112" s="72"/>
      <c r="E112" s="72"/>
      <c r="F112" s="72"/>
      <c r="G112" s="72"/>
      <c r="H112" s="72"/>
      <c r="I112" s="72"/>
      <c r="J112" s="72"/>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c r="BH112" s="72"/>
    </row>
    <row r="113" spans="1:60" x14ac:dyDescent="0.25">
      <c r="A113" s="72"/>
      <c r="B113" s="72"/>
      <c r="C113" s="72"/>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c r="BH113" s="72"/>
    </row>
    <row r="114" spans="1:60" x14ac:dyDescent="0.25">
      <c r="A114" s="72"/>
      <c r="B114" s="72"/>
      <c r="C114" s="72"/>
      <c r="D114" s="72"/>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c r="BH114" s="72"/>
    </row>
    <row r="115" spans="1:60" x14ac:dyDescent="0.25">
      <c r="A115" s="72"/>
      <c r="B115" s="72"/>
      <c r="C115" s="72"/>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2"/>
      <c r="AZ115" s="72"/>
      <c r="BA115" s="72"/>
      <c r="BB115" s="72"/>
      <c r="BC115" s="72"/>
      <c r="BD115" s="72"/>
      <c r="BE115" s="72"/>
      <c r="BF115" s="72"/>
      <c r="BG115" s="72"/>
      <c r="BH115" s="72"/>
    </row>
    <row r="116" spans="1:60" x14ac:dyDescent="0.25">
      <c r="A116" s="72"/>
      <c r="B116" s="72"/>
      <c r="C116" s="72"/>
      <c r="D116" s="72"/>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row>
    <row r="117" spans="1:60" x14ac:dyDescent="0.25">
      <c r="A117" s="72"/>
      <c r="B117" s="72"/>
      <c r="C117" s="72"/>
      <c r="D117" s="72"/>
      <c r="E117" s="72"/>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c r="BA117" s="72"/>
      <c r="BB117" s="72"/>
      <c r="BC117" s="72"/>
      <c r="BD117" s="72"/>
      <c r="BE117" s="72"/>
      <c r="BF117" s="72"/>
      <c r="BG117" s="72"/>
      <c r="BH117" s="72"/>
    </row>
    <row r="118" spans="1:60" x14ac:dyDescent="0.25">
      <c r="A118" s="72"/>
      <c r="B118" s="72"/>
      <c r="C118" s="72"/>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c r="BH118" s="72"/>
    </row>
    <row r="119" spans="1:60" x14ac:dyDescent="0.25">
      <c r="A119" s="72"/>
      <c r="B119" s="72"/>
      <c r="C119" s="72"/>
      <c r="D119" s="72"/>
      <c r="E119" s="72"/>
      <c r="F119" s="72"/>
      <c r="G119" s="72"/>
      <c r="H119" s="72"/>
      <c r="I119" s="72"/>
      <c r="J119" s="72"/>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c r="AK119" s="72"/>
      <c r="AL119" s="72"/>
      <c r="AM119" s="72"/>
      <c r="AN119" s="72"/>
      <c r="AO119" s="72"/>
      <c r="AP119" s="72"/>
      <c r="AQ119" s="72"/>
      <c r="AR119" s="72"/>
      <c r="AS119" s="72"/>
      <c r="AT119" s="72"/>
      <c r="AU119" s="72"/>
      <c r="AV119" s="72"/>
      <c r="AW119" s="72"/>
      <c r="AX119" s="72"/>
      <c r="AY119" s="72"/>
      <c r="AZ119" s="72"/>
      <c r="BA119" s="72"/>
      <c r="BB119" s="72"/>
      <c r="BC119" s="72"/>
      <c r="BD119" s="72"/>
      <c r="BE119" s="72"/>
      <c r="BF119" s="72"/>
      <c r="BG119" s="72"/>
      <c r="BH119" s="72"/>
    </row>
    <row r="120" spans="1:60" x14ac:dyDescent="0.25">
      <c r="A120" s="72"/>
      <c r="B120" s="72"/>
      <c r="C120" s="72"/>
      <c r="D120" s="72"/>
      <c r="E120" s="72"/>
      <c r="F120" s="72"/>
      <c r="G120" s="72"/>
      <c r="H120" s="72"/>
      <c r="I120" s="72"/>
      <c r="J120" s="72"/>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72"/>
      <c r="AH120" s="72"/>
      <c r="AI120" s="72"/>
      <c r="AJ120" s="72"/>
      <c r="AK120" s="72"/>
      <c r="AL120" s="72"/>
      <c r="AM120" s="72"/>
      <c r="AN120" s="72"/>
      <c r="AO120" s="72"/>
      <c r="AP120" s="72"/>
      <c r="AQ120" s="72"/>
      <c r="AR120" s="72"/>
      <c r="AS120" s="72"/>
      <c r="AT120" s="72"/>
      <c r="AU120" s="72"/>
      <c r="AV120" s="72"/>
      <c r="AW120" s="72"/>
      <c r="AX120" s="72"/>
      <c r="AY120" s="72"/>
      <c r="AZ120" s="72"/>
      <c r="BA120" s="72"/>
      <c r="BB120" s="72"/>
      <c r="BC120" s="72"/>
      <c r="BD120" s="72"/>
      <c r="BE120" s="72"/>
      <c r="BF120" s="72"/>
      <c r="BG120" s="72"/>
      <c r="BH120" s="72"/>
    </row>
    <row r="121" spans="1:60" x14ac:dyDescent="0.25">
      <c r="A121" s="72"/>
      <c r="B121" s="72"/>
      <c r="C121" s="72"/>
      <c r="D121" s="72"/>
      <c r="E121" s="72"/>
      <c r="F121" s="72"/>
      <c r="G121" s="72"/>
      <c r="H121" s="72"/>
      <c r="I121" s="72"/>
      <c r="J121" s="72"/>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c r="BH121" s="72"/>
    </row>
    <row r="122" spans="1:60" x14ac:dyDescent="0.25">
      <c r="A122" s="72"/>
      <c r="B122" s="72"/>
      <c r="C122" s="72"/>
      <c r="D122" s="72"/>
      <c r="E122" s="72"/>
      <c r="F122" s="72"/>
      <c r="G122" s="72"/>
      <c r="H122" s="72"/>
      <c r="I122" s="72"/>
      <c r="J122" s="72"/>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c r="BH122" s="72"/>
    </row>
    <row r="123" spans="1:60" x14ac:dyDescent="0.25">
      <c r="A123" s="72"/>
      <c r="B123" s="72"/>
      <c r="C123" s="72"/>
      <c r="D123" s="72"/>
      <c r="E123" s="72"/>
      <c r="F123" s="72"/>
      <c r="G123" s="72"/>
      <c r="H123" s="72"/>
      <c r="I123" s="72"/>
      <c r="J123" s="72"/>
      <c r="K123" s="72"/>
      <c r="L123" s="72"/>
      <c r="M123" s="72"/>
      <c r="N123" s="72"/>
      <c r="O123" s="72"/>
      <c r="P123" s="72"/>
      <c r="Q123" s="72"/>
      <c r="R123" s="72"/>
      <c r="S123" s="72"/>
      <c r="T123" s="72"/>
      <c r="U123" s="72"/>
      <c r="V123" s="72"/>
      <c r="W123" s="72"/>
      <c r="X123" s="72"/>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c r="BH123" s="72"/>
    </row>
    <row r="124" spans="1:60" x14ac:dyDescent="0.25">
      <c r="A124" s="72"/>
      <c r="B124" s="72"/>
      <c r="C124" s="72"/>
      <c r="D124" s="72"/>
      <c r="E124" s="72"/>
      <c r="F124" s="72"/>
      <c r="G124" s="72"/>
      <c r="H124" s="72"/>
      <c r="I124" s="72"/>
      <c r="J124" s="72"/>
      <c r="K124" s="72"/>
      <c r="L124" s="72"/>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c r="BH124" s="72"/>
    </row>
    <row r="125" spans="1:60" x14ac:dyDescent="0.25">
      <c r="A125" s="72"/>
      <c r="B125" s="72"/>
      <c r="C125" s="72"/>
      <c r="D125" s="72"/>
      <c r="E125" s="72"/>
      <c r="F125" s="72"/>
      <c r="G125" s="72"/>
      <c r="H125" s="72"/>
      <c r="I125" s="72"/>
      <c r="J125" s="72"/>
      <c r="K125" s="72"/>
      <c r="L125" s="72"/>
      <c r="M125" s="72"/>
      <c r="N125" s="72"/>
      <c r="O125" s="72"/>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row>
    <row r="126" spans="1:60" x14ac:dyDescent="0.25">
      <c r="A126" s="72"/>
      <c r="B126" s="7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row>
    <row r="127" spans="1:60" x14ac:dyDescent="0.25">
      <c r="A127" s="72"/>
      <c r="B127" s="72"/>
      <c r="C127" s="72"/>
      <c r="D127" s="72"/>
      <c r="E127" s="72"/>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c r="BH127" s="72"/>
    </row>
    <row r="128" spans="1:60" x14ac:dyDescent="0.25">
      <c r="A128" s="72"/>
      <c r="B128" s="72"/>
      <c r="C128" s="72"/>
      <c r="D128" s="72"/>
      <c r="E128" s="72"/>
      <c r="F128" s="72"/>
      <c r="G128" s="72"/>
      <c r="H128" s="72"/>
      <c r="I128" s="72"/>
      <c r="J128" s="72"/>
      <c r="K128" s="72"/>
      <c r="L128" s="72"/>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2"/>
      <c r="BC128" s="72"/>
      <c r="BD128" s="72"/>
      <c r="BE128" s="72"/>
      <c r="BF128" s="72"/>
      <c r="BG128" s="72"/>
      <c r="BH128" s="72"/>
    </row>
    <row r="129" spans="1:60" x14ac:dyDescent="0.25">
      <c r="A129" s="72"/>
      <c r="B129" s="72"/>
      <c r="C129" s="72"/>
      <c r="D129" s="72"/>
      <c r="E129" s="72"/>
      <c r="F129" s="72"/>
      <c r="G129" s="72"/>
      <c r="H129" s="72"/>
      <c r="I129" s="72"/>
      <c r="J129" s="72"/>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c r="AK129" s="72"/>
      <c r="AL129" s="72"/>
      <c r="AM129" s="72"/>
      <c r="AN129" s="72"/>
      <c r="AO129" s="72"/>
      <c r="AP129" s="72"/>
      <c r="AQ129" s="72"/>
      <c r="AR129" s="72"/>
      <c r="AS129" s="72"/>
      <c r="AT129" s="72"/>
      <c r="AU129" s="72"/>
      <c r="AV129" s="72"/>
      <c r="AW129" s="72"/>
      <c r="AX129" s="72"/>
      <c r="AY129" s="72"/>
      <c r="AZ129" s="72"/>
      <c r="BA129" s="72"/>
      <c r="BB129" s="72"/>
      <c r="BC129" s="72"/>
      <c r="BD129" s="72"/>
      <c r="BE129" s="72"/>
      <c r="BF129" s="72"/>
      <c r="BG129" s="72"/>
      <c r="BH129" s="72"/>
    </row>
    <row r="130" spans="1:60" x14ac:dyDescent="0.25">
      <c r="A130" s="72"/>
      <c r="B130" s="72"/>
      <c r="C130" s="72"/>
      <c r="D130" s="72"/>
      <c r="E130" s="72"/>
      <c r="F130" s="72"/>
      <c r="G130" s="72"/>
      <c r="H130" s="72"/>
      <c r="I130" s="72"/>
      <c r="J130" s="72"/>
      <c r="K130" s="72"/>
      <c r="L130" s="72"/>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2"/>
      <c r="BC130" s="72"/>
      <c r="BD130" s="72"/>
      <c r="BE130" s="72"/>
      <c r="BF130" s="72"/>
      <c r="BG130" s="72"/>
      <c r="BH130" s="72"/>
    </row>
    <row r="131" spans="1:60" x14ac:dyDescent="0.25">
      <c r="A131" s="72"/>
      <c r="B131" s="72"/>
      <c r="C131" s="72"/>
      <c r="D131" s="72"/>
      <c r="E131" s="72"/>
      <c r="F131" s="72"/>
      <c r="G131" s="72"/>
      <c r="H131" s="72"/>
      <c r="I131" s="72"/>
      <c r="J131" s="72"/>
      <c r="K131" s="72"/>
      <c r="L131" s="72"/>
      <c r="M131" s="72"/>
      <c r="N131" s="72"/>
      <c r="O131" s="72"/>
      <c r="P131" s="72"/>
      <c r="Q131" s="72"/>
      <c r="R131" s="72"/>
      <c r="S131" s="72"/>
      <c r="T131" s="72"/>
      <c r="U131" s="72"/>
      <c r="V131" s="72"/>
      <c r="W131" s="72"/>
      <c r="X131" s="72"/>
      <c r="Y131" s="72"/>
      <c r="Z131" s="72"/>
      <c r="AA131" s="72"/>
      <c r="AB131" s="72"/>
      <c r="AC131" s="72"/>
      <c r="AD131" s="72"/>
      <c r="AE131" s="72"/>
      <c r="AF131" s="72"/>
      <c r="AG131" s="72"/>
      <c r="AH131" s="72"/>
      <c r="AI131" s="72"/>
      <c r="AJ131" s="72"/>
      <c r="AK131" s="72"/>
      <c r="AL131" s="72"/>
      <c r="AM131" s="72"/>
      <c r="AN131" s="72"/>
      <c r="AO131" s="72"/>
      <c r="AP131" s="72"/>
      <c r="AQ131" s="72"/>
      <c r="AR131" s="72"/>
      <c r="AS131" s="72"/>
      <c r="AT131" s="72"/>
      <c r="AU131" s="72"/>
      <c r="AV131" s="72"/>
      <c r="AW131" s="72"/>
      <c r="AX131" s="72"/>
      <c r="AY131" s="72"/>
      <c r="AZ131" s="72"/>
      <c r="BA131" s="72"/>
      <c r="BB131" s="72"/>
      <c r="BC131" s="72"/>
      <c r="BD131" s="72"/>
      <c r="BE131" s="72"/>
      <c r="BF131" s="72"/>
      <c r="BG131" s="72"/>
      <c r="BH131" s="72"/>
    </row>
    <row r="132" spans="1:60" x14ac:dyDescent="0.25">
      <c r="A132" s="72"/>
      <c r="B132" s="72"/>
      <c r="C132" s="72"/>
      <c r="D132" s="72"/>
      <c r="E132" s="72"/>
      <c r="F132" s="72"/>
      <c r="G132" s="72"/>
      <c r="H132" s="72"/>
      <c r="I132" s="72"/>
      <c r="J132" s="72"/>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72"/>
      <c r="AJ132" s="72"/>
      <c r="AK132" s="72"/>
      <c r="AL132" s="72"/>
      <c r="AM132" s="72"/>
      <c r="AN132" s="72"/>
      <c r="AO132" s="72"/>
      <c r="AP132" s="72"/>
      <c r="AQ132" s="72"/>
      <c r="AR132" s="72"/>
      <c r="AS132" s="72"/>
      <c r="AT132" s="72"/>
      <c r="AU132" s="72"/>
      <c r="AV132" s="72"/>
      <c r="AW132" s="72"/>
      <c r="AX132" s="72"/>
      <c r="AY132" s="72"/>
      <c r="AZ132" s="72"/>
      <c r="BA132" s="72"/>
      <c r="BB132" s="72"/>
      <c r="BC132" s="72"/>
      <c r="BD132" s="72"/>
      <c r="BE132" s="72"/>
      <c r="BF132" s="72"/>
      <c r="BG132" s="72"/>
      <c r="BH132" s="72"/>
    </row>
    <row r="133" spans="1:60" x14ac:dyDescent="0.25">
      <c r="A133" s="72"/>
      <c r="B133" s="72"/>
      <c r="C133" s="72"/>
      <c r="D133" s="72"/>
      <c r="E133" s="72"/>
      <c r="F133" s="72"/>
      <c r="G133" s="72"/>
      <c r="H133" s="72"/>
      <c r="I133" s="72"/>
      <c r="J133" s="72"/>
      <c r="K133" s="72"/>
      <c r="L133" s="72"/>
      <c r="M133" s="72"/>
      <c r="N133" s="72"/>
      <c r="O133" s="72"/>
      <c r="P133" s="72"/>
      <c r="Q133" s="72"/>
      <c r="R133" s="72"/>
      <c r="S133" s="72"/>
      <c r="T133" s="72"/>
      <c r="U133" s="72"/>
      <c r="V133" s="72"/>
      <c r="W133" s="72"/>
      <c r="X133" s="72"/>
      <c r="Y133" s="72"/>
      <c r="Z133" s="72"/>
      <c r="AA133" s="72"/>
      <c r="AB133" s="72"/>
      <c r="AC133" s="72"/>
      <c r="AD133" s="72"/>
      <c r="AE133" s="72"/>
      <c r="AF133" s="72"/>
      <c r="AG133" s="72"/>
      <c r="AH133" s="72"/>
      <c r="AI133" s="72"/>
      <c r="AJ133" s="72"/>
      <c r="AK133" s="72"/>
      <c r="AL133" s="72"/>
      <c r="AM133" s="72"/>
      <c r="AN133" s="72"/>
      <c r="AO133" s="72"/>
      <c r="AP133" s="72"/>
      <c r="AQ133" s="72"/>
      <c r="AR133" s="72"/>
      <c r="AS133" s="72"/>
      <c r="AT133" s="72"/>
      <c r="AU133" s="72"/>
      <c r="AV133" s="72"/>
      <c r="AW133" s="72"/>
      <c r="AX133" s="72"/>
      <c r="AY133" s="72"/>
      <c r="AZ133" s="72"/>
      <c r="BA133" s="72"/>
      <c r="BB133" s="72"/>
      <c r="BC133" s="72"/>
      <c r="BD133" s="72"/>
      <c r="BE133" s="72"/>
      <c r="BF133" s="72"/>
      <c r="BG133" s="72"/>
      <c r="BH133" s="72"/>
    </row>
    <row r="134" spans="1:60" x14ac:dyDescent="0.25">
      <c r="A134" s="72"/>
      <c r="B134" s="72"/>
      <c r="C134" s="72"/>
      <c r="D134" s="72"/>
      <c r="E134" s="72"/>
      <c r="F134" s="72"/>
      <c r="G134" s="72"/>
      <c r="H134" s="72"/>
      <c r="I134" s="72"/>
      <c r="J134" s="72"/>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2"/>
      <c r="AY134" s="72"/>
      <c r="AZ134" s="72"/>
      <c r="BA134" s="72"/>
      <c r="BB134" s="72"/>
      <c r="BC134" s="72"/>
      <c r="BD134" s="72"/>
      <c r="BE134" s="72"/>
      <c r="BF134" s="72"/>
      <c r="BG134" s="72"/>
      <c r="BH134" s="72"/>
    </row>
    <row r="135" spans="1:60" x14ac:dyDescent="0.25">
      <c r="A135" s="72"/>
      <c r="B135" s="72"/>
      <c r="C135" s="72"/>
      <c r="D135" s="72"/>
      <c r="E135" s="72"/>
      <c r="F135" s="72"/>
      <c r="G135" s="72"/>
      <c r="H135" s="72"/>
      <c r="I135" s="72"/>
      <c r="J135" s="72"/>
      <c r="K135" s="72"/>
      <c r="L135" s="72"/>
      <c r="M135" s="72"/>
      <c r="N135" s="72"/>
      <c r="O135" s="72"/>
      <c r="P135" s="72"/>
      <c r="Q135" s="72"/>
      <c r="R135" s="72"/>
      <c r="S135" s="72"/>
      <c r="T135" s="72"/>
      <c r="U135" s="72"/>
      <c r="V135" s="72"/>
      <c r="W135" s="72"/>
      <c r="X135" s="72"/>
      <c r="Y135" s="72"/>
      <c r="Z135" s="72"/>
      <c r="AA135" s="72"/>
      <c r="AB135" s="72"/>
      <c r="AC135" s="72"/>
      <c r="AD135" s="72"/>
      <c r="AE135" s="72"/>
      <c r="AF135" s="72"/>
      <c r="AG135" s="72"/>
      <c r="AH135" s="72"/>
      <c r="AI135" s="72"/>
      <c r="AJ135" s="72"/>
      <c r="AK135" s="72"/>
      <c r="AL135" s="72"/>
      <c r="AM135" s="72"/>
      <c r="AN135" s="72"/>
      <c r="AO135" s="72"/>
      <c r="AP135" s="72"/>
      <c r="AQ135" s="72"/>
      <c r="AR135" s="72"/>
      <c r="AS135" s="72"/>
      <c r="AT135" s="72"/>
      <c r="AU135" s="72"/>
      <c r="AV135" s="72"/>
      <c r="AW135" s="72"/>
      <c r="AX135" s="72"/>
      <c r="AY135" s="72"/>
      <c r="AZ135" s="72"/>
      <c r="BA135" s="72"/>
      <c r="BB135" s="72"/>
      <c r="BC135" s="72"/>
      <c r="BD135" s="72"/>
      <c r="BE135" s="72"/>
      <c r="BF135" s="72"/>
      <c r="BG135" s="72"/>
      <c r="BH135" s="72"/>
    </row>
    <row r="136" spans="1:60" x14ac:dyDescent="0.25">
      <c r="A136" s="72"/>
      <c r="B136" s="72"/>
      <c r="C136" s="72"/>
      <c r="D136" s="72"/>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c r="BG136" s="72"/>
      <c r="BH136" s="72"/>
    </row>
    <row r="137" spans="1:60" x14ac:dyDescent="0.25">
      <c r="A137" s="72"/>
      <c r="B137" s="72"/>
      <c r="C137" s="72"/>
      <c r="D137" s="72"/>
      <c r="E137" s="72"/>
      <c r="F137" s="72"/>
      <c r="G137" s="72"/>
      <c r="H137" s="72"/>
      <c r="I137" s="72"/>
      <c r="J137" s="72"/>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c r="BH137" s="72"/>
    </row>
    <row r="138" spans="1:60" x14ac:dyDescent="0.25">
      <c r="A138" s="72"/>
      <c r="B138" s="72"/>
      <c r="C138" s="72"/>
      <c r="D138" s="72"/>
      <c r="E138" s="72"/>
      <c r="F138" s="72"/>
      <c r="G138" s="72"/>
      <c r="H138" s="72"/>
      <c r="I138" s="72"/>
      <c r="J138" s="72"/>
      <c r="K138" s="72"/>
      <c r="L138" s="72"/>
      <c r="M138" s="72"/>
      <c r="N138" s="72"/>
      <c r="O138" s="72"/>
      <c r="P138" s="72"/>
      <c r="Q138" s="72"/>
      <c r="R138" s="72"/>
      <c r="S138" s="72"/>
      <c r="T138" s="72"/>
      <c r="U138" s="72"/>
      <c r="V138" s="72"/>
      <c r="W138" s="72"/>
      <c r="X138" s="72"/>
      <c r="Y138" s="72"/>
      <c r="Z138" s="72"/>
      <c r="AA138" s="72"/>
      <c r="AB138" s="72"/>
      <c r="AC138" s="72"/>
      <c r="AD138" s="72"/>
      <c r="AE138" s="72"/>
      <c r="AF138" s="72"/>
      <c r="AG138" s="72"/>
      <c r="AH138" s="72"/>
      <c r="AI138" s="72"/>
      <c r="AJ138" s="72"/>
      <c r="AK138" s="72"/>
      <c r="AL138" s="72"/>
      <c r="AM138" s="72"/>
      <c r="AN138" s="72"/>
      <c r="AO138" s="72"/>
      <c r="AP138" s="72"/>
      <c r="AQ138" s="72"/>
      <c r="AR138" s="72"/>
      <c r="AS138" s="72"/>
      <c r="AT138" s="72"/>
      <c r="AU138" s="72"/>
      <c r="AV138" s="72"/>
      <c r="AW138" s="72"/>
      <c r="AX138" s="72"/>
      <c r="AY138" s="72"/>
      <c r="AZ138" s="72"/>
      <c r="BA138" s="72"/>
      <c r="BB138" s="72"/>
      <c r="BC138" s="72"/>
      <c r="BD138" s="72"/>
      <c r="BE138" s="72"/>
      <c r="BF138" s="72"/>
      <c r="BG138" s="72"/>
      <c r="BH138" s="72"/>
    </row>
    <row r="139" spans="1:60" x14ac:dyDescent="0.25">
      <c r="A139" s="72"/>
      <c r="B139" s="72"/>
      <c r="C139" s="72"/>
      <c r="D139" s="72"/>
      <c r="E139" s="72"/>
      <c r="F139" s="72"/>
      <c r="G139" s="72"/>
      <c r="H139" s="72"/>
      <c r="I139" s="72"/>
      <c r="J139" s="72"/>
      <c r="K139" s="72"/>
      <c r="L139" s="72"/>
      <c r="M139" s="72"/>
      <c r="N139" s="72"/>
      <c r="O139" s="72"/>
      <c r="P139" s="72"/>
      <c r="Q139" s="72"/>
      <c r="R139" s="72"/>
      <c r="S139" s="72"/>
      <c r="T139" s="72"/>
      <c r="U139" s="72"/>
      <c r="V139" s="72"/>
      <c r="W139" s="72"/>
      <c r="X139" s="72"/>
      <c r="Y139" s="72"/>
      <c r="Z139" s="72"/>
      <c r="AA139" s="72"/>
      <c r="AB139" s="72"/>
      <c r="AC139" s="72"/>
      <c r="AD139" s="72"/>
      <c r="AE139" s="72"/>
      <c r="AF139" s="72"/>
      <c r="AG139" s="72"/>
      <c r="AH139" s="72"/>
      <c r="AI139" s="72"/>
      <c r="AJ139" s="72"/>
      <c r="AK139" s="72"/>
      <c r="AL139" s="72"/>
      <c r="AM139" s="72"/>
      <c r="AN139" s="72"/>
      <c r="AO139" s="72"/>
      <c r="AP139" s="72"/>
      <c r="AQ139" s="72"/>
      <c r="AR139" s="72"/>
      <c r="AS139" s="72"/>
      <c r="AT139" s="72"/>
      <c r="AU139" s="72"/>
      <c r="AV139" s="72"/>
      <c r="AW139" s="72"/>
      <c r="AX139" s="72"/>
      <c r="AY139" s="72"/>
      <c r="AZ139" s="72"/>
      <c r="BA139" s="72"/>
      <c r="BB139" s="72"/>
      <c r="BC139" s="72"/>
      <c r="BD139" s="72"/>
      <c r="BE139" s="72"/>
      <c r="BF139" s="72"/>
      <c r="BG139" s="72"/>
      <c r="BH139" s="72"/>
    </row>
    <row r="140" spans="1:60" x14ac:dyDescent="0.25">
      <c r="A140" s="72"/>
      <c r="B140" s="72"/>
      <c r="C140" s="72"/>
      <c r="D140" s="72"/>
      <c r="E140" s="72"/>
      <c r="F140" s="72"/>
      <c r="G140" s="72"/>
      <c r="H140" s="72"/>
      <c r="I140" s="72"/>
      <c r="J140" s="72"/>
      <c r="K140" s="72"/>
      <c r="L140" s="72"/>
      <c r="M140" s="72"/>
      <c r="N140" s="72"/>
      <c r="O140" s="72"/>
      <c r="P140" s="72"/>
      <c r="Q140" s="72"/>
      <c r="R140" s="72"/>
      <c r="S140" s="72"/>
      <c r="T140" s="72"/>
      <c r="U140" s="72"/>
      <c r="V140" s="72"/>
      <c r="W140" s="72"/>
      <c r="X140" s="72"/>
      <c r="Y140" s="72"/>
      <c r="Z140" s="72"/>
      <c r="AA140" s="72"/>
      <c r="AB140" s="72"/>
      <c r="AC140" s="72"/>
      <c r="AD140" s="72"/>
      <c r="AE140" s="72"/>
      <c r="AF140" s="72"/>
      <c r="AG140" s="72"/>
      <c r="AH140" s="72"/>
      <c r="AI140" s="72"/>
      <c r="AJ140" s="72"/>
      <c r="AK140" s="72"/>
      <c r="AL140" s="72"/>
      <c r="AM140" s="72"/>
      <c r="AN140" s="72"/>
      <c r="AO140" s="72"/>
      <c r="AP140" s="72"/>
      <c r="AQ140" s="72"/>
      <c r="AR140" s="72"/>
      <c r="AS140" s="72"/>
      <c r="AT140" s="72"/>
      <c r="AU140" s="72"/>
      <c r="AV140" s="72"/>
      <c r="AW140" s="72"/>
      <c r="AX140" s="72"/>
      <c r="AY140" s="72"/>
      <c r="AZ140" s="72"/>
      <c r="BA140" s="72"/>
      <c r="BB140" s="72"/>
      <c r="BC140" s="72"/>
      <c r="BD140" s="72"/>
      <c r="BE140" s="72"/>
      <c r="BF140" s="72"/>
      <c r="BG140" s="72"/>
      <c r="BH140" s="72"/>
    </row>
    <row r="141" spans="1:60" x14ac:dyDescent="0.25">
      <c r="A141" s="72"/>
      <c r="B141" s="72"/>
      <c r="C141" s="72"/>
      <c r="D141" s="72"/>
      <c r="E141" s="72"/>
      <c r="F141" s="72"/>
      <c r="G141" s="72"/>
      <c r="H141" s="72"/>
      <c r="I141" s="72"/>
      <c r="J141" s="72"/>
      <c r="K141" s="72"/>
      <c r="L141" s="72"/>
      <c r="M141" s="72"/>
      <c r="N141" s="72"/>
      <c r="O141" s="72"/>
      <c r="P141" s="72"/>
      <c r="Q141" s="72"/>
      <c r="R141" s="72"/>
      <c r="S141" s="72"/>
      <c r="T141" s="72"/>
      <c r="U141" s="72"/>
      <c r="V141" s="72"/>
      <c r="W141" s="72"/>
      <c r="X141" s="72"/>
      <c r="Y141" s="72"/>
      <c r="Z141" s="72"/>
      <c r="AA141" s="72"/>
      <c r="AB141" s="72"/>
      <c r="AC141" s="72"/>
      <c r="AD141" s="72"/>
      <c r="AE141" s="72"/>
      <c r="AF141" s="72"/>
      <c r="AG141" s="72"/>
      <c r="AH141" s="72"/>
      <c r="AI141" s="72"/>
      <c r="AJ141" s="72"/>
      <c r="AK141" s="72"/>
      <c r="AL141" s="72"/>
      <c r="AM141" s="72"/>
      <c r="AN141" s="72"/>
      <c r="AO141" s="72"/>
      <c r="AP141" s="72"/>
      <c r="AQ141" s="72"/>
      <c r="AR141" s="72"/>
      <c r="AS141" s="72"/>
      <c r="AT141" s="72"/>
      <c r="AU141" s="72"/>
      <c r="AV141" s="72"/>
      <c r="AW141" s="72"/>
      <c r="AX141" s="72"/>
      <c r="AY141" s="72"/>
      <c r="AZ141" s="72"/>
      <c r="BA141" s="72"/>
      <c r="BB141" s="72"/>
      <c r="BC141" s="72"/>
      <c r="BD141" s="72"/>
      <c r="BE141" s="72"/>
      <c r="BF141" s="72"/>
      <c r="BG141" s="72"/>
      <c r="BH141" s="72"/>
    </row>
    <row r="142" spans="1:60" x14ac:dyDescent="0.25">
      <c r="A142" s="72"/>
      <c r="B142" s="72"/>
      <c r="C142" s="72"/>
      <c r="D142" s="72"/>
      <c r="E142" s="72"/>
      <c r="F142" s="72"/>
      <c r="G142" s="72"/>
      <c r="H142" s="72"/>
      <c r="I142" s="72"/>
      <c r="J142" s="72"/>
      <c r="K142" s="72"/>
      <c r="L142" s="72"/>
      <c r="M142" s="72"/>
      <c r="N142" s="72"/>
      <c r="O142" s="72"/>
      <c r="P142" s="72"/>
      <c r="Q142" s="72"/>
      <c r="R142" s="72"/>
      <c r="S142" s="72"/>
      <c r="T142" s="72"/>
      <c r="U142" s="72"/>
      <c r="V142" s="72"/>
      <c r="W142" s="72"/>
      <c r="X142" s="72"/>
      <c r="Y142" s="72"/>
      <c r="Z142" s="72"/>
      <c r="AA142" s="72"/>
      <c r="AB142" s="72"/>
      <c r="AC142" s="72"/>
      <c r="AD142" s="72"/>
      <c r="AE142" s="72"/>
      <c r="AF142" s="72"/>
      <c r="AG142" s="72"/>
      <c r="AH142" s="72"/>
      <c r="AI142" s="72"/>
      <c r="AJ142" s="72"/>
      <c r="AK142" s="72"/>
      <c r="AL142" s="72"/>
      <c r="AM142" s="72"/>
      <c r="AN142" s="72"/>
      <c r="AO142" s="72"/>
      <c r="AP142" s="72"/>
      <c r="AQ142" s="72"/>
      <c r="AR142" s="72"/>
      <c r="AS142" s="72"/>
      <c r="AT142" s="72"/>
      <c r="AU142" s="72"/>
      <c r="AV142" s="72"/>
      <c r="AW142" s="72"/>
      <c r="AX142" s="72"/>
      <c r="AY142" s="72"/>
      <c r="AZ142" s="72"/>
      <c r="BA142" s="72"/>
      <c r="BB142" s="72"/>
      <c r="BC142" s="72"/>
      <c r="BD142" s="72"/>
      <c r="BE142" s="72"/>
      <c r="BF142" s="72"/>
      <c r="BG142" s="72"/>
      <c r="BH142" s="72"/>
    </row>
    <row r="143" spans="1:60" x14ac:dyDescent="0.25">
      <c r="A143" s="72"/>
      <c r="B143" s="72"/>
      <c r="C143" s="72"/>
      <c r="D143" s="72"/>
      <c r="E143" s="72"/>
      <c r="F143" s="72"/>
      <c r="G143" s="72"/>
      <c r="H143" s="72"/>
      <c r="I143" s="72"/>
      <c r="J143" s="72"/>
      <c r="K143" s="72"/>
      <c r="L143" s="72"/>
      <c r="M143" s="72"/>
      <c r="N143" s="72"/>
      <c r="O143" s="72"/>
      <c r="P143" s="72"/>
      <c r="Q143" s="72"/>
      <c r="R143" s="72"/>
      <c r="S143" s="72"/>
      <c r="T143" s="72"/>
      <c r="U143" s="72"/>
      <c r="V143" s="72"/>
      <c r="W143" s="72"/>
      <c r="X143" s="72"/>
      <c r="Y143" s="72"/>
      <c r="Z143" s="72"/>
      <c r="AA143" s="72"/>
      <c r="AB143" s="72"/>
      <c r="AC143" s="72"/>
      <c r="AD143" s="72"/>
      <c r="AE143" s="72"/>
      <c r="AF143" s="72"/>
      <c r="AG143" s="72"/>
      <c r="AH143" s="72"/>
      <c r="AI143" s="72"/>
      <c r="AJ143" s="72"/>
      <c r="AK143" s="72"/>
      <c r="AL143" s="72"/>
      <c r="AM143" s="72"/>
      <c r="AN143" s="72"/>
      <c r="AO143" s="72"/>
      <c r="AP143" s="72"/>
      <c r="AQ143" s="72"/>
      <c r="AR143" s="72"/>
      <c r="AS143" s="72"/>
      <c r="AT143" s="72"/>
      <c r="AU143" s="72"/>
      <c r="AV143" s="72"/>
      <c r="AW143" s="72"/>
      <c r="AX143" s="72"/>
      <c r="AY143" s="72"/>
      <c r="AZ143" s="72"/>
      <c r="BA143" s="72"/>
      <c r="BB143" s="72"/>
      <c r="BC143" s="72"/>
      <c r="BD143" s="72"/>
      <c r="BE143" s="72"/>
      <c r="BF143" s="72"/>
      <c r="BG143" s="72"/>
      <c r="BH143" s="72"/>
    </row>
    <row r="144" spans="1:60" x14ac:dyDescent="0.25">
      <c r="A144" s="72"/>
      <c r="B144" s="72"/>
      <c r="C144" s="72"/>
      <c r="D144" s="72"/>
      <c r="E144" s="72"/>
      <c r="F144" s="72"/>
      <c r="G144" s="72"/>
      <c r="H144" s="72"/>
      <c r="I144" s="72"/>
      <c r="J144" s="72"/>
      <c r="K144" s="72"/>
      <c r="L144" s="72"/>
      <c r="M144" s="72"/>
      <c r="N144" s="72"/>
      <c r="O144" s="72"/>
      <c r="P144" s="72"/>
      <c r="Q144" s="72"/>
      <c r="R144" s="72"/>
      <c r="S144" s="72"/>
      <c r="T144" s="72"/>
      <c r="U144" s="72"/>
      <c r="V144" s="72"/>
      <c r="W144" s="72"/>
      <c r="X144" s="72"/>
      <c r="Y144" s="72"/>
      <c r="Z144" s="72"/>
      <c r="AA144" s="72"/>
      <c r="AB144" s="72"/>
      <c r="AC144" s="72"/>
      <c r="AD144" s="72"/>
      <c r="AE144" s="72"/>
      <c r="AF144" s="72"/>
      <c r="AG144" s="72"/>
      <c r="AH144" s="72"/>
      <c r="AI144" s="72"/>
      <c r="AJ144" s="72"/>
      <c r="AK144" s="72"/>
      <c r="AL144" s="72"/>
      <c r="AM144" s="72"/>
      <c r="AN144" s="72"/>
      <c r="AO144" s="72"/>
      <c r="AP144" s="72"/>
      <c r="AQ144" s="72"/>
      <c r="AR144" s="72"/>
      <c r="AS144" s="72"/>
      <c r="AT144" s="72"/>
      <c r="AU144" s="72"/>
      <c r="AV144" s="72"/>
      <c r="AW144" s="72"/>
      <c r="AX144" s="72"/>
      <c r="AY144" s="72"/>
      <c r="AZ144" s="72"/>
      <c r="BA144" s="72"/>
      <c r="BB144" s="72"/>
      <c r="BC144" s="72"/>
      <c r="BD144" s="72"/>
      <c r="BE144" s="72"/>
      <c r="BF144" s="72"/>
      <c r="BG144" s="72"/>
      <c r="BH144" s="72"/>
    </row>
    <row r="145" spans="1:60" x14ac:dyDescent="0.25">
      <c r="A145" s="72"/>
      <c r="B145" s="72"/>
      <c r="C145" s="72"/>
      <c r="D145" s="72"/>
      <c r="E145" s="72"/>
      <c r="F145" s="72"/>
      <c r="G145" s="72"/>
      <c r="H145" s="72"/>
      <c r="I145" s="72"/>
      <c r="J145" s="72"/>
      <c r="K145" s="72"/>
      <c r="L145" s="72"/>
      <c r="M145" s="72"/>
      <c r="N145" s="72"/>
      <c r="O145" s="72"/>
      <c r="P145" s="72"/>
      <c r="Q145" s="72"/>
      <c r="R145" s="72"/>
      <c r="S145" s="72"/>
      <c r="T145" s="72"/>
      <c r="U145" s="72"/>
      <c r="V145" s="72"/>
      <c r="W145" s="72"/>
      <c r="X145" s="72"/>
      <c r="Y145" s="72"/>
      <c r="Z145" s="72"/>
      <c r="AA145" s="72"/>
      <c r="AB145" s="72"/>
      <c r="AC145" s="72"/>
      <c r="AD145" s="72"/>
      <c r="AE145" s="72"/>
      <c r="AF145" s="72"/>
      <c r="AG145" s="72"/>
      <c r="AH145" s="72"/>
      <c r="AI145" s="72"/>
      <c r="AJ145" s="72"/>
      <c r="AK145" s="72"/>
      <c r="AL145" s="72"/>
      <c r="AM145" s="72"/>
      <c r="AN145" s="72"/>
      <c r="AO145" s="72"/>
      <c r="AP145" s="72"/>
      <c r="AQ145" s="72"/>
      <c r="AR145" s="72"/>
      <c r="AS145" s="72"/>
      <c r="AT145" s="72"/>
      <c r="AU145" s="72"/>
      <c r="AV145" s="72"/>
      <c r="AW145" s="72"/>
      <c r="AX145" s="72"/>
      <c r="AY145" s="72"/>
      <c r="AZ145" s="72"/>
      <c r="BA145" s="72"/>
      <c r="BB145" s="72"/>
      <c r="BC145" s="72"/>
      <c r="BD145" s="72"/>
      <c r="BE145" s="72"/>
      <c r="BF145" s="72"/>
      <c r="BG145" s="72"/>
      <c r="BH145" s="72"/>
    </row>
    <row r="146" spans="1:60" x14ac:dyDescent="0.25">
      <c r="A146" s="72"/>
      <c r="B146" s="72"/>
      <c r="C146" s="72"/>
      <c r="D146" s="72"/>
      <c r="E146" s="72"/>
      <c r="F146" s="72"/>
      <c r="G146" s="72"/>
      <c r="H146" s="72"/>
      <c r="I146" s="72"/>
      <c r="J146" s="72"/>
      <c r="K146" s="72"/>
      <c r="L146" s="72"/>
      <c r="M146" s="72"/>
      <c r="N146" s="72"/>
      <c r="O146" s="72"/>
      <c r="P146" s="72"/>
      <c r="Q146" s="72"/>
      <c r="R146" s="72"/>
      <c r="S146" s="72"/>
      <c r="T146" s="72"/>
      <c r="U146" s="72"/>
      <c r="V146" s="72"/>
      <c r="W146" s="72"/>
      <c r="X146" s="72"/>
      <c r="Y146" s="72"/>
      <c r="Z146" s="72"/>
      <c r="AA146" s="72"/>
      <c r="AB146" s="72"/>
      <c r="AC146" s="72"/>
      <c r="AD146" s="72"/>
      <c r="AE146" s="72"/>
      <c r="AF146" s="72"/>
      <c r="AG146" s="72"/>
      <c r="AH146" s="72"/>
      <c r="AI146" s="72"/>
      <c r="AJ146" s="72"/>
      <c r="AK146" s="72"/>
      <c r="AL146" s="72"/>
      <c r="AM146" s="72"/>
      <c r="AN146" s="72"/>
      <c r="AO146" s="72"/>
      <c r="AP146" s="72"/>
      <c r="AQ146" s="72"/>
      <c r="AR146" s="72"/>
      <c r="AS146" s="72"/>
      <c r="AT146" s="72"/>
      <c r="AU146" s="72"/>
      <c r="AV146" s="72"/>
      <c r="AW146" s="72"/>
      <c r="AX146" s="72"/>
      <c r="AY146" s="72"/>
      <c r="AZ146" s="72"/>
      <c r="BA146" s="72"/>
      <c r="BB146" s="72"/>
      <c r="BC146" s="72"/>
      <c r="BD146" s="72"/>
      <c r="BE146" s="72"/>
      <c r="BF146" s="72"/>
      <c r="BG146" s="72"/>
      <c r="BH146" s="72"/>
    </row>
    <row r="147" spans="1:60" x14ac:dyDescent="0.25">
      <c r="A147" s="72"/>
      <c r="B147" s="72"/>
      <c r="C147" s="72"/>
      <c r="D147" s="72"/>
      <c r="E147" s="72"/>
      <c r="F147" s="72"/>
      <c r="G147" s="72"/>
      <c r="H147" s="72"/>
      <c r="I147" s="72"/>
      <c r="J147" s="72"/>
      <c r="K147" s="72"/>
      <c r="L147" s="72"/>
      <c r="M147" s="72"/>
      <c r="N147" s="72"/>
      <c r="O147" s="72"/>
      <c r="P147" s="72"/>
      <c r="Q147" s="72"/>
      <c r="R147" s="72"/>
      <c r="S147" s="72"/>
      <c r="T147" s="72"/>
      <c r="U147" s="72"/>
      <c r="V147" s="72"/>
      <c r="W147" s="72"/>
      <c r="X147" s="72"/>
      <c r="Y147" s="72"/>
      <c r="Z147" s="72"/>
      <c r="AA147" s="72"/>
      <c r="AB147" s="72"/>
      <c r="AC147" s="72"/>
      <c r="AD147" s="72"/>
      <c r="AE147" s="72"/>
      <c r="AF147" s="72"/>
      <c r="AG147" s="72"/>
      <c r="AH147" s="72"/>
      <c r="AI147" s="72"/>
      <c r="AJ147" s="72"/>
      <c r="AK147" s="72"/>
      <c r="AL147" s="72"/>
      <c r="AM147" s="72"/>
      <c r="AN147" s="72"/>
      <c r="AO147" s="72"/>
      <c r="AP147" s="72"/>
      <c r="AQ147" s="72"/>
      <c r="AR147" s="72"/>
      <c r="AS147" s="72"/>
      <c r="AT147" s="72"/>
      <c r="AU147" s="72"/>
      <c r="AV147" s="72"/>
      <c r="AW147" s="72"/>
      <c r="AX147" s="72"/>
      <c r="AY147" s="72"/>
      <c r="AZ147" s="72"/>
      <c r="BA147" s="72"/>
      <c r="BB147" s="72"/>
      <c r="BC147" s="72"/>
      <c r="BD147" s="72"/>
      <c r="BE147" s="72"/>
      <c r="BF147" s="72"/>
      <c r="BG147" s="72"/>
      <c r="BH147" s="72"/>
    </row>
    <row r="148" spans="1:60" x14ac:dyDescent="0.25">
      <c r="A148" s="72"/>
      <c r="B148" s="72"/>
      <c r="C148" s="72"/>
      <c r="D148" s="72"/>
      <c r="E148" s="72"/>
      <c r="F148" s="72"/>
      <c r="G148" s="72"/>
      <c r="H148" s="72"/>
      <c r="I148" s="72"/>
      <c r="J148" s="72"/>
      <c r="K148" s="72"/>
      <c r="L148" s="72"/>
      <c r="M148" s="72"/>
      <c r="N148" s="72"/>
      <c r="O148" s="72"/>
      <c r="P148" s="72"/>
      <c r="Q148" s="72"/>
      <c r="R148" s="72"/>
      <c r="S148" s="72"/>
      <c r="T148" s="72"/>
      <c r="U148" s="72"/>
      <c r="V148" s="72"/>
      <c r="W148" s="72"/>
      <c r="X148" s="72"/>
      <c r="Y148" s="72"/>
      <c r="Z148" s="72"/>
      <c r="AA148" s="72"/>
      <c r="AB148" s="72"/>
      <c r="AC148" s="72"/>
      <c r="AD148" s="72"/>
      <c r="AE148" s="72"/>
      <c r="AF148" s="72"/>
      <c r="AG148" s="72"/>
      <c r="AH148" s="72"/>
      <c r="AI148" s="72"/>
      <c r="AJ148" s="72"/>
      <c r="AK148" s="72"/>
      <c r="AL148" s="72"/>
      <c r="AM148" s="72"/>
      <c r="AN148" s="72"/>
      <c r="AO148" s="72"/>
      <c r="AP148" s="72"/>
      <c r="AQ148" s="72"/>
      <c r="AR148" s="72"/>
      <c r="AS148" s="72"/>
      <c r="AT148" s="72"/>
      <c r="AU148" s="72"/>
      <c r="AV148" s="72"/>
      <c r="AW148" s="72"/>
      <c r="AX148" s="72"/>
      <c r="AY148" s="72"/>
      <c r="AZ148" s="72"/>
      <c r="BA148" s="72"/>
      <c r="BB148" s="72"/>
      <c r="BC148" s="72"/>
      <c r="BD148" s="72"/>
      <c r="BE148" s="72"/>
      <c r="BF148" s="72"/>
      <c r="BG148" s="72"/>
      <c r="BH148" s="72"/>
    </row>
    <row r="149" spans="1:60" x14ac:dyDescent="0.25">
      <c r="A149" s="72"/>
      <c r="B149" s="72"/>
      <c r="C149" s="72"/>
      <c r="D149" s="72"/>
      <c r="E149" s="72"/>
      <c r="F149" s="72"/>
      <c r="G149" s="72"/>
      <c r="H149" s="72"/>
      <c r="I149" s="72"/>
      <c r="J149" s="72"/>
      <c r="K149" s="72"/>
      <c r="L149" s="72"/>
      <c r="M149" s="72"/>
      <c r="N149" s="72"/>
      <c r="O149" s="72"/>
      <c r="P149" s="72"/>
      <c r="Q149" s="72"/>
      <c r="R149" s="72"/>
      <c r="S149" s="72"/>
      <c r="T149" s="72"/>
      <c r="U149" s="72"/>
      <c r="V149" s="72"/>
      <c r="W149" s="72"/>
      <c r="X149" s="72"/>
      <c r="Y149" s="72"/>
      <c r="Z149" s="72"/>
      <c r="AA149" s="72"/>
      <c r="AB149" s="72"/>
      <c r="AC149" s="72"/>
      <c r="AD149" s="72"/>
      <c r="AE149" s="72"/>
      <c r="AF149" s="72"/>
      <c r="AG149" s="72"/>
      <c r="AH149" s="72"/>
      <c r="AI149" s="72"/>
      <c r="AJ149" s="72"/>
      <c r="AK149" s="72"/>
      <c r="AL149" s="72"/>
      <c r="AM149" s="72"/>
      <c r="AN149" s="72"/>
      <c r="AO149" s="72"/>
      <c r="AP149" s="72"/>
      <c r="AQ149" s="72"/>
      <c r="AR149" s="72"/>
      <c r="AS149" s="72"/>
      <c r="AT149" s="72"/>
      <c r="AU149" s="72"/>
      <c r="AV149" s="72"/>
      <c r="AW149" s="72"/>
      <c r="AX149" s="72"/>
      <c r="AY149" s="72"/>
      <c r="AZ149" s="72"/>
      <c r="BA149" s="72"/>
      <c r="BB149" s="72"/>
      <c r="BC149" s="72"/>
      <c r="BD149" s="72"/>
      <c r="BE149" s="72"/>
      <c r="BF149" s="72"/>
      <c r="BG149" s="72"/>
      <c r="BH149" s="72"/>
    </row>
    <row r="150" spans="1:60" x14ac:dyDescent="0.25">
      <c r="A150" s="72"/>
      <c r="B150" s="72"/>
      <c r="C150" s="72"/>
      <c r="D150" s="72"/>
      <c r="E150" s="72"/>
      <c r="F150" s="72"/>
      <c r="G150" s="72"/>
      <c r="H150" s="72"/>
      <c r="I150" s="72"/>
      <c r="J150" s="72"/>
      <c r="K150" s="72"/>
      <c r="L150" s="72"/>
      <c r="M150" s="72"/>
      <c r="N150" s="72"/>
      <c r="O150" s="72"/>
      <c r="P150" s="72"/>
      <c r="Q150" s="72"/>
      <c r="R150" s="72"/>
      <c r="S150" s="72"/>
      <c r="T150" s="72"/>
      <c r="U150" s="72"/>
      <c r="V150" s="72"/>
      <c r="W150" s="72"/>
      <c r="X150" s="72"/>
      <c r="Y150" s="72"/>
      <c r="Z150" s="72"/>
      <c r="AA150" s="72"/>
      <c r="AB150" s="72"/>
      <c r="AC150" s="72"/>
      <c r="AD150" s="72"/>
      <c r="AE150" s="72"/>
      <c r="AF150" s="72"/>
      <c r="AG150" s="72"/>
      <c r="AH150" s="72"/>
      <c r="AI150" s="72"/>
      <c r="AJ150" s="72"/>
      <c r="AK150" s="72"/>
      <c r="AL150" s="72"/>
      <c r="AM150" s="72"/>
      <c r="AN150" s="72"/>
      <c r="AO150" s="72"/>
      <c r="AP150" s="72"/>
      <c r="AQ150" s="72"/>
      <c r="AR150" s="72"/>
      <c r="AS150" s="72"/>
      <c r="AT150" s="72"/>
      <c r="AU150" s="72"/>
      <c r="AV150" s="72"/>
      <c r="AW150" s="72"/>
      <c r="AX150" s="72"/>
      <c r="AY150" s="72"/>
      <c r="AZ150" s="72"/>
      <c r="BA150" s="72"/>
      <c r="BB150" s="72"/>
      <c r="BC150" s="72"/>
      <c r="BD150" s="72"/>
      <c r="BE150" s="72"/>
      <c r="BF150" s="72"/>
      <c r="BG150" s="72"/>
      <c r="BH150" s="72"/>
    </row>
    <row r="151" spans="1:60" x14ac:dyDescent="0.25">
      <c r="A151" s="72"/>
      <c r="B151" s="72"/>
      <c r="C151" s="72"/>
      <c r="D151" s="72"/>
      <c r="E151" s="72"/>
      <c r="F151" s="72"/>
      <c r="G151" s="72"/>
      <c r="H151" s="72"/>
      <c r="I151" s="72"/>
      <c r="J151" s="72"/>
      <c r="K151" s="72"/>
      <c r="L151" s="72"/>
      <c r="M151" s="72"/>
      <c r="N151" s="72"/>
      <c r="O151" s="72"/>
      <c r="P151" s="72"/>
      <c r="Q151" s="72"/>
      <c r="R151" s="72"/>
      <c r="S151" s="72"/>
      <c r="T151" s="72"/>
      <c r="U151" s="72"/>
      <c r="V151" s="72"/>
      <c r="W151" s="72"/>
      <c r="X151" s="72"/>
      <c r="Y151" s="72"/>
      <c r="Z151" s="72"/>
      <c r="AA151" s="72"/>
      <c r="AB151" s="72"/>
      <c r="AC151" s="72"/>
      <c r="AD151" s="72"/>
      <c r="AE151" s="72"/>
      <c r="AF151" s="72"/>
      <c r="AG151" s="72"/>
      <c r="AH151" s="72"/>
      <c r="AI151" s="72"/>
      <c r="AJ151" s="72"/>
      <c r="AK151" s="72"/>
      <c r="AL151" s="72"/>
      <c r="AM151" s="72"/>
      <c r="AN151" s="72"/>
      <c r="AO151" s="72"/>
      <c r="AP151" s="72"/>
      <c r="AQ151" s="72"/>
      <c r="AR151" s="72"/>
      <c r="AS151" s="72"/>
      <c r="AT151" s="72"/>
      <c r="AU151" s="72"/>
      <c r="AV151" s="72"/>
      <c r="AW151" s="72"/>
      <c r="AX151" s="72"/>
      <c r="AY151" s="72"/>
      <c r="AZ151" s="72"/>
      <c r="BA151" s="72"/>
      <c r="BB151" s="72"/>
      <c r="BC151" s="72"/>
      <c r="BD151" s="72"/>
      <c r="BE151" s="72"/>
      <c r="BF151" s="72"/>
      <c r="BG151" s="72"/>
      <c r="BH151" s="72"/>
    </row>
    <row r="152" spans="1:60" x14ac:dyDescent="0.25">
      <c r="A152" s="72"/>
      <c r="B152" s="72"/>
      <c r="C152" s="72"/>
      <c r="D152" s="72"/>
      <c r="E152" s="72"/>
      <c r="F152" s="72"/>
      <c r="G152" s="72"/>
      <c r="H152" s="72"/>
      <c r="I152" s="72"/>
      <c r="J152" s="72"/>
      <c r="K152" s="72"/>
      <c r="L152" s="72"/>
      <c r="M152" s="72"/>
      <c r="N152" s="72"/>
      <c r="O152" s="72"/>
      <c r="P152" s="72"/>
      <c r="Q152" s="72"/>
      <c r="R152" s="72"/>
      <c r="S152" s="72"/>
      <c r="T152" s="72"/>
      <c r="U152" s="72"/>
      <c r="V152" s="72"/>
      <c r="W152" s="72"/>
      <c r="X152" s="72"/>
      <c r="Y152" s="72"/>
      <c r="Z152" s="72"/>
      <c r="AA152" s="72"/>
      <c r="AB152" s="72"/>
      <c r="AC152" s="72"/>
      <c r="AD152" s="72"/>
      <c r="AE152" s="72"/>
      <c r="AF152" s="72"/>
      <c r="AG152" s="72"/>
      <c r="AH152" s="72"/>
      <c r="AI152" s="72"/>
      <c r="AJ152" s="72"/>
      <c r="AK152" s="72"/>
      <c r="AL152" s="72"/>
      <c r="AM152" s="72"/>
      <c r="AN152" s="72"/>
      <c r="AO152" s="72"/>
      <c r="AP152" s="72"/>
      <c r="AQ152" s="72"/>
      <c r="AR152" s="72"/>
      <c r="AS152" s="72"/>
      <c r="AT152" s="72"/>
      <c r="AU152" s="72"/>
      <c r="AV152" s="72"/>
      <c r="AW152" s="72"/>
      <c r="AX152" s="72"/>
      <c r="AY152" s="72"/>
      <c r="AZ152" s="72"/>
      <c r="BA152" s="72"/>
      <c r="BB152" s="72"/>
      <c r="BC152" s="72"/>
      <c r="BD152" s="72"/>
      <c r="BE152" s="72"/>
      <c r="BF152" s="72"/>
      <c r="BG152" s="72"/>
      <c r="BH152" s="72"/>
    </row>
    <row r="153" spans="1:60" x14ac:dyDescent="0.25">
      <c r="A153" s="72"/>
      <c r="B153" s="72"/>
      <c r="C153" s="72"/>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72"/>
      <c r="AW153" s="72"/>
      <c r="AX153" s="72"/>
      <c r="AY153" s="72"/>
      <c r="AZ153" s="72"/>
      <c r="BA153" s="72"/>
      <c r="BB153" s="72"/>
      <c r="BC153" s="72"/>
      <c r="BD153" s="72"/>
      <c r="BE153" s="72"/>
      <c r="BF153" s="72"/>
      <c r="BG153" s="72"/>
      <c r="BH153" s="72"/>
    </row>
    <row r="154" spans="1:60" x14ac:dyDescent="0.25">
      <c r="A154" s="72"/>
      <c r="B154" s="72"/>
      <c r="C154" s="72"/>
      <c r="D154" s="72"/>
      <c r="E154" s="72"/>
      <c r="F154" s="72"/>
      <c r="G154" s="72"/>
      <c r="H154" s="72"/>
      <c r="I154" s="72"/>
      <c r="J154" s="72"/>
      <c r="K154" s="72"/>
      <c r="L154" s="72"/>
      <c r="M154" s="72"/>
      <c r="N154" s="72"/>
      <c r="O154" s="72"/>
      <c r="P154" s="72"/>
      <c r="Q154" s="72"/>
      <c r="R154" s="72"/>
      <c r="S154" s="72"/>
      <c r="T154" s="72"/>
      <c r="U154" s="72"/>
      <c r="V154" s="72"/>
      <c r="W154" s="72"/>
      <c r="X154" s="72"/>
      <c r="Y154" s="72"/>
      <c r="Z154" s="72"/>
      <c r="AA154" s="72"/>
      <c r="AB154" s="72"/>
      <c r="AC154" s="72"/>
      <c r="AD154" s="72"/>
      <c r="AE154" s="72"/>
      <c r="AF154" s="72"/>
      <c r="AG154" s="72"/>
      <c r="AH154" s="72"/>
      <c r="AI154" s="72"/>
      <c r="AJ154" s="72"/>
      <c r="AK154" s="72"/>
      <c r="AL154" s="72"/>
      <c r="AM154" s="72"/>
      <c r="AN154" s="72"/>
      <c r="AO154" s="72"/>
      <c r="AP154" s="72"/>
      <c r="AQ154" s="72"/>
      <c r="AR154" s="72"/>
      <c r="AS154" s="72"/>
      <c r="AT154" s="72"/>
      <c r="AU154" s="72"/>
      <c r="AV154" s="72"/>
      <c r="AW154" s="72"/>
      <c r="AX154" s="72"/>
      <c r="AY154" s="72"/>
      <c r="AZ154" s="72"/>
      <c r="BA154" s="72"/>
      <c r="BB154" s="72"/>
      <c r="BC154" s="72"/>
      <c r="BD154" s="72"/>
      <c r="BE154" s="72"/>
      <c r="BF154" s="72"/>
      <c r="BG154" s="72"/>
      <c r="BH154" s="72"/>
    </row>
    <row r="155" spans="1:60" x14ac:dyDescent="0.25">
      <c r="A155" s="72"/>
      <c r="B155" s="72"/>
      <c r="C155" s="72"/>
      <c r="D155" s="72"/>
      <c r="E155" s="72"/>
      <c r="F155" s="72"/>
      <c r="G155" s="72"/>
      <c r="H155" s="72"/>
      <c r="I155" s="72"/>
      <c r="J155" s="72"/>
      <c r="K155" s="72"/>
      <c r="L155" s="72"/>
      <c r="M155" s="72"/>
      <c r="N155" s="72"/>
      <c r="O155" s="72"/>
      <c r="P155" s="72"/>
      <c r="Q155" s="72"/>
      <c r="R155" s="72"/>
      <c r="S155" s="72"/>
      <c r="T155" s="72"/>
      <c r="U155" s="72"/>
      <c r="V155" s="72"/>
      <c r="W155" s="72"/>
      <c r="X155" s="72"/>
      <c r="Y155" s="72"/>
      <c r="Z155" s="72"/>
      <c r="AA155" s="72"/>
      <c r="AB155" s="72"/>
      <c r="AC155" s="72"/>
      <c r="AD155" s="72"/>
      <c r="AE155" s="72"/>
      <c r="AF155" s="72"/>
      <c r="AG155" s="72"/>
      <c r="AH155" s="72"/>
      <c r="AI155" s="72"/>
      <c r="AJ155" s="72"/>
      <c r="AK155" s="72"/>
      <c r="AL155" s="72"/>
      <c r="AM155" s="72"/>
      <c r="AN155" s="72"/>
      <c r="AO155" s="72"/>
      <c r="AP155" s="72"/>
      <c r="AQ155" s="72"/>
      <c r="AR155" s="72"/>
      <c r="AS155" s="72"/>
      <c r="AT155" s="72"/>
      <c r="AU155" s="72"/>
      <c r="AV155" s="72"/>
      <c r="AW155" s="72"/>
      <c r="AX155" s="72"/>
      <c r="AY155" s="72"/>
      <c r="AZ155" s="72"/>
      <c r="BA155" s="72"/>
      <c r="BB155" s="72"/>
      <c r="BC155" s="72"/>
      <c r="BD155" s="72"/>
      <c r="BE155" s="72"/>
      <c r="BF155" s="72"/>
      <c r="BG155" s="72"/>
      <c r="BH155" s="72"/>
    </row>
    <row r="156" spans="1:60" x14ac:dyDescent="0.25">
      <c r="A156" s="72"/>
      <c r="B156" s="72"/>
      <c r="C156" s="72"/>
      <c r="D156" s="72"/>
      <c r="E156" s="72"/>
      <c r="F156" s="72"/>
      <c r="G156" s="72"/>
      <c r="H156" s="72"/>
      <c r="I156" s="72"/>
      <c r="J156" s="72"/>
      <c r="K156" s="72"/>
      <c r="L156" s="72"/>
      <c r="M156" s="72"/>
      <c r="N156" s="72"/>
      <c r="O156" s="72"/>
      <c r="P156" s="72"/>
      <c r="Q156" s="72"/>
      <c r="R156" s="72"/>
      <c r="S156" s="72"/>
      <c r="T156" s="72"/>
      <c r="U156" s="72"/>
      <c r="V156" s="72"/>
      <c r="W156" s="72"/>
      <c r="X156" s="72"/>
      <c r="Y156" s="72"/>
      <c r="Z156" s="72"/>
      <c r="AA156" s="72"/>
      <c r="AB156" s="72"/>
      <c r="AC156" s="72"/>
      <c r="AD156" s="72"/>
      <c r="AE156" s="72"/>
      <c r="AF156" s="72"/>
      <c r="AG156" s="72"/>
      <c r="AH156" s="72"/>
      <c r="AI156" s="72"/>
      <c r="AJ156" s="72"/>
      <c r="AK156" s="72"/>
      <c r="AL156" s="72"/>
      <c r="AM156" s="72"/>
      <c r="AN156" s="72"/>
      <c r="AO156" s="72"/>
      <c r="AP156" s="72"/>
      <c r="AQ156" s="72"/>
      <c r="AR156" s="72"/>
      <c r="AS156" s="72"/>
      <c r="AT156" s="72"/>
      <c r="AU156" s="72"/>
      <c r="AV156" s="72"/>
      <c r="AW156" s="72"/>
      <c r="AX156" s="72"/>
      <c r="AY156" s="72"/>
      <c r="AZ156" s="72"/>
      <c r="BA156" s="72"/>
      <c r="BB156" s="72"/>
      <c r="BC156" s="72"/>
      <c r="BD156" s="72"/>
      <c r="BE156" s="72"/>
      <c r="BF156" s="72"/>
      <c r="BG156" s="72"/>
      <c r="BH156" s="72"/>
    </row>
    <row r="157" spans="1:60" x14ac:dyDescent="0.25">
      <c r="A157" s="72"/>
      <c r="B157" s="72"/>
      <c r="C157" s="72"/>
      <c r="D157" s="72"/>
      <c r="E157" s="72"/>
      <c r="F157" s="72"/>
      <c r="G157" s="72"/>
      <c r="H157" s="72"/>
      <c r="I157" s="72"/>
      <c r="J157" s="72"/>
      <c r="K157" s="72"/>
      <c r="L157" s="72"/>
      <c r="M157" s="72"/>
      <c r="N157" s="72"/>
      <c r="O157" s="72"/>
      <c r="P157" s="72"/>
      <c r="Q157" s="72"/>
      <c r="R157" s="72"/>
      <c r="S157" s="72"/>
      <c r="T157" s="72"/>
      <c r="U157" s="72"/>
      <c r="V157" s="72"/>
      <c r="W157" s="72"/>
      <c r="X157" s="72"/>
      <c r="Y157" s="72"/>
      <c r="Z157" s="72"/>
      <c r="AA157" s="72"/>
      <c r="AB157" s="72"/>
      <c r="AC157" s="72"/>
      <c r="AD157" s="72"/>
      <c r="AE157" s="72"/>
      <c r="AF157" s="72"/>
      <c r="AG157" s="72"/>
      <c r="AH157" s="72"/>
      <c r="AI157" s="72"/>
      <c r="AJ157" s="72"/>
      <c r="AK157" s="72"/>
      <c r="AL157" s="72"/>
      <c r="AM157" s="72"/>
      <c r="AN157" s="72"/>
      <c r="AO157" s="72"/>
      <c r="AP157" s="72"/>
      <c r="AQ157" s="72"/>
      <c r="AR157" s="72"/>
      <c r="AS157" s="72"/>
      <c r="AT157" s="72"/>
      <c r="AU157" s="72"/>
      <c r="AV157" s="72"/>
      <c r="AW157" s="72"/>
      <c r="AX157" s="72"/>
      <c r="AY157" s="72"/>
      <c r="AZ157" s="72"/>
      <c r="BA157" s="72"/>
      <c r="BB157" s="72"/>
      <c r="BC157" s="72"/>
      <c r="BD157" s="72"/>
      <c r="BE157" s="72"/>
      <c r="BF157" s="72"/>
      <c r="BG157" s="72"/>
      <c r="BH157" s="72"/>
    </row>
    <row r="158" spans="1:60" x14ac:dyDescent="0.25">
      <c r="A158" s="72"/>
      <c r="B158" s="72"/>
      <c r="C158" s="72"/>
      <c r="D158" s="72"/>
      <c r="E158" s="72"/>
      <c r="F158" s="72"/>
      <c r="G158" s="72"/>
      <c r="H158" s="72"/>
      <c r="I158" s="72"/>
      <c r="J158" s="72"/>
      <c r="K158" s="72"/>
      <c r="L158" s="72"/>
      <c r="M158" s="72"/>
      <c r="N158" s="72"/>
      <c r="O158" s="72"/>
      <c r="P158" s="72"/>
      <c r="Q158" s="72"/>
      <c r="R158" s="72"/>
      <c r="S158" s="72"/>
      <c r="T158" s="72"/>
      <c r="U158" s="72"/>
      <c r="V158" s="72"/>
      <c r="W158" s="72"/>
      <c r="X158" s="72"/>
      <c r="Y158" s="72"/>
      <c r="Z158" s="72"/>
      <c r="AA158" s="72"/>
      <c r="AB158" s="72"/>
      <c r="AC158" s="72"/>
      <c r="AD158" s="72"/>
      <c r="AE158" s="72"/>
      <c r="AF158" s="72"/>
      <c r="AG158" s="72"/>
      <c r="AH158" s="72"/>
      <c r="AI158" s="72"/>
      <c r="AJ158" s="72"/>
      <c r="AK158" s="72"/>
      <c r="AL158" s="72"/>
      <c r="AM158" s="72"/>
      <c r="AN158" s="72"/>
      <c r="AO158" s="72"/>
      <c r="AP158" s="72"/>
      <c r="AQ158" s="72"/>
      <c r="AR158" s="72"/>
      <c r="AS158" s="72"/>
      <c r="AT158" s="72"/>
      <c r="AU158" s="72"/>
      <c r="AV158" s="72"/>
      <c r="AW158" s="72"/>
      <c r="AX158" s="72"/>
      <c r="AY158" s="72"/>
      <c r="AZ158" s="72"/>
      <c r="BA158" s="72"/>
      <c r="BB158" s="72"/>
      <c r="BC158" s="72"/>
      <c r="BD158" s="72"/>
      <c r="BE158" s="72"/>
      <c r="BF158" s="72"/>
      <c r="BG158" s="72"/>
      <c r="BH158" s="72"/>
    </row>
    <row r="159" spans="1:60" x14ac:dyDescent="0.25">
      <c r="A159" s="72"/>
      <c r="B159" s="72"/>
      <c r="C159" s="72"/>
      <c r="D159" s="72"/>
      <c r="E159" s="72"/>
      <c r="F159" s="72"/>
      <c r="G159" s="72"/>
      <c r="H159" s="72"/>
      <c r="I159" s="72"/>
      <c r="J159" s="72"/>
      <c r="K159" s="72"/>
      <c r="L159" s="72"/>
      <c r="M159" s="72"/>
      <c r="N159" s="72"/>
      <c r="O159" s="72"/>
      <c r="P159" s="72"/>
      <c r="Q159" s="72"/>
      <c r="R159" s="72"/>
      <c r="S159" s="72"/>
      <c r="T159" s="72"/>
      <c r="U159" s="72"/>
      <c r="V159" s="72"/>
      <c r="W159" s="72"/>
      <c r="X159" s="72"/>
      <c r="Y159" s="72"/>
      <c r="Z159" s="72"/>
      <c r="AA159" s="72"/>
      <c r="AB159" s="72"/>
      <c r="AC159" s="72"/>
      <c r="AD159" s="72"/>
      <c r="AE159" s="72"/>
      <c r="AF159" s="72"/>
      <c r="AG159" s="72"/>
      <c r="AH159" s="72"/>
      <c r="AI159" s="72"/>
      <c r="AJ159" s="72"/>
      <c r="AK159" s="72"/>
      <c r="AL159" s="72"/>
      <c r="AM159" s="72"/>
      <c r="AN159" s="72"/>
      <c r="AO159" s="72"/>
      <c r="AP159" s="72"/>
      <c r="AQ159" s="72"/>
      <c r="AR159" s="72"/>
      <c r="AS159" s="72"/>
      <c r="AT159" s="72"/>
      <c r="AU159" s="72"/>
      <c r="AV159" s="72"/>
      <c r="AW159" s="72"/>
      <c r="AX159" s="72"/>
      <c r="AY159" s="72"/>
      <c r="AZ159" s="72"/>
      <c r="BA159" s="72"/>
      <c r="BB159" s="72"/>
      <c r="BC159" s="72"/>
      <c r="BD159" s="72"/>
      <c r="BE159" s="72"/>
      <c r="BF159" s="72"/>
      <c r="BG159" s="72"/>
      <c r="BH159" s="72"/>
    </row>
    <row r="160" spans="1:60" x14ac:dyDescent="0.25">
      <c r="A160" s="72"/>
      <c r="B160" s="72"/>
      <c r="C160" s="72"/>
      <c r="D160" s="72"/>
      <c r="E160" s="72"/>
      <c r="F160" s="72"/>
      <c r="G160" s="72"/>
      <c r="H160" s="72"/>
      <c r="I160" s="72"/>
      <c r="J160" s="72"/>
      <c r="K160" s="72"/>
      <c r="L160" s="72"/>
      <c r="M160" s="72"/>
      <c r="N160" s="72"/>
      <c r="O160" s="72"/>
      <c r="P160" s="72"/>
      <c r="Q160" s="72"/>
      <c r="R160" s="72"/>
      <c r="S160" s="72"/>
      <c r="T160" s="72"/>
      <c r="U160" s="72"/>
      <c r="V160" s="72"/>
      <c r="W160" s="72"/>
      <c r="X160" s="72"/>
      <c r="Y160" s="72"/>
      <c r="Z160" s="72"/>
      <c r="AA160" s="72"/>
      <c r="AB160" s="72"/>
      <c r="AC160" s="72"/>
      <c r="AD160" s="72"/>
      <c r="AE160" s="72"/>
      <c r="AF160" s="72"/>
      <c r="AG160" s="72"/>
      <c r="AH160" s="72"/>
      <c r="AI160" s="72"/>
      <c r="AJ160" s="72"/>
      <c r="AK160" s="72"/>
      <c r="AL160" s="72"/>
      <c r="AM160" s="72"/>
      <c r="AN160" s="72"/>
      <c r="AO160" s="72"/>
      <c r="AP160" s="72"/>
      <c r="AQ160" s="72"/>
      <c r="AR160" s="72"/>
      <c r="AS160" s="72"/>
      <c r="AT160" s="72"/>
      <c r="AU160" s="72"/>
      <c r="AV160" s="72"/>
      <c r="AW160" s="72"/>
      <c r="AX160" s="72"/>
      <c r="AY160" s="72"/>
      <c r="AZ160" s="72"/>
      <c r="BA160" s="72"/>
      <c r="BB160" s="72"/>
      <c r="BC160" s="72"/>
      <c r="BD160" s="72"/>
      <c r="BE160" s="72"/>
      <c r="BF160" s="72"/>
      <c r="BG160" s="72"/>
      <c r="BH160" s="72"/>
    </row>
    <row r="161" spans="1:60" x14ac:dyDescent="0.25">
      <c r="A161" s="72"/>
      <c r="B161" s="72"/>
      <c r="C161" s="72"/>
      <c r="D161" s="72"/>
      <c r="E161" s="72"/>
      <c r="F161" s="72"/>
      <c r="G161" s="72"/>
      <c r="H161" s="72"/>
      <c r="I161" s="72"/>
      <c r="J161" s="72"/>
      <c r="K161" s="72"/>
      <c r="L161" s="72"/>
      <c r="M161" s="72"/>
      <c r="N161" s="72"/>
      <c r="O161" s="72"/>
      <c r="P161" s="72"/>
      <c r="Q161" s="72"/>
      <c r="R161" s="72"/>
      <c r="S161" s="72"/>
      <c r="T161" s="72"/>
      <c r="U161" s="72"/>
      <c r="V161" s="72"/>
      <c r="W161" s="72"/>
      <c r="X161" s="72"/>
      <c r="Y161" s="72"/>
      <c r="Z161" s="72"/>
      <c r="AA161" s="72"/>
      <c r="AB161" s="72"/>
      <c r="AC161" s="72"/>
      <c r="AD161" s="72"/>
      <c r="AE161" s="72"/>
      <c r="AF161" s="72"/>
      <c r="AG161" s="72"/>
      <c r="AH161" s="72"/>
      <c r="AI161" s="72"/>
      <c r="AJ161" s="72"/>
      <c r="AK161" s="72"/>
      <c r="AL161" s="72"/>
      <c r="AM161" s="72"/>
      <c r="AN161" s="72"/>
      <c r="AO161" s="72"/>
      <c r="AP161" s="72"/>
      <c r="AQ161" s="72"/>
      <c r="AR161" s="72"/>
      <c r="AS161" s="72"/>
      <c r="AT161" s="72"/>
      <c r="AU161" s="72"/>
      <c r="AV161" s="72"/>
      <c r="AW161" s="72"/>
      <c r="AX161" s="72"/>
      <c r="AY161" s="72"/>
      <c r="AZ161" s="72"/>
      <c r="BA161" s="72"/>
      <c r="BB161" s="72"/>
      <c r="BC161" s="72"/>
      <c r="BD161" s="72"/>
      <c r="BE161" s="72"/>
      <c r="BF161" s="72"/>
      <c r="BG161" s="72"/>
      <c r="BH161" s="72"/>
    </row>
    <row r="162" spans="1:60" x14ac:dyDescent="0.25">
      <c r="A162" s="72"/>
      <c r="B162" s="72"/>
      <c r="C162" s="72"/>
      <c r="D162" s="72"/>
      <c r="E162" s="72"/>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2"/>
      <c r="BE162" s="72"/>
      <c r="BF162" s="72"/>
      <c r="BG162" s="72"/>
      <c r="BH162" s="72"/>
    </row>
    <row r="163" spans="1:60" x14ac:dyDescent="0.25">
      <c r="A163" s="72"/>
      <c r="B163" s="72"/>
      <c r="C163" s="72"/>
      <c r="D163" s="72"/>
      <c r="E163" s="72"/>
      <c r="F163" s="72"/>
      <c r="G163" s="72"/>
      <c r="H163" s="72"/>
      <c r="I163" s="72"/>
      <c r="J163" s="72"/>
      <c r="K163" s="72"/>
      <c r="L163" s="72"/>
      <c r="M163" s="72"/>
      <c r="N163" s="72"/>
      <c r="O163" s="72"/>
      <c r="P163" s="72"/>
      <c r="Q163" s="72"/>
      <c r="R163" s="72"/>
      <c r="S163" s="72"/>
      <c r="T163" s="72"/>
      <c r="U163" s="72"/>
      <c r="V163" s="72"/>
      <c r="W163" s="72"/>
      <c r="X163" s="72"/>
      <c r="Y163" s="72"/>
      <c r="Z163" s="72"/>
      <c r="AA163" s="72"/>
      <c r="AB163" s="72"/>
      <c r="AC163" s="72"/>
      <c r="AD163" s="72"/>
      <c r="AE163" s="72"/>
      <c r="AF163" s="72"/>
      <c r="AG163" s="72"/>
      <c r="AH163" s="72"/>
      <c r="AI163" s="72"/>
      <c r="AJ163" s="72"/>
      <c r="AK163" s="72"/>
      <c r="AL163" s="72"/>
      <c r="AM163" s="72"/>
      <c r="AN163" s="72"/>
      <c r="AO163" s="72"/>
      <c r="AP163" s="72"/>
      <c r="AQ163" s="72"/>
      <c r="AR163" s="72"/>
      <c r="AS163" s="72"/>
      <c r="AT163" s="72"/>
      <c r="AU163" s="72"/>
      <c r="AV163" s="72"/>
      <c r="AW163" s="72"/>
      <c r="AX163" s="72"/>
      <c r="AY163" s="72"/>
      <c r="AZ163" s="72"/>
      <c r="BA163" s="72"/>
      <c r="BB163" s="72"/>
      <c r="BC163" s="72"/>
      <c r="BD163" s="72"/>
      <c r="BE163" s="72"/>
      <c r="BF163" s="72"/>
      <c r="BG163" s="72"/>
      <c r="BH163" s="72"/>
    </row>
    <row r="164" spans="1:60" x14ac:dyDescent="0.25">
      <c r="A164" s="72"/>
      <c r="B164" s="72"/>
      <c r="C164" s="72"/>
      <c r="D164" s="72"/>
      <c r="E164" s="72"/>
      <c r="F164" s="72"/>
      <c r="G164" s="72"/>
      <c r="H164" s="72"/>
      <c r="I164" s="72"/>
      <c r="J164" s="72"/>
      <c r="K164" s="72"/>
      <c r="L164" s="72"/>
      <c r="M164" s="72"/>
      <c r="N164" s="72"/>
      <c r="O164" s="72"/>
      <c r="P164" s="72"/>
      <c r="Q164" s="72"/>
      <c r="R164" s="72"/>
      <c r="S164" s="72"/>
      <c r="T164" s="72"/>
      <c r="U164" s="72"/>
      <c r="V164" s="72"/>
      <c r="W164" s="72"/>
      <c r="X164" s="72"/>
      <c r="Y164" s="72"/>
      <c r="Z164" s="72"/>
      <c r="AA164" s="72"/>
      <c r="AB164" s="72"/>
      <c r="AC164" s="72"/>
      <c r="AD164" s="72"/>
      <c r="AE164" s="72"/>
      <c r="AF164" s="72"/>
      <c r="AG164" s="72"/>
      <c r="AH164" s="72"/>
      <c r="AI164" s="72"/>
      <c r="AJ164" s="72"/>
      <c r="AK164" s="72"/>
      <c r="AL164" s="72"/>
      <c r="AM164" s="72"/>
      <c r="AN164" s="72"/>
      <c r="AO164" s="72"/>
      <c r="AP164" s="72"/>
      <c r="AQ164" s="72"/>
      <c r="AR164" s="72"/>
      <c r="AS164" s="72"/>
      <c r="AT164" s="72"/>
      <c r="AU164" s="72"/>
      <c r="AV164" s="72"/>
      <c r="AW164" s="72"/>
      <c r="AX164" s="72"/>
      <c r="AY164" s="72"/>
      <c r="AZ164" s="72"/>
      <c r="BA164" s="72"/>
      <c r="BB164" s="72"/>
      <c r="BC164" s="72"/>
      <c r="BD164" s="72"/>
      <c r="BE164" s="72"/>
      <c r="BF164" s="72"/>
      <c r="BG164" s="72"/>
      <c r="BH164" s="72"/>
    </row>
    <row r="165" spans="1:60" x14ac:dyDescent="0.25">
      <c r="A165" s="72"/>
      <c r="B165" s="72"/>
      <c r="C165" s="72"/>
      <c r="D165" s="72"/>
      <c r="E165" s="72"/>
      <c r="F165" s="72"/>
      <c r="G165" s="72"/>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72"/>
      <c r="AH165" s="72"/>
      <c r="AI165" s="72"/>
      <c r="AJ165" s="72"/>
      <c r="AK165" s="72"/>
      <c r="AL165" s="72"/>
      <c r="AM165" s="72"/>
      <c r="AN165" s="72"/>
      <c r="AO165" s="72"/>
      <c r="AP165" s="72"/>
      <c r="AQ165" s="72"/>
      <c r="AR165" s="72"/>
      <c r="AS165" s="72"/>
      <c r="AT165" s="72"/>
      <c r="AU165" s="72"/>
      <c r="AV165" s="72"/>
      <c r="AW165" s="72"/>
      <c r="AX165" s="72"/>
      <c r="AY165" s="72"/>
      <c r="AZ165" s="72"/>
      <c r="BA165" s="72"/>
      <c r="BB165" s="72"/>
      <c r="BC165" s="72"/>
      <c r="BD165" s="72"/>
      <c r="BE165" s="72"/>
      <c r="BF165" s="72"/>
      <c r="BG165" s="72"/>
      <c r="BH165" s="72"/>
    </row>
    <row r="166" spans="1:60" x14ac:dyDescent="0.25">
      <c r="A166" s="72"/>
      <c r="B166" s="72"/>
      <c r="C166" s="72"/>
      <c r="D166" s="72"/>
      <c r="E166" s="72"/>
      <c r="F166" s="72"/>
      <c r="G166" s="72"/>
      <c r="H166" s="72"/>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2"/>
      <c r="BD166" s="72"/>
      <c r="BE166" s="72"/>
      <c r="BF166" s="72"/>
      <c r="BG166" s="72"/>
      <c r="BH166" s="72"/>
    </row>
    <row r="167" spans="1:60" x14ac:dyDescent="0.25">
      <c r="A167" s="72"/>
      <c r="B167" s="72"/>
      <c r="C167" s="72"/>
      <c r="D167" s="72"/>
      <c r="E167" s="72"/>
      <c r="F167" s="72"/>
      <c r="G167" s="72"/>
      <c r="H167" s="72"/>
      <c r="I167" s="72"/>
      <c r="J167" s="72"/>
      <c r="K167" s="72"/>
      <c r="L167" s="72"/>
      <c r="M167" s="72"/>
      <c r="N167" s="72"/>
      <c r="O167" s="72"/>
      <c r="P167" s="72"/>
      <c r="Q167" s="72"/>
      <c r="R167" s="72"/>
      <c r="S167" s="72"/>
      <c r="T167" s="72"/>
      <c r="U167" s="72"/>
      <c r="V167" s="72"/>
      <c r="W167" s="72"/>
      <c r="X167" s="72"/>
      <c r="Y167" s="72"/>
      <c r="Z167" s="72"/>
      <c r="AA167" s="72"/>
      <c r="AB167" s="72"/>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c r="AZ167" s="72"/>
      <c r="BA167" s="72"/>
      <c r="BB167" s="72"/>
      <c r="BC167" s="72"/>
      <c r="BD167" s="72"/>
      <c r="BE167" s="72"/>
      <c r="BF167" s="72"/>
      <c r="BG167" s="72"/>
      <c r="BH167" s="72"/>
    </row>
    <row r="168" spans="1:60" x14ac:dyDescent="0.25">
      <c r="A168" s="72"/>
      <c r="B168" s="72"/>
      <c r="C168" s="72"/>
      <c r="D168" s="72"/>
      <c r="E168" s="72"/>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c r="BH168" s="72"/>
    </row>
    <row r="169" spans="1:60" x14ac:dyDescent="0.25">
      <c r="A169" s="72"/>
      <c r="B169" s="72"/>
      <c r="C169" s="72"/>
      <c r="D169" s="72"/>
      <c r="E169" s="72"/>
      <c r="F169" s="72"/>
      <c r="G169" s="72"/>
      <c r="H169" s="72"/>
      <c r="I169" s="72"/>
      <c r="J169" s="72"/>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2"/>
      <c r="AY169" s="72"/>
      <c r="AZ169" s="72"/>
      <c r="BA169" s="72"/>
      <c r="BB169" s="72"/>
      <c r="BC169" s="72"/>
      <c r="BD169" s="72"/>
      <c r="BE169" s="72"/>
      <c r="BF169" s="72"/>
      <c r="BG169" s="72"/>
      <c r="BH169" s="72"/>
    </row>
    <row r="170" spans="1:60" x14ac:dyDescent="0.25">
      <c r="A170" s="72"/>
      <c r="B170" s="72"/>
      <c r="C170" s="72"/>
      <c r="D170" s="72"/>
      <c r="E170" s="72"/>
      <c r="F170" s="72"/>
      <c r="G170" s="72"/>
      <c r="H170" s="72"/>
      <c r="I170" s="72"/>
      <c r="J170" s="72"/>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2"/>
      <c r="BE170" s="72"/>
      <c r="BF170" s="72"/>
      <c r="BG170" s="72"/>
      <c r="BH170" s="72"/>
    </row>
    <row r="171" spans="1:60" x14ac:dyDescent="0.25">
      <c r="A171" s="72"/>
      <c r="B171" s="72"/>
      <c r="C171" s="72"/>
      <c r="D171" s="72"/>
      <c r="E171" s="72"/>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c r="BH171" s="72"/>
    </row>
    <row r="172" spans="1:60" x14ac:dyDescent="0.25">
      <c r="A172" s="72"/>
      <c r="B172" s="72"/>
      <c r="C172" s="72"/>
      <c r="D172" s="72"/>
      <c r="E172" s="72"/>
      <c r="F172" s="72"/>
      <c r="G172" s="72"/>
      <c r="H172" s="72"/>
      <c r="I172" s="72"/>
      <c r="J172" s="72"/>
      <c r="K172" s="72"/>
      <c r="L172" s="72"/>
      <c r="M172" s="72"/>
      <c r="N172" s="72"/>
      <c r="O172" s="72"/>
      <c r="P172" s="72"/>
      <c r="Q172" s="72"/>
      <c r="R172" s="72"/>
      <c r="S172" s="72"/>
      <c r="T172" s="72"/>
      <c r="U172" s="72"/>
      <c r="V172" s="72"/>
      <c r="W172" s="72"/>
      <c r="X172" s="72"/>
      <c r="Y172" s="72"/>
      <c r="Z172" s="72"/>
      <c r="AA172" s="72"/>
      <c r="AB172" s="72"/>
      <c r="AC172" s="72"/>
      <c r="AD172" s="72"/>
      <c r="AE172" s="72"/>
      <c r="AF172" s="72"/>
      <c r="AG172" s="72"/>
      <c r="AH172" s="72"/>
      <c r="AI172" s="72"/>
      <c r="AJ172" s="72"/>
      <c r="AK172" s="72"/>
      <c r="AL172" s="72"/>
      <c r="AM172" s="72"/>
      <c r="AN172" s="72"/>
      <c r="AO172" s="72"/>
      <c r="AP172" s="72"/>
      <c r="AQ172" s="72"/>
      <c r="AR172" s="72"/>
      <c r="AS172" s="72"/>
      <c r="AT172" s="72"/>
      <c r="AU172" s="72"/>
      <c r="AV172" s="72"/>
      <c r="AW172" s="72"/>
      <c r="AX172" s="72"/>
      <c r="AY172" s="72"/>
      <c r="AZ172" s="72"/>
      <c r="BA172" s="72"/>
      <c r="BB172" s="72"/>
      <c r="BC172" s="72"/>
      <c r="BD172" s="72"/>
      <c r="BE172" s="72"/>
      <c r="BF172" s="72"/>
      <c r="BG172" s="72"/>
      <c r="BH172" s="72"/>
    </row>
    <row r="173" spans="1:60" x14ac:dyDescent="0.25">
      <c r="A173" s="72"/>
      <c r="B173" s="72"/>
      <c r="C173" s="72"/>
      <c r="D173" s="72"/>
      <c r="E173" s="72"/>
      <c r="F173" s="72"/>
      <c r="G173" s="72"/>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72"/>
      <c r="AH173" s="72"/>
      <c r="AI173" s="72"/>
      <c r="AJ173" s="72"/>
      <c r="AK173" s="72"/>
      <c r="AL173" s="72"/>
      <c r="AM173" s="72"/>
      <c r="AN173" s="72"/>
      <c r="AO173" s="72"/>
      <c r="AP173" s="72"/>
      <c r="AQ173" s="72"/>
      <c r="AR173" s="72"/>
      <c r="AS173" s="72"/>
      <c r="AT173" s="72"/>
      <c r="AU173" s="72"/>
      <c r="AV173" s="72"/>
      <c r="AW173" s="72"/>
      <c r="AX173" s="72"/>
      <c r="AY173" s="72"/>
      <c r="AZ173" s="72"/>
      <c r="BA173" s="72"/>
      <c r="BB173" s="72"/>
      <c r="BC173" s="72"/>
      <c r="BD173" s="72"/>
      <c r="BE173" s="72"/>
      <c r="BF173" s="72"/>
      <c r="BG173" s="72"/>
      <c r="BH173" s="72"/>
    </row>
    <row r="174" spans="1:60" x14ac:dyDescent="0.25">
      <c r="A174" s="72"/>
      <c r="B174" s="72"/>
      <c r="C174" s="72"/>
      <c r="D174" s="72"/>
      <c r="E174" s="72"/>
      <c r="F174" s="72"/>
      <c r="G174" s="72"/>
      <c r="H174" s="72"/>
      <c r="I174" s="72"/>
      <c r="J174" s="72"/>
      <c r="K174" s="72"/>
      <c r="L174" s="72"/>
      <c r="M174" s="72"/>
      <c r="N174" s="72"/>
      <c r="O174" s="72"/>
      <c r="P174" s="72"/>
      <c r="Q174" s="72"/>
      <c r="R174" s="72"/>
      <c r="S174" s="72"/>
      <c r="T174" s="72"/>
      <c r="U174" s="72"/>
      <c r="V174" s="72"/>
      <c r="W174" s="72"/>
      <c r="X174" s="72"/>
      <c r="Y174" s="72"/>
      <c r="Z174" s="72"/>
      <c r="AA174" s="72"/>
      <c r="AB174" s="72"/>
      <c r="AC174" s="72"/>
      <c r="AD174" s="72"/>
      <c r="AE174" s="72"/>
      <c r="AF174" s="72"/>
      <c r="AG174" s="72"/>
      <c r="AH174" s="72"/>
      <c r="AI174" s="72"/>
      <c r="AJ174" s="72"/>
      <c r="AK174" s="72"/>
      <c r="AL174" s="72"/>
      <c r="AM174" s="72"/>
      <c r="AN174" s="72"/>
      <c r="AO174" s="72"/>
      <c r="AP174" s="72"/>
      <c r="AQ174" s="72"/>
      <c r="AR174" s="72"/>
      <c r="AS174" s="72"/>
      <c r="AT174" s="72"/>
      <c r="AU174" s="72"/>
      <c r="AV174" s="72"/>
      <c r="AW174" s="72"/>
      <c r="AX174" s="72"/>
      <c r="AY174" s="72"/>
      <c r="AZ174" s="72"/>
      <c r="BA174" s="72"/>
      <c r="BB174" s="72"/>
      <c r="BC174" s="72"/>
      <c r="BD174" s="72"/>
      <c r="BE174" s="72"/>
      <c r="BF174" s="72"/>
      <c r="BG174" s="72"/>
      <c r="BH174" s="72"/>
    </row>
    <row r="175" spans="1:60" x14ac:dyDescent="0.25">
      <c r="A175" s="72"/>
      <c r="B175" s="72"/>
      <c r="C175" s="72"/>
      <c r="D175" s="72"/>
      <c r="E175" s="72"/>
      <c r="F175" s="72"/>
      <c r="G175" s="72"/>
      <c r="H175" s="72"/>
      <c r="I175" s="72"/>
      <c r="J175" s="72"/>
      <c r="K175" s="72"/>
      <c r="L175" s="72"/>
      <c r="M175" s="72"/>
      <c r="N175" s="72"/>
      <c r="O175" s="72"/>
      <c r="P175" s="72"/>
      <c r="Q175" s="72"/>
      <c r="R175" s="72"/>
      <c r="S175" s="72"/>
      <c r="T175" s="72"/>
      <c r="U175" s="72"/>
      <c r="V175" s="72"/>
      <c r="W175" s="72"/>
      <c r="X175" s="72"/>
      <c r="Y175" s="72"/>
      <c r="Z175" s="72"/>
      <c r="AA175" s="72"/>
      <c r="AB175" s="72"/>
      <c r="AC175" s="72"/>
      <c r="AD175" s="72"/>
      <c r="AE175" s="72"/>
      <c r="AF175" s="72"/>
      <c r="AG175" s="72"/>
      <c r="AH175" s="72"/>
      <c r="AI175" s="72"/>
      <c r="AJ175" s="72"/>
      <c r="AK175" s="72"/>
      <c r="AL175" s="72"/>
      <c r="AM175" s="72"/>
      <c r="AN175" s="72"/>
      <c r="AO175" s="72"/>
      <c r="AP175" s="72"/>
      <c r="AQ175" s="72"/>
      <c r="AR175" s="72"/>
      <c r="AS175" s="72"/>
      <c r="AT175" s="72"/>
      <c r="AU175" s="72"/>
      <c r="AV175" s="72"/>
      <c r="AW175" s="72"/>
      <c r="AX175" s="72"/>
      <c r="AY175" s="72"/>
      <c r="AZ175" s="72"/>
      <c r="BA175" s="72"/>
      <c r="BB175" s="72"/>
      <c r="BC175" s="72"/>
      <c r="BD175" s="72"/>
      <c r="BE175" s="72"/>
      <c r="BF175" s="72"/>
      <c r="BG175" s="72"/>
      <c r="BH175" s="72"/>
    </row>
    <row r="176" spans="1:60" x14ac:dyDescent="0.25">
      <c r="A176" s="72"/>
      <c r="B176" s="72"/>
      <c r="C176" s="72"/>
      <c r="D176" s="72"/>
      <c r="E176" s="72"/>
      <c r="F176" s="72"/>
      <c r="G176" s="72"/>
      <c r="H176" s="72"/>
      <c r="I176" s="72"/>
      <c r="J176" s="72"/>
      <c r="K176" s="72"/>
      <c r="L176" s="72"/>
      <c r="M176" s="72"/>
      <c r="N176" s="72"/>
      <c r="O176" s="72"/>
      <c r="P176" s="72"/>
      <c r="Q176" s="72"/>
      <c r="R176" s="72"/>
      <c r="S176" s="72"/>
      <c r="T176" s="72"/>
      <c r="U176" s="72"/>
      <c r="V176" s="72"/>
      <c r="W176" s="72"/>
      <c r="X176" s="72"/>
      <c r="Y176" s="72"/>
      <c r="Z176" s="72"/>
      <c r="AA176" s="72"/>
      <c r="AB176" s="72"/>
      <c r="AC176" s="72"/>
      <c r="AD176" s="72"/>
      <c r="AE176" s="72"/>
      <c r="AF176" s="72"/>
      <c r="AG176" s="72"/>
      <c r="AH176" s="72"/>
      <c r="AI176" s="72"/>
      <c r="AJ176" s="72"/>
      <c r="AK176" s="72"/>
      <c r="AL176" s="72"/>
      <c r="AM176" s="72"/>
      <c r="AN176" s="72"/>
      <c r="AO176" s="72"/>
      <c r="AP176" s="72"/>
      <c r="AQ176" s="72"/>
      <c r="AR176" s="72"/>
      <c r="AS176" s="72"/>
      <c r="AT176" s="72"/>
      <c r="AU176" s="72"/>
      <c r="AV176" s="72"/>
      <c r="AW176" s="72"/>
      <c r="AX176" s="72"/>
      <c r="AY176" s="72"/>
      <c r="AZ176" s="72"/>
      <c r="BA176" s="72"/>
      <c r="BB176" s="72"/>
      <c r="BC176" s="72"/>
      <c r="BD176" s="72"/>
      <c r="BE176" s="72"/>
      <c r="BF176" s="72"/>
      <c r="BG176" s="72"/>
      <c r="BH176" s="72"/>
    </row>
    <row r="177" spans="1:60" x14ac:dyDescent="0.25">
      <c r="A177" s="72"/>
      <c r="B177" s="72"/>
      <c r="C177" s="72"/>
      <c r="D177" s="72"/>
      <c r="E177" s="72"/>
      <c r="F177" s="72"/>
      <c r="G177" s="72"/>
      <c r="H177" s="72"/>
      <c r="I177" s="72"/>
      <c r="J177" s="72"/>
      <c r="K177" s="72"/>
      <c r="L177" s="72"/>
      <c r="M177" s="72"/>
      <c r="N177" s="72"/>
      <c r="O177" s="72"/>
      <c r="P177" s="72"/>
      <c r="Q177" s="72"/>
      <c r="R177" s="72"/>
      <c r="S177" s="72"/>
      <c r="T177" s="72"/>
      <c r="U177" s="72"/>
      <c r="V177" s="72"/>
      <c r="W177" s="72"/>
      <c r="X177" s="72"/>
      <c r="Y177" s="72"/>
      <c r="Z177" s="72"/>
      <c r="AA177" s="72"/>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2"/>
      <c r="BA177" s="72"/>
      <c r="BB177" s="72"/>
      <c r="BC177" s="72"/>
      <c r="BD177" s="72"/>
      <c r="BE177" s="72"/>
      <c r="BF177" s="72"/>
      <c r="BG177" s="72"/>
      <c r="BH177" s="72"/>
    </row>
    <row r="178" spans="1:60" x14ac:dyDescent="0.25">
      <c r="A178" s="72"/>
      <c r="B178" s="72"/>
      <c r="C178" s="72"/>
      <c r="D178" s="72"/>
      <c r="E178" s="72"/>
      <c r="F178" s="72"/>
      <c r="G178" s="72"/>
      <c r="H178" s="72"/>
      <c r="I178" s="72"/>
      <c r="J178" s="72"/>
      <c r="K178" s="72"/>
      <c r="L178" s="72"/>
      <c r="M178" s="72"/>
      <c r="N178" s="72"/>
      <c r="O178" s="72"/>
      <c r="P178" s="72"/>
      <c r="Q178" s="72"/>
      <c r="R178" s="72"/>
      <c r="S178" s="72"/>
      <c r="T178" s="72"/>
      <c r="U178" s="72"/>
      <c r="V178" s="72"/>
      <c r="W178" s="72"/>
      <c r="X178" s="72"/>
      <c r="Y178" s="72"/>
      <c r="Z178" s="72"/>
      <c r="AA178" s="72"/>
      <c r="AB178" s="72"/>
      <c r="AC178" s="72"/>
      <c r="AD178" s="72"/>
      <c r="AE178" s="72"/>
      <c r="AF178" s="72"/>
      <c r="AG178" s="72"/>
      <c r="AH178" s="72"/>
      <c r="AI178" s="72"/>
      <c r="AJ178" s="72"/>
      <c r="AK178" s="72"/>
      <c r="AL178" s="72"/>
      <c r="AM178" s="72"/>
      <c r="AN178" s="72"/>
      <c r="AO178" s="72"/>
      <c r="AP178" s="72"/>
      <c r="AQ178" s="72"/>
      <c r="AR178" s="72"/>
      <c r="AS178" s="72"/>
      <c r="AT178" s="72"/>
      <c r="AU178" s="72"/>
      <c r="AV178" s="72"/>
      <c r="AW178" s="72"/>
      <c r="AX178" s="72"/>
      <c r="AY178" s="72"/>
      <c r="AZ178" s="72"/>
      <c r="BA178" s="72"/>
      <c r="BB178" s="72"/>
      <c r="BC178" s="72"/>
      <c r="BD178" s="72"/>
      <c r="BE178" s="72"/>
      <c r="BF178" s="72"/>
      <c r="BG178" s="72"/>
      <c r="BH178" s="72"/>
    </row>
    <row r="179" spans="1:60" x14ac:dyDescent="0.25">
      <c r="A179" s="72"/>
      <c r="B179" s="72"/>
      <c r="C179" s="72"/>
      <c r="D179" s="72"/>
      <c r="E179" s="72"/>
      <c r="F179" s="72"/>
      <c r="G179" s="72"/>
      <c r="H179" s="72"/>
      <c r="I179" s="72"/>
      <c r="J179" s="72"/>
      <c r="K179" s="72"/>
      <c r="L179" s="72"/>
      <c r="M179" s="72"/>
      <c r="N179" s="72"/>
      <c r="O179" s="72"/>
      <c r="P179" s="72"/>
      <c r="Q179" s="72"/>
      <c r="R179" s="72"/>
      <c r="S179" s="72"/>
      <c r="T179" s="72"/>
      <c r="U179" s="72"/>
      <c r="V179" s="72"/>
      <c r="W179" s="72"/>
      <c r="X179" s="72"/>
      <c r="Y179" s="72"/>
      <c r="Z179" s="72"/>
      <c r="AA179" s="72"/>
      <c r="AB179" s="72"/>
      <c r="AC179" s="72"/>
      <c r="AD179" s="72"/>
      <c r="AE179" s="72"/>
      <c r="AF179" s="72"/>
      <c r="AG179" s="72"/>
      <c r="AH179" s="72"/>
      <c r="AI179" s="72"/>
      <c r="AJ179" s="72"/>
      <c r="AK179" s="72"/>
      <c r="AL179" s="72"/>
      <c r="AM179" s="72"/>
      <c r="AN179" s="72"/>
      <c r="AO179" s="72"/>
      <c r="AP179" s="72"/>
      <c r="AQ179" s="72"/>
      <c r="AR179" s="72"/>
      <c r="AS179" s="72"/>
      <c r="AT179" s="72"/>
      <c r="AU179" s="72"/>
      <c r="AV179" s="72"/>
      <c r="AW179" s="72"/>
      <c r="AX179" s="72"/>
      <c r="AY179" s="72"/>
      <c r="AZ179" s="72"/>
      <c r="BA179" s="72"/>
      <c r="BB179" s="72"/>
      <c r="BC179" s="72"/>
      <c r="BD179" s="72"/>
      <c r="BE179" s="72"/>
      <c r="BF179" s="72"/>
      <c r="BG179" s="72"/>
      <c r="BH179" s="72"/>
    </row>
    <row r="180" spans="1:60" x14ac:dyDescent="0.25">
      <c r="A180" s="72"/>
      <c r="B180" s="72"/>
      <c r="C180" s="72"/>
      <c r="D180" s="72"/>
      <c r="E180" s="72"/>
      <c r="F180" s="72"/>
      <c r="G180" s="72"/>
      <c r="H180" s="72"/>
      <c r="I180" s="72"/>
      <c r="J180" s="72"/>
      <c r="K180" s="72"/>
      <c r="L180" s="72"/>
      <c r="M180" s="72"/>
      <c r="N180" s="72"/>
      <c r="O180" s="72"/>
      <c r="P180" s="72"/>
      <c r="Q180" s="72"/>
      <c r="R180" s="72"/>
      <c r="S180" s="72"/>
      <c r="T180" s="72"/>
      <c r="U180" s="72"/>
      <c r="V180" s="72"/>
      <c r="W180" s="72"/>
      <c r="X180" s="72"/>
      <c r="Y180" s="72"/>
      <c r="Z180" s="72"/>
      <c r="AA180" s="72"/>
      <c r="AB180" s="72"/>
      <c r="AC180" s="72"/>
      <c r="AD180" s="72"/>
      <c r="AE180" s="72"/>
      <c r="AF180" s="72"/>
      <c r="AG180" s="72"/>
      <c r="AH180" s="72"/>
      <c r="AI180" s="72"/>
      <c r="AJ180" s="72"/>
      <c r="AK180" s="72"/>
      <c r="AL180" s="72"/>
      <c r="AM180" s="72"/>
      <c r="AN180" s="72"/>
      <c r="AO180" s="72"/>
      <c r="AP180" s="72"/>
      <c r="AQ180" s="72"/>
      <c r="AR180" s="72"/>
      <c r="AS180" s="72"/>
      <c r="AT180" s="72"/>
      <c r="AU180" s="72"/>
      <c r="AV180" s="72"/>
      <c r="AW180" s="72"/>
      <c r="AX180" s="72"/>
      <c r="AY180" s="72"/>
      <c r="AZ180" s="72"/>
      <c r="BA180" s="72"/>
      <c r="BB180" s="72"/>
      <c r="BC180" s="72"/>
      <c r="BD180" s="72"/>
      <c r="BE180" s="72"/>
      <c r="BF180" s="72"/>
      <c r="BG180" s="72"/>
      <c r="BH180" s="72"/>
    </row>
    <row r="181" spans="1:60" x14ac:dyDescent="0.25">
      <c r="A181" s="72"/>
      <c r="B181" s="72"/>
      <c r="C181" s="72"/>
      <c r="D181" s="72"/>
      <c r="E181" s="72"/>
      <c r="F181" s="72"/>
      <c r="G181" s="72"/>
      <c r="H181" s="72"/>
      <c r="I181" s="72"/>
      <c r="J181" s="72"/>
      <c r="K181" s="72"/>
      <c r="L181" s="72"/>
      <c r="M181" s="72"/>
      <c r="N181" s="72"/>
      <c r="O181" s="72"/>
      <c r="P181" s="72"/>
      <c r="Q181" s="72"/>
      <c r="R181" s="72"/>
      <c r="S181" s="72"/>
      <c r="T181" s="72"/>
      <c r="U181" s="72"/>
      <c r="V181" s="72"/>
      <c r="W181" s="72"/>
      <c r="X181" s="72"/>
      <c r="Y181" s="72"/>
      <c r="Z181" s="72"/>
      <c r="AA181" s="72"/>
      <c r="AB181" s="72"/>
      <c r="AC181" s="72"/>
      <c r="AD181" s="72"/>
      <c r="AE181" s="72"/>
      <c r="AF181" s="72"/>
      <c r="AG181" s="72"/>
      <c r="AH181" s="72"/>
      <c r="AI181" s="72"/>
      <c r="AJ181" s="72"/>
      <c r="AK181" s="72"/>
      <c r="AL181" s="72"/>
      <c r="AM181" s="72"/>
      <c r="AN181" s="72"/>
      <c r="AO181" s="72"/>
      <c r="AP181" s="72"/>
      <c r="AQ181" s="72"/>
      <c r="AR181" s="72"/>
      <c r="AS181" s="72"/>
      <c r="AT181" s="72"/>
      <c r="AU181" s="72"/>
      <c r="AV181" s="72"/>
      <c r="AW181" s="72"/>
      <c r="AX181" s="72"/>
      <c r="AY181" s="72"/>
      <c r="AZ181" s="72"/>
      <c r="BA181" s="72"/>
      <c r="BB181" s="72"/>
      <c r="BC181" s="72"/>
      <c r="BD181" s="72"/>
      <c r="BE181" s="72"/>
      <c r="BF181" s="72"/>
      <c r="BG181" s="72"/>
      <c r="BH181" s="72"/>
    </row>
    <row r="182" spans="1:60" x14ac:dyDescent="0.25">
      <c r="A182" s="72"/>
      <c r="B182" s="72"/>
      <c r="C182" s="72"/>
      <c r="D182" s="72"/>
      <c r="E182" s="72"/>
      <c r="F182" s="72"/>
      <c r="G182" s="72"/>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72"/>
      <c r="AH182" s="72"/>
      <c r="AI182" s="72"/>
      <c r="AJ182" s="72"/>
      <c r="AK182" s="72"/>
      <c r="AL182" s="72"/>
      <c r="AM182" s="72"/>
      <c r="AN182" s="72"/>
      <c r="AO182" s="72"/>
      <c r="AP182" s="72"/>
      <c r="AQ182" s="72"/>
      <c r="AR182" s="72"/>
      <c r="AS182" s="72"/>
      <c r="AT182" s="72"/>
      <c r="AU182" s="72"/>
      <c r="AV182" s="72"/>
      <c r="AW182" s="72"/>
      <c r="AX182" s="72"/>
      <c r="AY182" s="72"/>
      <c r="AZ182" s="72"/>
      <c r="BA182" s="72"/>
      <c r="BB182" s="72"/>
      <c r="BC182" s="72"/>
      <c r="BD182" s="72"/>
      <c r="BE182" s="72"/>
      <c r="BF182" s="72"/>
      <c r="BG182" s="72"/>
      <c r="BH182" s="72"/>
    </row>
    <row r="183" spans="1:60" x14ac:dyDescent="0.25">
      <c r="A183" s="72"/>
      <c r="B183" s="72"/>
      <c r="C183" s="72"/>
      <c r="D183" s="72"/>
      <c r="E183" s="72"/>
      <c r="F183" s="72"/>
      <c r="G183" s="72"/>
      <c r="H183" s="72"/>
      <c r="I183" s="72"/>
      <c r="J183" s="72"/>
      <c r="K183" s="72"/>
      <c r="L183" s="72"/>
      <c r="M183" s="72"/>
      <c r="N183" s="72"/>
      <c r="O183" s="72"/>
      <c r="P183" s="72"/>
      <c r="Q183" s="72"/>
      <c r="R183" s="72"/>
      <c r="S183" s="72"/>
      <c r="T183" s="72"/>
      <c r="U183" s="72"/>
      <c r="V183" s="72"/>
      <c r="W183" s="72"/>
      <c r="X183" s="72"/>
      <c r="Y183" s="72"/>
      <c r="Z183" s="72"/>
      <c r="AA183" s="72"/>
      <c r="AB183" s="72"/>
      <c r="AC183" s="72"/>
      <c r="AD183" s="72"/>
      <c r="AE183" s="72"/>
      <c r="AF183" s="72"/>
      <c r="AG183" s="72"/>
      <c r="AH183" s="72"/>
      <c r="AI183" s="72"/>
      <c r="AJ183" s="72"/>
      <c r="AK183" s="72"/>
      <c r="AL183" s="72"/>
      <c r="AM183" s="72"/>
      <c r="AN183" s="72"/>
      <c r="AO183" s="72"/>
      <c r="AP183" s="72"/>
      <c r="AQ183" s="72"/>
      <c r="AR183" s="72"/>
      <c r="AS183" s="72"/>
      <c r="AT183" s="72"/>
      <c r="AU183" s="72"/>
      <c r="AV183" s="72"/>
      <c r="AW183" s="72"/>
      <c r="AX183" s="72"/>
      <c r="AY183" s="72"/>
      <c r="AZ183" s="72"/>
      <c r="BA183" s="72"/>
      <c r="BB183" s="72"/>
      <c r="BC183" s="72"/>
      <c r="BD183" s="72"/>
      <c r="BE183" s="72"/>
      <c r="BF183" s="72"/>
      <c r="BG183" s="72"/>
      <c r="BH183" s="72"/>
    </row>
    <row r="184" spans="1:60" x14ac:dyDescent="0.25">
      <c r="A184" s="72"/>
      <c r="B184" s="72"/>
      <c r="C184" s="72"/>
      <c r="D184" s="72"/>
      <c r="E184" s="72"/>
      <c r="F184" s="72"/>
      <c r="G184" s="72"/>
      <c r="H184" s="72"/>
      <c r="I184" s="72"/>
      <c r="J184" s="72"/>
      <c r="K184" s="72"/>
      <c r="L184" s="72"/>
      <c r="M184" s="72"/>
      <c r="N184" s="72"/>
      <c r="O184" s="72"/>
      <c r="P184" s="72"/>
      <c r="Q184" s="72"/>
      <c r="R184" s="72"/>
      <c r="S184" s="72"/>
      <c r="T184" s="72"/>
      <c r="U184" s="72"/>
      <c r="V184" s="72"/>
      <c r="W184" s="72"/>
      <c r="X184" s="72"/>
      <c r="Y184" s="72"/>
      <c r="Z184" s="72"/>
      <c r="AA184" s="72"/>
      <c r="AB184" s="7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c r="AZ184" s="72"/>
      <c r="BA184" s="72"/>
      <c r="BB184" s="72"/>
      <c r="BC184" s="72"/>
      <c r="BD184" s="72"/>
      <c r="BE184" s="72"/>
      <c r="BF184" s="72"/>
      <c r="BG184" s="72"/>
      <c r="BH184" s="72"/>
    </row>
    <row r="185" spans="1:60" x14ac:dyDescent="0.25">
      <c r="A185" s="72"/>
      <c r="B185" s="72"/>
      <c r="C185" s="72"/>
      <c r="D185" s="72"/>
      <c r="E185" s="72"/>
      <c r="F185" s="72"/>
      <c r="G185" s="72"/>
      <c r="H185" s="72"/>
      <c r="I185" s="72"/>
      <c r="J185" s="72"/>
      <c r="K185" s="72"/>
      <c r="L185" s="72"/>
      <c r="M185" s="72"/>
      <c r="N185" s="72"/>
      <c r="O185" s="72"/>
      <c r="P185" s="72"/>
      <c r="Q185" s="72"/>
      <c r="R185" s="72"/>
      <c r="S185" s="72"/>
      <c r="T185" s="72"/>
      <c r="U185" s="72"/>
      <c r="V185" s="72"/>
      <c r="W185" s="72"/>
      <c r="X185" s="72"/>
      <c r="Y185" s="72"/>
      <c r="Z185" s="72"/>
      <c r="AA185" s="72"/>
      <c r="AB185" s="72"/>
      <c r="AC185" s="72"/>
      <c r="AD185" s="72"/>
      <c r="AE185" s="72"/>
      <c r="AF185" s="72"/>
      <c r="AG185" s="72"/>
      <c r="AH185" s="72"/>
      <c r="AI185" s="72"/>
      <c r="AJ185" s="72"/>
      <c r="AK185" s="72"/>
      <c r="AL185" s="72"/>
      <c r="AM185" s="72"/>
      <c r="AN185" s="72"/>
      <c r="AO185" s="72"/>
      <c r="AP185" s="72"/>
      <c r="AQ185" s="72"/>
      <c r="AR185" s="72"/>
      <c r="AS185" s="72"/>
      <c r="AT185" s="72"/>
      <c r="AU185" s="72"/>
      <c r="AV185" s="72"/>
      <c r="AW185" s="72"/>
      <c r="AX185" s="72"/>
      <c r="AY185" s="72"/>
      <c r="AZ185" s="72"/>
      <c r="BA185" s="72"/>
      <c r="BB185" s="72"/>
      <c r="BC185" s="72"/>
      <c r="BD185" s="72"/>
      <c r="BE185" s="72"/>
      <c r="BF185" s="72"/>
      <c r="BG185" s="72"/>
      <c r="BH185" s="72"/>
    </row>
    <row r="186" spans="1:60" x14ac:dyDescent="0.25">
      <c r="A186" s="72"/>
      <c r="B186" s="72"/>
      <c r="C186" s="72"/>
      <c r="D186" s="72"/>
      <c r="E186" s="72"/>
      <c r="F186" s="72"/>
      <c r="G186" s="72"/>
      <c r="H186" s="72"/>
      <c r="I186" s="72"/>
      <c r="J186" s="72"/>
      <c r="K186" s="72"/>
      <c r="L186" s="72"/>
      <c r="M186" s="72"/>
      <c r="N186" s="72"/>
      <c r="O186" s="72"/>
      <c r="P186" s="72"/>
      <c r="Q186" s="72"/>
      <c r="R186" s="72"/>
      <c r="S186" s="72"/>
      <c r="T186" s="72"/>
      <c r="U186" s="72"/>
      <c r="V186" s="72"/>
      <c r="W186" s="72"/>
      <c r="X186" s="72"/>
      <c r="Y186" s="72"/>
      <c r="Z186" s="72"/>
      <c r="AA186" s="72"/>
      <c r="AB186" s="72"/>
      <c r="AC186" s="72"/>
      <c r="AD186" s="72"/>
      <c r="AE186" s="72"/>
      <c r="AF186" s="72"/>
      <c r="AG186" s="72"/>
      <c r="AH186" s="72"/>
      <c r="AI186" s="72"/>
      <c r="AJ186" s="72"/>
      <c r="AK186" s="72"/>
      <c r="AL186" s="72"/>
      <c r="AM186" s="72"/>
      <c r="AN186" s="72"/>
      <c r="AO186" s="72"/>
      <c r="AP186" s="72"/>
      <c r="AQ186" s="72"/>
      <c r="AR186" s="72"/>
      <c r="AS186" s="72"/>
      <c r="AT186" s="72"/>
      <c r="AU186" s="72"/>
      <c r="AV186" s="72"/>
      <c r="AW186" s="72"/>
      <c r="AX186" s="72"/>
      <c r="AY186" s="72"/>
      <c r="AZ186" s="72"/>
      <c r="BA186" s="72"/>
      <c r="BB186" s="72"/>
      <c r="BC186" s="72"/>
      <c r="BD186" s="72"/>
      <c r="BE186" s="72"/>
      <c r="BF186" s="72"/>
      <c r="BG186" s="72"/>
      <c r="BH186" s="72"/>
    </row>
    <row r="187" spans="1:60" x14ac:dyDescent="0.25">
      <c r="A187" s="72"/>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BB187" s="72"/>
      <c r="BC187" s="72"/>
      <c r="BD187" s="72"/>
      <c r="BE187" s="72"/>
      <c r="BF187" s="72"/>
      <c r="BG187" s="72"/>
      <c r="BH187" s="72"/>
    </row>
    <row r="188" spans="1:60" x14ac:dyDescent="0.25">
      <c r="A188" s="72"/>
      <c r="B188" s="72"/>
      <c r="C188" s="72"/>
      <c r="D188" s="72"/>
      <c r="E188" s="72"/>
      <c r="F188" s="72"/>
      <c r="G188" s="72"/>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72"/>
      <c r="AH188" s="72"/>
      <c r="AI188" s="72"/>
      <c r="AJ188" s="72"/>
      <c r="AK188" s="72"/>
      <c r="AL188" s="72"/>
      <c r="AM188" s="72"/>
      <c r="AN188" s="72"/>
      <c r="AO188" s="72"/>
      <c r="AP188" s="72"/>
      <c r="AQ188" s="72"/>
      <c r="AR188" s="72"/>
      <c r="AS188" s="72"/>
      <c r="AT188" s="72"/>
      <c r="AU188" s="72"/>
      <c r="AV188" s="72"/>
      <c r="AW188" s="72"/>
      <c r="AX188" s="72"/>
      <c r="AY188" s="72"/>
      <c r="AZ188" s="72"/>
      <c r="BA188" s="72"/>
      <c r="BB188" s="72"/>
      <c r="BC188" s="72"/>
      <c r="BD188" s="72"/>
      <c r="BE188" s="72"/>
      <c r="BF188" s="72"/>
      <c r="BG188" s="72"/>
      <c r="BH188" s="72"/>
    </row>
    <row r="189" spans="1:60" x14ac:dyDescent="0.25">
      <c r="A189" s="72"/>
      <c r="B189" s="72"/>
      <c r="C189" s="72"/>
      <c r="D189" s="72"/>
      <c r="E189" s="72"/>
      <c r="F189" s="72"/>
      <c r="G189" s="72"/>
      <c r="H189" s="72"/>
      <c r="I189" s="72"/>
      <c r="J189" s="72"/>
      <c r="K189" s="72"/>
      <c r="L189" s="72"/>
      <c r="M189" s="72"/>
      <c r="N189" s="72"/>
      <c r="O189" s="72"/>
      <c r="P189" s="72"/>
      <c r="Q189" s="72"/>
      <c r="R189" s="72"/>
      <c r="S189" s="72"/>
      <c r="T189" s="72"/>
      <c r="U189" s="72"/>
      <c r="V189" s="72"/>
      <c r="W189" s="72"/>
      <c r="X189" s="72"/>
      <c r="Y189" s="72"/>
      <c r="Z189" s="72"/>
      <c r="AA189" s="72"/>
      <c r="AB189" s="72"/>
      <c r="AC189" s="72"/>
      <c r="AD189" s="72"/>
      <c r="AE189" s="72"/>
      <c r="AF189" s="72"/>
      <c r="AG189" s="72"/>
      <c r="AH189" s="72"/>
      <c r="AI189" s="72"/>
      <c r="AJ189" s="72"/>
      <c r="AK189" s="72"/>
      <c r="AL189" s="72"/>
      <c r="AM189" s="72"/>
      <c r="AN189" s="72"/>
      <c r="AO189" s="72"/>
      <c r="AP189" s="72"/>
      <c r="AQ189" s="72"/>
      <c r="AR189" s="72"/>
      <c r="AS189" s="72"/>
      <c r="AT189" s="72"/>
      <c r="AU189" s="72"/>
      <c r="AV189" s="72"/>
      <c r="AW189" s="72"/>
      <c r="AX189" s="72"/>
      <c r="AY189" s="72"/>
      <c r="AZ189" s="72"/>
      <c r="BA189" s="72"/>
      <c r="BB189" s="72"/>
      <c r="BC189" s="72"/>
      <c r="BD189" s="72"/>
      <c r="BE189" s="72"/>
      <c r="BF189" s="72"/>
      <c r="BG189" s="72"/>
      <c r="BH189" s="72"/>
    </row>
    <row r="190" spans="1:60" x14ac:dyDescent="0.25">
      <c r="A190" s="72"/>
      <c r="B190" s="72"/>
      <c r="C190" s="72"/>
      <c r="D190" s="72"/>
      <c r="E190" s="72"/>
      <c r="F190" s="72"/>
      <c r="G190" s="72"/>
      <c r="H190" s="72"/>
      <c r="I190" s="72"/>
      <c r="J190" s="72"/>
      <c r="K190" s="72"/>
      <c r="L190" s="72"/>
      <c r="M190" s="72"/>
      <c r="N190" s="72"/>
      <c r="O190" s="72"/>
      <c r="P190" s="72"/>
      <c r="Q190" s="72"/>
      <c r="R190" s="72"/>
      <c r="S190" s="72"/>
      <c r="T190" s="72"/>
      <c r="U190" s="72"/>
      <c r="V190" s="72"/>
      <c r="W190" s="72"/>
      <c r="X190" s="72"/>
      <c r="Y190" s="72"/>
      <c r="Z190" s="72"/>
      <c r="AA190" s="72"/>
      <c r="AB190" s="72"/>
      <c r="AC190" s="72"/>
      <c r="AD190" s="72"/>
      <c r="AE190" s="72"/>
      <c r="AF190" s="72"/>
      <c r="AG190" s="72"/>
      <c r="AH190" s="72"/>
      <c r="AI190" s="72"/>
      <c r="AJ190" s="72"/>
      <c r="AK190" s="72"/>
      <c r="AL190" s="72"/>
      <c r="AM190" s="72"/>
      <c r="AN190" s="72"/>
      <c r="AO190" s="72"/>
      <c r="AP190" s="72"/>
      <c r="AQ190" s="72"/>
      <c r="AR190" s="72"/>
      <c r="AS190" s="72"/>
      <c r="AT190" s="72"/>
      <c r="AU190" s="72"/>
      <c r="AV190" s="72"/>
      <c r="AW190" s="72"/>
      <c r="AX190" s="72"/>
      <c r="AY190" s="72"/>
      <c r="AZ190" s="72"/>
      <c r="BA190" s="72"/>
      <c r="BB190" s="72"/>
      <c r="BC190" s="72"/>
      <c r="BD190" s="72"/>
      <c r="BE190" s="72"/>
      <c r="BF190" s="72"/>
      <c r="BG190" s="72"/>
      <c r="BH190" s="72"/>
    </row>
    <row r="191" spans="1:60" x14ac:dyDescent="0.25">
      <c r="A191" s="72"/>
      <c r="J191" s="72"/>
      <c r="K191" s="72"/>
      <c r="L191" s="72"/>
      <c r="M191" s="72"/>
      <c r="N191" s="72"/>
      <c r="O191" s="72"/>
      <c r="P191" s="72"/>
      <c r="Q191" s="72"/>
      <c r="R191" s="72"/>
      <c r="S191" s="72"/>
      <c r="T191" s="72"/>
      <c r="U191" s="72"/>
      <c r="V191" s="72"/>
      <c r="W191" s="72"/>
      <c r="X191" s="72"/>
      <c r="Y191" s="72"/>
      <c r="Z191" s="72"/>
      <c r="AA191" s="72"/>
      <c r="AB191" s="7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2"/>
      <c r="AZ191" s="72"/>
      <c r="BA191" s="72"/>
      <c r="BB191" s="72"/>
      <c r="BC191" s="72"/>
      <c r="BD191" s="72"/>
      <c r="BE191" s="72"/>
      <c r="BF191" s="72"/>
      <c r="BG191" s="72"/>
      <c r="BH191" s="72"/>
    </row>
    <row r="192" spans="1:60" x14ac:dyDescent="0.25">
      <c r="A192" s="72"/>
      <c r="J192" s="72"/>
      <c r="K192" s="72"/>
      <c r="L192" s="72"/>
      <c r="M192" s="72"/>
      <c r="N192" s="72"/>
      <c r="O192" s="72"/>
      <c r="P192" s="72"/>
      <c r="Q192" s="72"/>
      <c r="R192" s="72"/>
      <c r="S192" s="72"/>
      <c r="T192" s="72"/>
      <c r="U192" s="72"/>
      <c r="V192" s="72"/>
      <c r="W192" s="72"/>
      <c r="X192" s="72"/>
      <c r="Y192" s="72"/>
      <c r="Z192" s="72"/>
      <c r="AA192" s="72"/>
      <c r="AB192" s="72"/>
      <c r="AC192" s="72"/>
      <c r="AD192" s="72"/>
      <c r="AE192" s="72"/>
      <c r="AF192" s="72"/>
      <c r="AG192" s="72"/>
      <c r="AH192" s="72"/>
      <c r="AI192" s="72"/>
      <c r="AJ192" s="72"/>
      <c r="AK192" s="72"/>
      <c r="AL192" s="72"/>
      <c r="AM192" s="72"/>
      <c r="AN192" s="72"/>
      <c r="AO192" s="72"/>
      <c r="AP192" s="72"/>
      <c r="AQ192" s="72"/>
      <c r="AR192" s="72"/>
      <c r="AS192" s="72"/>
      <c r="AT192" s="72"/>
      <c r="AU192" s="72"/>
      <c r="AV192" s="72"/>
      <c r="AW192" s="72"/>
      <c r="AX192" s="72"/>
      <c r="AY192" s="72"/>
      <c r="AZ192" s="72"/>
      <c r="BA192" s="72"/>
      <c r="BB192" s="72"/>
      <c r="BC192" s="72"/>
      <c r="BD192" s="72"/>
      <c r="BE192" s="72"/>
      <c r="BF192" s="72"/>
      <c r="BG192" s="72"/>
      <c r="BH192" s="72"/>
    </row>
    <row r="193" spans="1:60" x14ac:dyDescent="0.25">
      <c r="A193" s="72"/>
      <c r="J193" s="72"/>
      <c r="K193" s="72"/>
      <c r="L193" s="72"/>
      <c r="M193" s="72"/>
      <c r="N193" s="72"/>
      <c r="O193" s="72"/>
      <c r="P193" s="72"/>
      <c r="Q193" s="72"/>
      <c r="R193" s="72"/>
      <c r="S193" s="72"/>
      <c r="T193" s="72"/>
      <c r="U193" s="72"/>
      <c r="V193" s="72"/>
      <c r="W193" s="72"/>
      <c r="X193" s="72"/>
      <c r="Y193" s="72"/>
      <c r="Z193" s="72"/>
      <c r="AA193" s="72"/>
      <c r="AB193" s="72"/>
      <c r="AC193" s="72"/>
      <c r="AD193" s="72"/>
      <c r="AE193" s="72"/>
      <c r="AF193" s="72"/>
      <c r="AG193" s="72"/>
      <c r="AH193" s="72"/>
      <c r="AI193" s="72"/>
      <c r="AJ193" s="72"/>
      <c r="AK193" s="72"/>
      <c r="AL193" s="72"/>
      <c r="AM193" s="72"/>
      <c r="AN193" s="72"/>
      <c r="AO193" s="72"/>
      <c r="AP193" s="72"/>
      <c r="AQ193" s="72"/>
      <c r="AR193" s="72"/>
      <c r="AS193" s="72"/>
      <c r="AT193" s="72"/>
      <c r="AU193" s="72"/>
      <c r="AV193" s="72"/>
      <c r="AW193" s="72"/>
      <c r="AX193" s="72"/>
      <c r="AY193" s="72"/>
      <c r="AZ193" s="72"/>
      <c r="BA193" s="72"/>
      <c r="BB193" s="72"/>
      <c r="BC193" s="72"/>
      <c r="BD193" s="72"/>
      <c r="BE193" s="72"/>
      <c r="BF193" s="72"/>
      <c r="BG193" s="72"/>
      <c r="BH193" s="72"/>
    </row>
    <row r="194" spans="1:60" x14ac:dyDescent="0.25">
      <c r="A194" s="72"/>
      <c r="J194" s="72"/>
      <c r="K194" s="72"/>
      <c r="L194" s="72"/>
      <c r="M194" s="72"/>
      <c r="N194" s="72"/>
      <c r="O194" s="72"/>
      <c r="P194" s="72"/>
      <c r="Q194" s="72"/>
      <c r="R194" s="72"/>
      <c r="S194" s="72"/>
      <c r="T194" s="72"/>
      <c r="U194" s="72"/>
      <c r="V194" s="72"/>
      <c r="W194" s="72"/>
      <c r="X194" s="72"/>
      <c r="Y194" s="72"/>
      <c r="Z194" s="72"/>
      <c r="AA194" s="72"/>
      <c r="AB194" s="72"/>
      <c r="AC194" s="72"/>
      <c r="AD194" s="72"/>
      <c r="AE194" s="72"/>
      <c r="AF194" s="72"/>
      <c r="AG194" s="72"/>
      <c r="AH194" s="72"/>
      <c r="AI194" s="72"/>
      <c r="AJ194" s="72"/>
      <c r="AK194" s="72"/>
      <c r="AL194" s="72"/>
      <c r="AM194" s="72"/>
      <c r="AN194" s="72"/>
      <c r="AO194" s="72"/>
      <c r="AP194" s="72"/>
      <c r="AQ194" s="72"/>
      <c r="AR194" s="72"/>
      <c r="AS194" s="72"/>
      <c r="AT194" s="72"/>
      <c r="AU194" s="72"/>
      <c r="AV194" s="72"/>
      <c r="AW194" s="72"/>
      <c r="AX194" s="72"/>
      <c r="AY194" s="72"/>
      <c r="AZ194" s="72"/>
      <c r="BA194" s="72"/>
      <c r="BB194" s="72"/>
      <c r="BC194" s="72"/>
      <c r="BD194" s="72"/>
      <c r="BE194" s="72"/>
      <c r="BF194" s="72"/>
      <c r="BG194" s="72"/>
      <c r="BH194" s="72"/>
    </row>
    <row r="195" spans="1:60" x14ac:dyDescent="0.25">
      <c r="A195" s="72"/>
      <c r="J195" s="72"/>
      <c r="K195" s="72"/>
      <c r="L195" s="72"/>
      <c r="M195" s="72"/>
      <c r="N195" s="72"/>
      <c r="O195" s="72"/>
      <c r="P195" s="72"/>
      <c r="Q195" s="72"/>
      <c r="R195" s="72"/>
      <c r="S195" s="72"/>
      <c r="T195" s="72"/>
      <c r="U195" s="72"/>
      <c r="V195" s="72"/>
      <c r="W195" s="72"/>
      <c r="X195" s="72"/>
      <c r="Y195" s="72"/>
      <c r="Z195" s="72"/>
      <c r="AA195" s="72"/>
      <c r="AB195" s="72"/>
      <c r="AC195" s="72"/>
      <c r="AD195" s="72"/>
      <c r="AE195" s="72"/>
      <c r="AF195" s="72"/>
      <c r="AG195" s="72"/>
      <c r="AH195" s="72"/>
      <c r="AI195" s="72"/>
      <c r="AJ195" s="72"/>
      <c r="AK195" s="72"/>
      <c r="AL195" s="72"/>
      <c r="AM195" s="72"/>
      <c r="AN195" s="72"/>
      <c r="AO195" s="72"/>
      <c r="AP195" s="72"/>
      <c r="AQ195" s="72"/>
      <c r="AR195" s="72"/>
      <c r="AS195" s="72"/>
      <c r="AT195" s="72"/>
      <c r="AU195" s="72"/>
      <c r="AV195" s="72"/>
      <c r="AW195" s="72"/>
      <c r="AX195" s="72"/>
      <c r="AY195" s="72"/>
      <c r="AZ195" s="72"/>
      <c r="BA195" s="72"/>
      <c r="BB195" s="72"/>
      <c r="BC195" s="72"/>
      <c r="BD195" s="72"/>
      <c r="BE195" s="72"/>
      <c r="BF195" s="72"/>
      <c r="BG195" s="72"/>
      <c r="BH195" s="72"/>
    </row>
    <row r="196" spans="1:60" x14ac:dyDescent="0.25">
      <c r="A196" s="72"/>
      <c r="J196" s="72"/>
      <c r="K196" s="72"/>
      <c r="L196" s="72"/>
      <c r="M196" s="72"/>
      <c r="N196" s="72"/>
      <c r="O196" s="72"/>
      <c r="P196" s="72"/>
      <c r="Q196" s="72"/>
      <c r="R196" s="72"/>
      <c r="S196" s="72"/>
      <c r="T196" s="72"/>
      <c r="U196" s="72"/>
      <c r="V196" s="72"/>
      <c r="W196" s="72"/>
      <c r="X196" s="72"/>
      <c r="Y196" s="72"/>
      <c r="Z196" s="72"/>
      <c r="AA196" s="72"/>
      <c r="AB196" s="72"/>
      <c r="AC196" s="72"/>
      <c r="AD196" s="72"/>
      <c r="AE196" s="72"/>
      <c r="AF196" s="72"/>
      <c r="AG196" s="72"/>
      <c r="AH196" s="72"/>
      <c r="AI196" s="72"/>
      <c r="AJ196" s="72"/>
      <c r="AK196" s="72"/>
      <c r="AL196" s="72"/>
      <c r="AM196" s="72"/>
      <c r="AN196" s="72"/>
      <c r="AO196" s="72"/>
      <c r="AP196" s="72"/>
      <c r="AQ196" s="72"/>
      <c r="AR196" s="72"/>
      <c r="AS196" s="72"/>
      <c r="AT196" s="72"/>
      <c r="AU196" s="72"/>
      <c r="AV196" s="72"/>
      <c r="AW196" s="72"/>
      <c r="AX196" s="72"/>
      <c r="AY196" s="72"/>
      <c r="AZ196" s="72"/>
      <c r="BA196" s="72"/>
      <c r="BB196" s="72"/>
      <c r="BC196" s="72"/>
      <c r="BD196" s="72"/>
      <c r="BE196" s="72"/>
      <c r="BF196" s="72"/>
      <c r="BG196" s="72"/>
      <c r="BH196" s="72"/>
    </row>
    <row r="197" spans="1:60" x14ac:dyDescent="0.25">
      <c r="A197" s="72"/>
      <c r="J197" s="72"/>
      <c r="K197" s="72"/>
      <c r="L197" s="72"/>
      <c r="M197" s="72"/>
      <c r="N197" s="72"/>
      <c r="O197" s="72"/>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c r="BH197" s="72"/>
    </row>
    <row r="198" spans="1:60" x14ac:dyDescent="0.25">
      <c r="A198" s="72"/>
      <c r="J198" s="72"/>
      <c r="K198" s="72"/>
      <c r="L198" s="72"/>
      <c r="M198" s="72"/>
      <c r="N198" s="72"/>
      <c r="O198" s="72"/>
      <c r="P198" s="72"/>
      <c r="Q198" s="72"/>
      <c r="R198" s="72"/>
      <c r="S198" s="72"/>
      <c r="T198" s="72"/>
      <c r="U198" s="72"/>
      <c r="V198" s="72"/>
      <c r="W198" s="72"/>
      <c r="X198" s="72"/>
      <c r="Y198" s="72"/>
      <c r="Z198" s="72"/>
      <c r="AA198" s="72"/>
      <c r="AB198" s="72"/>
      <c r="AC198" s="72"/>
      <c r="AD198" s="72"/>
      <c r="AE198" s="72"/>
      <c r="AF198" s="72"/>
      <c r="AG198" s="72"/>
      <c r="AH198" s="72"/>
      <c r="AI198" s="72"/>
      <c r="AJ198" s="72"/>
      <c r="AK198" s="72"/>
      <c r="AL198" s="72"/>
      <c r="AM198" s="72"/>
      <c r="AN198" s="72"/>
      <c r="AO198" s="72"/>
      <c r="AP198" s="72"/>
      <c r="AQ198" s="72"/>
      <c r="AR198" s="72"/>
      <c r="AS198" s="72"/>
      <c r="AT198" s="72"/>
      <c r="AU198" s="72"/>
      <c r="AV198" s="72"/>
      <c r="AW198" s="72"/>
      <c r="AX198" s="72"/>
      <c r="AY198" s="72"/>
      <c r="AZ198" s="72"/>
      <c r="BA198" s="72"/>
      <c r="BB198" s="72"/>
      <c r="BC198" s="72"/>
      <c r="BD198" s="72"/>
      <c r="BE198" s="72"/>
      <c r="BF198" s="72"/>
      <c r="BG198" s="72"/>
      <c r="BH198" s="72"/>
    </row>
    <row r="199" spans="1:60" x14ac:dyDescent="0.25">
      <c r="A199" s="72"/>
      <c r="J199" s="72"/>
      <c r="K199" s="72"/>
      <c r="L199" s="72"/>
      <c r="M199" s="72"/>
      <c r="N199" s="72"/>
      <c r="O199" s="72"/>
      <c r="P199" s="72"/>
      <c r="Q199" s="72"/>
      <c r="R199" s="72"/>
      <c r="S199" s="72"/>
      <c r="T199" s="72"/>
      <c r="U199" s="72"/>
      <c r="V199" s="72"/>
      <c r="W199" s="72"/>
      <c r="X199" s="72"/>
      <c r="Y199" s="72"/>
      <c r="Z199" s="72"/>
      <c r="AA199" s="72"/>
      <c r="AB199" s="72"/>
      <c r="AC199" s="72"/>
      <c r="AD199" s="72"/>
      <c r="AE199" s="72"/>
      <c r="AF199" s="72"/>
      <c r="AG199" s="72"/>
      <c r="AH199" s="72"/>
      <c r="AI199" s="72"/>
      <c r="AJ199" s="72"/>
      <c r="AK199" s="72"/>
      <c r="AL199" s="72"/>
      <c r="AM199" s="72"/>
      <c r="AN199" s="72"/>
      <c r="AO199" s="72"/>
      <c r="AP199" s="72"/>
      <c r="AQ199" s="72"/>
      <c r="AR199" s="72"/>
      <c r="AS199" s="72"/>
      <c r="AT199" s="72"/>
      <c r="AU199" s="72"/>
      <c r="AV199" s="72"/>
      <c r="AW199" s="72"/>
      <c r="AX199" s="72"/>
      <c r="AY199" s="72"/>
      <c r="AZ199" s="72"/>
      <c r="BA199" s="72"/>
      <c r="BB199" s="72"/>
      <c r="BC199" s="72"/>
      <c r="BD199" s="72"/>
      <c r="BE199" s="72"/>
      <c r="BF199" s="72"/>
      <c r="BG199" s="72"/>
      <c r="BH199" s="72"/>
    </row>
    <row r="200" spans="1:60" x14ac:dyDescent="0.25">
      <c r="A200" s="72"/>
      <c r="J200" s="72"/>
      <c r="K200" s="72"/>
      <c r="L200" s="72"/>
      <c r="M200" s="72"/>
      <c r="N200" s="72"/>
      <c r="O200" s="72"/>
      <c r="P200" s="72"/>
      <c r="Q200" s="72"/>
      <c r="R200" s="72"/>
      <c r="S200" s="72"/>
      <c r="T200" s="72"/>
      <c r="U200" s="72"/>
      <c r="V200" s="72"/>
      <c r="W200" s="72"/>
      <c r="X200" s="72"/>
      <c r="Y200" s="72"/>
      <c r="Z200" s="72"/>
      <c r="AA200" s="72"/>
      <c r="AB200" s="72"/>
      <c r="AC200" s="72"/>
      <c r="AD200" s="72"/>
      <c r="AE200" s="72"/>
      <c r="AF200" s="72"/>
      <c r="AG200" s="72"/>
      <c r="AH200" s="72"/>
      <c r="AI200" s="72"/>
      <c r="AJ200" s="72"/>
      <c r="AK200" s="72"/>
      <c r="AL200" s="72"/>
      <c r="AM200" s="72"/>
      <c r="AN200" s="72"/>
      <c r="AO200" s="72"/>
      <c r="AP200" s="72"/>
      <c r="AQ200" s="72"/>
      <c r="AR200" s="72"/>
      <c r="AS200" s="72"/>
      <c r="AT200" s="72"/>
      <c r="AU200" s="72"/>
      <c r="AV200" s="72"/>
      <c r="AW200" s="72"/>
      <c r="AX200" s="72"/>
      <c r="AY200" s="72"/>
      <c r="AZ200" s="72"/>
      <c r="BA200" s="72"/>
      <c r="BB200" s="72"/>
      <c r="BC200" s="72"/>
      <c r="BD200" s="72"/>
      <c r="BE200" s="72"/>
      <c r="BF200" s="72"/>
      <c r="BG200" s="72"/>
      <c r="BH200" s="72"/>
    </row>
    <row r="201" spans="1:60" x14ac:dyDescent="0.25">
      <c r="A201" s="72"/>
      <c r="J201" s="72"/>
      <c r="K201" s="72"/>
      <c r="L201" s="72"/>
      <c r="M201" s="72"/>
      <c r="N201" s="72"/>
      <c r="O201" s="72"/>
      <c r="P201" s="72"/>
      <c r="Q201" s="72"/>
      <c r="R201" s="72"/>
      <c r="S201" s="72"/>
      <c r="T201" s="72"/>
      <c r="U201" s="72"/>
      <c r="V201" s="72"/>
      <c r="W201" s="72"/>
      <c r="X201" s="72"/>
      <c r="Y201" s="72"/>
      <c r="Z201" s="72"/>
      <c r="AA201" s="72"/>
      <c r="AB201" s="72"/>
      <c r="AC201" s="72"/>
      <c r="AD201" s="72"/>
      <c r="AE201" s="72"/>
      <c r="AF201" s="72"/>
      <c r="AG201" s="72"/>
      <c r="AH201" s="72"/>
      <c r="AI201" s="72"/>
      <c r="AJ201" s="72"/>
      <c r="AK201" s="72"/>
      <c r="AL201" s="72"/>
      <c r="AM201" s="72"/>
      <c r="AN201" s="72"/>
      <c r="AO201" s="72"/>
      <c r="AP201" s="72"/>
      <c r="AQ201" s="72"/>
      <c r="AR201" s="72"/>
      <c r="AS201" s="72"/>
      <c r="AT201" s="72"/>
      <c r="AU201" s="72"/>
      <c r="AV201" s="72"/>
      <c r="AW201" s="72"/>
      <c r="AX201" s="72"/>
      <c r="AY201" s="72"/>
      <c r="AZ201" s="72"/>
      <c r="BA201" s="72"/>
      <c r="BB201" s="72"/>
      <c r="BC201" s="72"/>
      <c r="BD201" s="72"/>
      <c r="BE201" s="72"/>
      <c r="BF201" s="72"/>
      <c r="BG201" s="72"/>
      <c r="BH201" s="72"/>
    </row>
    <row r="202" spans="1:60" x14ac:dyDescent="0.25">
      <c r="A202" s="72"/>
      <c r="J202" s="72"/>
      <c r="K202" s="72"/>
      <c r="L202" s="72"/>
      <c r="M202" s="72"/>
      <c r="N202" s="72"/>
      <c r="O202" s="72"/>
      <c r="P202" s="72"/>
      <c r="Q202" s="72"/>
      <c r="R202" s="72"/>
      <c r="S202" s="72"/>
      <c r="T202" s="72"/>
      <c r="U202" s="72"/>
      <c r="V202" s="72"/>
      <c r="W202" s="72"/>
      <c r="X202" s="72"/>
      <c r="Y202" s="72"/>
      <c r="Z202" s="72"/>
      <c r="AA202" s="72"/>
      <c r="AB202" s="72"/>
      <c r="AC202" s="72"/>
      <c r="AD202" s="72"/>
      <c r="AE202" s="72"/>
      <c r="AF202" s="72"/>
      <c r="AG202" s="72"/>
      <c r="AH202" s="72"/>
      <c r="AI202" s="72"/>
      <c r="AJ202" s="72"/>
      <c r="AK202" s="72"/>
      <c r="AL202" s="72"/>
      <c r="AM202" s="72"/>
      <c r="AN202" s="72"/>
      <c r="AO202" s="72"/>
      <c r="AP202" s="72"/>
      <c r="AQ202" s="72"/>
      <c r="AR202" s="72"/>
      <c r="AS202" s="72"/>
      <c r="AT202" s="72"/>
      <c r="AU202" s="72"/>
      <c r="AV202" s="72"/>
      <c r="AW202" s="72"/>
      <c r="AX202" s="72"/>
      <c r="AY202" s="72"/>
      <c r="AZ202" s="72"/>
      <c r="BA202" s="72"/>
      <c r="BB202" s="72"/>
      <c r="BC202" s="72"/>
      <c r="BD202" s="72"/>
      <c r="BE202" s="72"/>
      <c r="BF202" s="72"/>
      <c r="BG202" s="72"/>
      <c r="BH202" s="72"/>
    </row>
    <row r="203" spans="1:60" x14ac:dyDescent="0.25">
      <c r="A203" s="72"/>
      <c r="J203" s="72"/>
      <c r="K203" s="72"/>
      <c r="L203" s="72"/>
      <c r="M203" s="72"/>
      <c r="N203" s="72"/>
      <c r="O203" s="72"/>
      <c r="P203" s="72"/>
      <c r="Q203" s="72"/>
      <c r="R203" s="72"/>
      <c r="S203" s="72"/>
      <c r="T203" s="72"/>
      <c r="U203" s="72"/>
      <c r="V203" s="72"/>
      <c r="W203" s="72"/>
      <c r="X203" s="72"/>
      <c r="Y203" s="72"/>
      <c r="Z203" s="72"/>
      <c r="AA203" s="72"/>
      <c r="AB203" s="72"/>
      <c r="AC203" s="72"/>
      <c r="AD203" s="72"/>
      <c r="AE203" s="72"/>
      <c r="AF203" s="72"/>
      <c r="AG203" s="72"/>
      <c r="AH203" s="72"/>
      <c r="AI203" s="72"/>
      <c r="AJ203" s="72"/>
      <c r="AK203" s="72"/>
      <c r="AL203" s="72"/>
      <c r="AM203" s="72"/>
      <c r="AN203" s="72"/>
      <c r="AO203" s="72"/>
      <c r="AP203" s="72"/>
      <c r="AQ203" s="72"/>
      <c r="AR203" s="72"/>
      <c r="AS203" s="72"/>
      <c r="AT203" s="72"/>
      <c r="AU203" s="72"/>
      <c r="AV203" s="72"/>
      <c r="AW203" s="72"/>
      <c r="AX203" s="72"/>
      <c r="AY203" s="72"/>
      <c r="AZ203" s="72"/>
      <c r="BA203" s="72"/>
      <c r="BB203" s="72"/>
      <c r="BC203" s="72"/>
      <c r="BD203" s="72"/>
      <c r="BE203" s="72"/>
      <c r="BF203" s="72"/>
      <c r="BG203" s="72"/>
      <c r="BH203" s="72"/>
    </row>
    <row r="204" spans="1:60" x14ac:dyDescent="0.25">
      <c r="A204" s="72"/>
      <c r="J204" s="72"/>
      <c r="K204" s="72"/>
      <c r="L204" s="72"/>
      <c r="M204" s="72"/>
      <c r="N204" s="72"/>
      <c r="O204" s="72"/>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2"/>
      <c r="BG204" s="72"/>
      <c r="BH204" s="72"/>
    </row>
    <row r="205" spans="1:60" x14ac:dyDescent="0.25">
      <c r="A205" s="72"/>
      <c r="J205" s="72"/>
      <c r="K205" s="72"/>
      <c r="L205" s="72"/>
      <c r="M205" s="72"/>
      <c r="N205" s="72"/>
      <c r="O205" s="72"/>
      <c r="P205" s="72"/>
      <c r="Q205" s="72"/>
      <c r="R205" s="72"/>
      <c r="S205" s="72"/>
      <c r="T205" s="72"/>
      <c r="U205" s="72"/>
      <c r="V205" s="72"/>
      <c r="W205" s="72"/>
      <c r="X205" s="72"/>
      <c r="Y205" s="72"/>
      <c r="Z205" s="72"/>
      <c r="AA205" s="72"/>
      <c r="AB205" s="72"/>
      <c r="AC205" s="72"/>
      <c r="AD205" s="72"/>
      <c r="AE205" s="72"/>
      <c r="AF205" s="72"/>
      <c r="AG205" s="72"/>
      <c r="AH205" s="72"/>
      <c r="AI205" s="72"/>
      <c r="AJ205" s="72"/>
      <c r="AK205" s="72"/>
      <c r="AL205" s="72"/>
      <c r="AM205" s="72"/>
      <c r="AN205" s="72"/>
      <c r="AO205" s="72"/>
      <c r="AP205" s="72"/>
      <c r="AQ205" s="72"/>
      <c r="AR205" s="72"/>
      <c r="AS205" s="72"/>
      <c r="AT205" s="72"/>
      <c r="AU205" s="72"/>
      <c r="AV205" s="72"/>
      <c r="AW205" s="72"/>
      <c r="AX205" s="72"/>
      <c r="AY205" s="72"/>
      <c r="AZ205" s="72"/>
      <c r="BA205" s="72"/>
      <c r="BB205" s="72"/>
      <c r="BC205" s="72"/>
      <c r="BD205" s="72"/>
      <c r="BE205" s="72"/>
      <c r="BF205" s="72"/>
      <c r="BG205" s="72"/>
      <c r="BH205" s="72"/>
    </row>
    <row r="206" spans="1:60" x14ac:dyDescent="0.25">
      <c r="A206" s="72"/>
      <c r="J206" s="72"/>
      <c r="K206" s="72"/>
      <c r="L206" s="72"/>
      <c r="M206" s="72"/>
      <c r="N206" s="72"/>
      <c r="O206" s="72"/>
      <c r="P206" s="72"/>
      <c r="Q206" s="72"/>
      <c r="R206" s="72"/>
      <c r="S206" s="72"/>
      <c r="T206" s="72"/>
      <c r="U206" s="72"/>
      <c r="V206" s="72"/>
      <c r="W206" s="72"/>
      <c r="X206" s="72"/>
      <c r="Y206" s="72"/>
      <c r="Z206" s="72"/>
      <c r="AA206" s="72"/>
      <c r="AB206" s="72"/>
      <c r="AC206" s="72"/>
      <c r="AD206" s="72"/>
      <c r="AE206" s="72"/>
      <c r="AF206" s="72"/>
      <c r="AG206" s="72"/>
      <c r="AH206" s="72"/>
      <c r="AI206" s="72"/>
      <c r="AJ206" s="72"/>
      <c r="AK206" s="72"/>
      <c r="AL206" s="72"/>
      <c r="AM206" s="72"/>
      <c r="AN206" s="72"/>
      <c r="AO206" s="72"/>
      <c r="AP206" s="72"/>
      <c r="AQ206" s="72"/>
      <c r="AR206" s="72"/>
      <c r="AS206" s="72"/>
      <c r="AT206" s="72"/>
      <c r="AU206" s="72"/>
      <c r="AV206" s="72"/>
      <c r="AW206" s="72"/>
      <c r="AX206" s="72"/>
      <c r="AY206" s="72"/>
      <c r="AZ206" s="72"/>
      <c r="BA206" s="72"/>
      <c r="BB206" s="72"/>
      <c r="BC206" s="72"/>
      <c r="BD206" s="72"/>
      <c r="BE206" s="72"/>
      <c r="BF206" s="72"/>
      <c r="BG206" s="72"/>
      <c r="BH206" s="72"/>
    </row>
    <row r="207" spans="1:60" x14ac:dyDescent="0.25">
      <c r="A207" s="72"/>
      <c r="J207" s="72"/>
      <c r="K207" s="72"/>
      <c r="L207" s="72"/>
      <c r="M207" s="72"/>
      <c r="N207" s="72"/>
      <c r="O207" s="72"/>
      <c r="P207" s="72"/>
      <c r="Q207" s="72"/>
      <c r="R207" s="72"/>
      <c r="S207" s="72"/>
      <c r="T207" s="72"/>
      <c r="U207" s="72"/>
      <c r="V207" s="72"/>
      <c r="W207" s="72"/>
      <c r="X207" s="72"/>
      <c r="Y207" s="72"/>
      <c r="Z207" s="72"/>
      <c r="AA207" s="72"/>
      <c r="AB207" s="72"/>
      <c r="AC207" s="72"/>
      <c r="AD207" s="72"/>
      <c r="AE207" s="72"/>
      <c r="AF207" s="72"/>
      <c r="AG207" s="72"/>
      <c r="AH207" s="72"/>
      <c r="AI207" s="72"/>
      <c r="AJ207" s="72"/>
      <c r="AK207" s="72"/>
      <c r="AL207" s="72"/>
      <c r="AM207" s="72"/>
      <c r="AN207" s="72"/>
      <c r="AO207" s="72"/>
      <c r="AP207" s="72"/>
      <c r="AQ207" s="72"/>
      <c r="AR207" s="72"/>
      <c r="AS207" s="72"/>
      <c r="AT207" s="72"/>
      <c r="AU207" s="72"/>
      <c r="AV207" s="72"/>
      <c r="AW207" s="72"/>
      <c r="AX207" s="72"/>
      <c r="AY207" s="72"/>
      <c r="AZ207" s="72"/>
      <c r="BA207" s="72"/>
      <c r="BB207" s="72"/>
      <c r="BC207" s="72"/>
      <c r="BD207" s="72"/>
      <c r="BE207" s="72"/>
      <c r="BF207" s="72"/>
      <c r="BG207" s="72"/>
      <c r="BH207" s="72"/>
    </row>
    <row r="208" spans="1:60" x14ac:dyDescent="0.25">
      <c r="A208" s="72"/>
      <c r="J208" s="72"/>
      <c r="K208" s="72"/>
      <c r="L208" s="72"/>
      <c r="M208" s="72"/>
      <c r="N208" s="72"/>
      <c r="O208" s="72"/>
      <c r="P208" s="72"/>
      <c r="Q208" s="72"/>
      <c r="R208" s="72"/>
      <c r="S208" s="72"/>
      <c r="T208" s="72"/>
      <c r="U208" s="72"/>
      <c r="V208" s="72"/>
      <c r="W208" s="72"/>
      <c r="X208" s="72"/>
      <c r="Y208" s="72"/>
      <c r="Z208" s="72"/>
      <c r="AA208" s="72"/>
      <c r="AB208" s="72"/>
      <c r="AC208" s="72"/>
      <c r="AD208" s="72"/>
      <c r="AE208" s="72"/>
      <c r="AF208" s="72"/>
      <c r="AG208" s="72"/>
      <c r="AH208" s="72"/>
      <c r="AI208" s="72"/>
      <c r="AJ208" s="72"/>
      <c r="AK208" s="72"/>
      <c r="AL208" s="72"/>
      <c r="AM208" s="72"/>
      <c r="AN208" s="72"/>
      <c r="AO208" s="72"/>
      <c r="AP208" s="72"/>
      <c r="AQ208" s="72"/>
      <c r="AR208" s="72"/>
      <c r="AS208" s="72"/>
      <c r="AT208" s="72"/>
      <c r="AU208" s="72"/>
      <c r="AV208" s="72"/>
      <c r="AW208" s="72"/>
      <c r="AX208" s="72"/>
      <c r="AY208" s="72"/>
      <c r="AZ208" s="72"/>
      <c r="BA208" s="72"/>
      <c r="BB208" s="72"/>
      <c r="BC208" s="72"/>
      <c r="BD208" s="72"/>
      <c r="BE208" s="72"/>
      <c r="BF208" s="72"/>
      <c r="BG208" s="72"/>
      <c r="BH208" s="72"/>
    </row>
    <row r="209" spans="1:60" x14ac:dyDescent="0.25">
      <c r="A209" s="72"/>
      <c r="J209" s="72"/>
      <c r="K209" s="72"/>
      <c r="L209" s="72"/>
      <c r="M209" s="72"/>
      <c r="N209" s="72"/>
      <c r="O209" s="72"/>
      <c r="P209" s="72"/>
      <c r="Q209" s="72"/>
      <c r="R209" s="72"/>
      <c r="S209" s="72"/>
      <c r="T209" s="72"/>
      <c r="U209" s="72"/>
      <c r="V209" s="72"/>
      <c r="W209" s="72"/>
      <c r="X209" s="72"/>
      <c r="Y209" s="72"/>
      <c r="Z209" s="72"/>
      <c r="AA209" s="72"/>
      <c r="AB209" s="72"/>
      <c r="AC209" s="72"/>
      <c r="AD209" s="72"/>
      <c r="AE209" s="72"/>
      <c r="AF209" s="72"/>
      <c r="AG209" s="72"/>
      <c r="AH209" s="72"/>
      <c r="AI209" s="72"/>
      <c r="AJ209" s="72"/>
      <c r="AK209" s="72"/>
      <c r="AL209" s="72"/>
      <c r="AM209" s="72"/>
      <c r="AN209" s="72"/>
      <c r="AO209" s="72"/>
      <c r="AP209" s="72"/>
      <c r="AQ209" s="72"/>
      <c r="AR209" s="72"/>
      <c r="AS209" s="72"/>
      <c r="AT209" s="72"/>
      <c r="AU209" s="72"/>
      <c r="AV209" s="72"/>
      <c r="AW209" s="72"/>
      <c r="AX209" s="72"/>
      <c r="AY209" s="72"/>
      <c r="AZ209" s="72"/>
      <c r="BA209" s="72"/>
      <c r="BB209" s="72"/>
      <c r="BC209" s="72"/>
      <c r="BD209" s="72"/>
      <c r="BE209" s="72"/>
      <c r="BF209" s="72"/>
      <c r="BG209" s="72"/>
      <c r="BH209" s="72"/>
    </row>
    <row r="210" spans="1:60" x14ac:dyDescent="0.25">
      <c r="A210" s="72"/>
      <c r="J210" s="72"/>
      <c r="K210" s="72"/>
      <c r="L210" s="72"/>
      <c r="M210" s="72"/>
      <c r="N210" s="72"/>
      <c r="O210" s="72"/>
      <c r="P210" s="72"/>
      <c r="Q210" s="72"/>
      <c r="R210" s="72"/>
      <c r="S210" s="72"/>
      <c r="T210" s="72"/>
      <c r="U210" s="72"/>
      <c r="V210" s="72"/>
      <c r="W210" s="72"/>
      <c r="X210" s="72"/>
      <c r="Y210" s="72"/>
      <c r="Z210" s="72"/>
      <c r="AA210" s="72"/>
      <c r="AB210" s="72"/>
      <c r="AC210" s="72"/>
      <c r="AD210" s="72"/>
      <c r="AE210" s="72"/>
      <c r="AF210" s="72"/>
      <c r="AG210" s="72"/>
      <c r="AH210" s="72"/>
      <c r="AI210" s="72"/>
      <c r="AJ210" s="72"/>
      <c r="AK210" s="72"/>
      <c r="AL210" s="72"/>
      <c r="AM210" s="72"/>
      <c r="AN210" s="72"/>
      <c r="AO210" s="72"/>
      <c r="AP210" s="72"/>
      <c r="AQ210" s="72"/>
      <c r="AR210" s="72"/>
      <c r="AS210" s="72"/>
      <c r="AT210" s="72"/>
      <c r="AU210" s="72"/>
      <c r="AV210" s="72"/>
      <c r="AW210" s="72"/>
      <c r="AX210" s="72"/>
      <c r="AY210" s="72"/>
      <c r="AZ210" s="72"/>
      <c r="BA210" s="72"/>
      <c r="BB210" s="72"/>
      <c r="BC210" s="72"/>
      <c r="BD210" s="72"/>
      <c r="BE210" s="72"/>
      <c r="BF210" s="72"/>
      <c r="BG210" s="72"/>
      <c r="BH210" s="72"/>
    </row>
    <row r="211" spans="1:60" x14ac:dyDescent="0.25">
      <c r="A211" s="72"/>
      <c r="J211" s="72"/>
      <c r="K211" s="72"/>
      <c r="L211" s="72"/>
      <c r="M211" s="72"/>
      <c r="N211" s="72"/>
      <c r="O211" s="72"/>
      <c r="P211" s="72"/>
      <c r="Q211" s="72"/>
      <c r="R211" s="72"/>
      <c r="S211" s="72"/>
      <c r="T211" s="72"/>
      <c r="U211" s="72"/>
      <c r="V211" s="72"/>
      <c r="W211" s="72"/>
      <c r="X211" s="72"/>
      <c r="Y211" s="72"/>
      <c r="Z211" s="72"/>
      <c r="AA211" s="72"/>
      <c r="AB211" s="72"/>
      <c r="AC211" s="72"/>
      <c r="AD211" s="72"/>
      <c r="AE211" s="72"/>
      <c r="AF211" s="72"/>
      <c r="AG211" s="72"/>
      <c r="AH211" s="72"/>
      <c r="AI211" s="72"/>
      <c r="AJ211" s="72"/>
      <c r="AK211" s="72"/>
      <c r="AL211" s="72"/>
      <c r="AM211" s="72"/>
      <c r="AN211" s="72"/>
      <c r="AO211" s="72"/>
      <c r="AP211" s="72"/>
      <c r="AQ211" s="72"/>
      <c r="AR211" s="72"/>
      <c r="AS211" s="72"/>
      <c r="AT211" s="72"/>
      <c r="AU211" s="72"/>
      <c r="AV211" s="72"/>
      <c r="AW211" s="72"/>
      <c r="AX211" s="72"/>
      <c r="AY211" s="72"/>
      <c r="AZ211" s="72"/>
      <c r="BA211" s="72"/>
      <c r="BB211" s="72"/>
      <c r="BC211" s="72"/>
      <c r="BD211" s="72"/>
      <c r="BE211" s="72"/>
      <c r="BF211" s="72"/>
      <c r="BG211" s="72"/>
      <c r="BH211" s="72"/>
    </row>
    <row r="212" spans="1:60" x14ac:dyDescent="0.25">
      <c r="A212" s="72"/>
      <c r="J212" s="72"/>
      <c r="K212" s="72"/>
      <c r="L212" s="72"/>
      <c r="M212" s="72"/>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row>
    <row r="213" spans="1:60" x14ac:dyDescent="0.25">
      <c r="A213" s="72"/>
      <c r="J213" s="72"/>
      <c r="K213" s="72"/>
      <c r="L213" s="72"/>
      <c r="M213" s="72"/>
      <c r="N213" s="72"/>
      <c r="O213" s="72"/>
      <c r="P213" s="72"/>
      <c r="Q213" s="72"/>
      <c r="R213" s="72"/>
      <c r="S213" s="72"/>
      <c r="T213" s="72"/>
      <c r="U213" s="72"/>
      <c r="V213" s="72"/>
      <c r="W213" s="72"/>
      <c r="X213" s="72"/>
      <c r="Y213" s="72"/>
      <c r="Z213" s="72"/>
      <c r="AA213" s="72"/>
      <c r="AB213" s="72"/>
      <c r="AC213" s="72"/>
      <c r="AD213" s="72"/>
      <c r="AE213" s="72"/>
      <c r="AF213" s="72"/>
      <c r="AG213" s="72"/>
      <c r="AH213" s="72"/>
      <c r="AI213" s="72"/>
      <c r="AJ213" s="72"/>
      <c r="AK213" s="72"/>
      <c r="AL213" s="72"/>
      <c r="AM213" s="72"/>
      <c r="AN213" s="72"/>
      <c r="AO213" s="72"/>
      <c r="AP213" s="72"/>
      <c r="AQ213" s="72"/>
      <c r="AR213" s="72"/>
      <c r="AS213" s="72"/>
      <c r="AT213" s="72"/>
      <c r="AU213" s="72"/>
      <c r="AV213" s="72"/>
      <c r="AW213" s="72"/>
      <c r="AX213" s="72"/>
      <c r="AY213" s="72"/>
      <c r="AZ213" s="72"/>
      <c r="BA213" s="72"/>
      <c r="BB213" s="72"/>
      <c r="BC213" s="72"/>
      <c r="BD213" s="72"/>
      <c r="BE213" s="72"/>
      <c r="BF213" s="72"/>
      <c r="BG213" s="72"/>
      <c r="BH213" s="72"/>
    </row>
    <row r="214" spans="1:60" x14ac:dyDescent="0.25">
      <c r="A214" s="72"/>
      <c r="J214" s="72"/>
      <c r="K214" s="72"/>
      <c r="L214" s="72"/>
      <c r="M214" s="72"/>
      <c r="N214" s="72"/>
      <c r="O214" s="72"/>
      <c r="P214" s="72"/>
      <c r="Q214" s="72"/>
      <c r="R214" s="72"/>
      <c r="S214" s="72"/>
      <c r="T214" s="72"/>
      <c r="U214" s="72"/>
      <c r="V214" s="72"/>
      <c r="W214" s="72"/>
      <c r="X214" s="72"/>
      <c r="Y214" s="72"/>
      <c r="Z214" s="72"/>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c r="AY214" s="72"/>
      <c r="AZ214" s="72"/>
      <c r="BA214" s="72"/>
      <c r="BB214" s="72"/>
      <c r="BC214" s="72"/>
      <c r="BD214" s="72"/>
      <c r="BE214" s="72"/>
      <c r="BF214" s="72"/>
      <c r="BG214" s="72"/>
      <c r="BH214" s="72"/>
    </row>
    <row r="215" spans="1:60" x14ac:dyDescent="0.25">
      <c r="A215" s="72"/>
      <c r="J215" s="72"/>
      <c r="K215" s="72"/>
      <c r="L215" s="72"/>
      <c r="M215" s="72"/>
      <c r="N215" s="72"/>
      <c r="O215" s="72"/>
      <c r="P215" s="72"/>
      <c r="Q215" s="72"/>
      <c r="R215" s="72"/>
      <c r="S215" s="72"/>
      <c r="T215" s="72"/>
      <c r="U215" s="72"/>
      <c r="V215" s="72"/>
      <c r="W215" s="72"/>
      <c r="X215" s="72"/>
      <c r="Y215" s="72"/>
      <c r="Z215" s="72"/>
      <c r="AA215" s="72"/>
      <c r="AB215" s="72"/>
      <c r="AC215" s="72"/>
      <c r="AD215" s="72"/>
      <c r="AE215" s="72"/>
      <c r="AF215" s="72"/>
      <c r="AG215" s="72"/>
      <c r="AH215" s="72"/>
      <c r="AI215" s="72"/>
      <c r="AJ215" s="72"/>
      <c r="AK215" s="72"/>
      <c r="AL215" s="72"/>
      <c r="AM215" s="72"/>
      <c r="AN215" s="72"/>
      <c r="AO215" s="72"/>
      <c r="AP215" s="72"/>
      <c r="AQ215" s="72"/>
      <c r="AR215" s="72"/>
      <c r="AS215" s="72"/>
      <c r="AT215" s="72"/>
      <c r="AU215" s="72"/>
      <c r="AV215" s="72"/>
      <c r="AW215" s="72"/>
      <c r="AX215" s="72"/>
      <c r="AY215" s="72"/>
      <c r="AZ215" s="72"/>
      <c r="BA215" s="72"/>
      <c r="BB215" s="72"/>
      <c r="BC215" s="72"/>
      <c r="BD215" s="72"/>
      <c r="BE215" s="72"/>
      <c r="BF215" s="72"/>
      <c r="BG215" s="72"/>
      <c r="BH215" s="72"/>
    </row>
    <row r="216" spans="1:60" x14ac:dyDescent="0.25">
      <c r="A216" s="72"/>
      <c r="J216" s="72"/>
      <c r="K216" s="72"/>
      <c r="L216" s="72"/>
      <c r="M216" s="72"/>
      <c r="N216" s="72"/>
      <c r="O216" s="72"/>
      <c r="P216" s="72"/>
      <c r="Q216" s="72"/>
      <c r="R216" s="72"/>
      <c r="S216" s="72"/>
      <c r="T216" s="72"/>
      <c r="U216" s="72"/>
      <c r="V216" s="72"/>
      <c r="W216" s="72"/>
      <c r="X216" s="72"/>
      <c r="Y216" s="72"/>
      <c r="Z216" s="72"/>
      <c r="AA216" s="72"/>
      <c r="AB216" s="72"/>
      <c r="AC216" s="72"/>
      <c r="AD216" s="72"/>
      <c r="AE216" s="72"/>
      <c r="AF216" s="72"/>
      <c r="AG216" s="72"/>
      <c r="AH216" s="72"/>
      <c r="AI216" s="72"/>
      <c r="AJ216" s="72"/>
      <c r="AK216" s="72"/>
      <c r="AL216" s="72"/>
      <c r="AM216" s="72"/>
      <c r="AN216" s="72"/>
      <c r="AO216" s="72"/>
      <c r="AP216" s="72"/>
      <c r="AQ216" s="72"/>
      <c r="AR216" s="72"/>
      <c r="AS216" s="72"/>
      <c r="AT216" s="72"/>
      <c r="AU216" s="72"/>
      <c r="AV216" s="72"/>
      <c r="AW216" s="72"/>
      <c r="AX216" s="72"/>
      <c r="AY216" s="72"/>
      <c r="AZ216" s="72"/>
      <c r="BA216" s="72"/>
      <c r="BB216" s="72"/>
      <c r="BC216" s="72"/>
      <c r="BD216" s="72"/>
      <c r="BE216" s="72"/>
      <c r="BF216" s="72"/>
      <c r="BG216" s="72"/>
      <c r="BH216" s="72"/>
    </row>
    <row r="217" spans="1:60" x14ac:dyDescent="0.25">
      <c r="A217" s="72"/>
      <c r="J217" s="72"/>
      <c r="K217" s="72"/>
      <c r="L217" s="72"/>
      <c r="M217" s="72"/>
      <c r="N217" s="72"/>
      <c r="O217" s="72"/>
      <c r="P217" s="72"/>
      <c r="Q217" s="72"/>
      <c r="R217" s="72"/>
      <c r="S217" s="72"/>
      <c r="T217" s="72"/>
      <c r="U217" s="72"/>
      <c r="V217" s="72"/>
      <c r="W217" s="72"/>
      <c r="X217" s="72"/>
      <c r="Y217" s="72"/>
      <c r="Z217" s="72"/>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c r="BH217" s="72"/>
    </row>
    <row r="218" spans="1:60" x14ac:dyDescent="0.25">
      <c r="A218" s="72"/>
      <c r="J218" s="72"/>
      <c r="K218" s="72"/>
      <c r="L218" s="72"/>
      <c r="M218" s="72"/>
      <c r="N218" s="72"/>
      <c r="O218" s="72"/>
      <c r="P218" s="72"/>
      <c r="Q218" s="72"/>
      <c r="R218" s="72"/>
      <c r="S218" s="72"/>
      <c r="T218" s="72"/>
      <c r="U218" s="72"/>
      <c r="V218" s="72"/>
      <c r="W218" s="72"/>
      <c r="X218" s="72"/>
      <c r="Y218" s="72"/>
      <c r="Z218" s="72"/>
      <c r="AA218" s="72"/>
      <c r="AB218" s="72"/>
      <c r="AC218" s="72"/>
      <c r="AD218" s="72"/>
      <c r="AE218" s="72"/>
      <c r="AF218" s="72"/>
      <c r="AG218" s="72"/>
      <c r="AH218" s="72"/>
      <c r="AI218" s="72"/>
      <c r="AJ218" s="72"/>
      <c r="AK218" s="72"/>
      <c r="AL218" s="72"/>
      <c r="AM218" s="72"/>
      <c r="AN218" s="72"/>
      <c r="AO218" s="72"/>
      <c r="AP218" s="72"/>
      <c r="AQ218" s="72"/>
      <c r="AR218" s="72"/>
      <c r="AS218" s="72"/>
      <c r="AT218" s="72"/>
      <c r="AU218" s="72"/>
      <c r="AV218" s="72"/>
      <c r="AW218" s="72"/>
      <c r="AX218" s="72"/>
      <c r="AY218" s="72"/>
      <c r="AZ218" s="72"/>
      <c r="BA218" s="72"/>
      <c r="BB218" s="72"/>
      <c r="BC218" s="72"/>
      <c r="BD218" s="72"/>
      <c r="BE218" s="72"/>
      <c r="BF218" s="72"/>
      <c r="BG218" s="72"/>
      <c r="BH218" s="72"/>
    </row>
    <row r="219" spans="1:60" x14ac:dyDescent="0.25">
      <c r="A219" s="72"/>
      <c r="J219" s="72"/>
      <c r="K219" s="72"/>
      <c r="L219" s="72"/>
      <c r="M219" s="72"/>
      <c r="N219" s="72"/>
      <c r="O219" s="72"/>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row>
    <row r="220" spans="1:60" x14ac:dyDescent="0.25">
      <c r="A220" s="72"/>
      <c r="J220" s="72"/>
      <c r="K220" s="72"/>
      <c r="L220" s="72"/>
      <c r="M220" s="72"/>
      <c r="N220" s="72"/>
      <c r="O220" s="72"/>
      <c r="P220" s="72"/>
      <c r="Q220" s="72"/>
      <c r="R220" s="72"/>
      <c r="S220" s="72"/>
      <c r="T220" s="72"/>
      <c r="U220" s="72"/>
      <c r="V220" s="72"/>
      <c r="W220" s="72"/>
      <c r="X220" s="72"/>
      <c r="Y220" s="72"/>
      <c r="Z220" s="72"/>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c r="BH220" s="72"/>
    </row>
    <row r="221" spans="1:60" x14ac:dyDescent="0.25">
      <c r="A221" s="72"/>
      <c r="J221" s="72"/>
      <c r="K221" s="72"/>
      <c r="L221" s="72"/>
      <c r="M221" s="72"/>
      <c r="N221" s="72"/>
      <c r="O221" s="72"/>
      <c r="P221" s="72"/>
      <c r="Q221" s="72"/>
      <c r="R221" s="72"/>
      <c r="S221" s="72"/>
      <c r="T221" s="72"/>
      <c r="U221" s="72"/>
      <c r="V221" s="72"/>
      <c r="W221" s="72"/>
      <c r="X221" s="72"/>
      <c r="Y221" s="72"/>
      <c r="Z221" s="72"/>
      <c r="AA221" s="72"/>
      <c r="AB221" s="72"/>
      <c r="AC221" s="72"/>
      <c r="AD221" s="72"/>
      <c r="AE221" s="72"/>
      <c r="AF221" s="72"/>
      <c r="AG221" s="72"/>
      <c r="AH221" s="72"/>
      <c r="AI221" s="72"/>
      <c r="AJ221" s="72"/>
      <c r="AK221" s="72"/>
      <c r="AL221" s="72"/>
      <c r="AM221" s="72"/>
      <c r="AN221" s="72"/>
      <c r="AO221" s="72"/>
      <c r="AP221" s="72"/>
      <c r="AQ221" s="72"/>
      <c r="AR221" s="72"/>
      <c r="AS221" s="72"/>
      <c r="AT221" s="72"/>
      <c r="AU221" s="72"/>
      <c r="AV221" s="72"/>
      <c r="AW221" s="72"/>
      <c r="AX221" s="72"/>
      <c r="AY221" s="72"/>
      <c r="AZ221" s="72"/>
      <c r="BA221" s="72"/>
      <c r="BB221" s="72"/>
      <c r="BC221" s="72"/>
      <c r="BD221" s="72"/>
      <c r="BE221" s="72"/>
      <c r="BF221" s="72"/>
      <c r="BG221" s="72"/>
      <c r="BH221" s="72"/>
    </row>
    <row r="222" spans="1:60" x14ac:dyDescent="0.25">
      <c r="A222" s="72"/>
      <c r="J222" s="72"/>
      <c r="K222" s="72"/>
      <c r="L222" s="72"/>
      <c r="M222" s="72"/>
      <c r="N222" s="72"/>
      <c r="O222" s="72"/>
      <c r="P222" s="72"/>
      <c r="Q222" s="72"/>
      <c r="R222" s="72"/>
      <c r="S222" s="72"/>
      <c r="T222" s="72"/>
      <c r="U222" s="72"/>
      <c r="V222" s="72"/>
      <c r="W222" s="72"/>
      <c r="X222" s="72"/>
      <c r="Y222" s="72"/>
      <c r="Z222" s="72"/>
      <c r="AA222" s="72"/>
      <c r="AB222" s="72"/>
      <c r="AC222" s="72"/>
      <c r="AD222" s="72"/>
      <c r="AE222" s="72"/>
      <c r="AF222" s="72"/>
      <c r="AG222" s="72"/>
      <c r="AH222" s="72"/>
      <c r="AI222" s="72"/>
      <c r="AJ222" s="72"/>
      <c r="AK222" s="72"/>
      <c r="AL222" s="72"/>
      <c r="AM222" s="72"/>
      <c r="AN222" s="72"/>
      <c r="AO222" s="72"/>
      <c r="AP222" s="72"/>
      <c r="AQ222" s="72"/>
      <c r="AR222" s="72"/>
      <c r="AS222" s="72"/>
      <c r="AT222" s="72"/>
      <c r="AU222" s="72"/>
      <c r="AV222" s="72"/>
      <c r="AW222" s="72"/>
      <c r="AX222" s="72"/>
      <c r="AY222" s="72"/>
      <c r="AZ222" s="72"/>
      <c r="BA222" s="72"/>
      <c r="BB222" s="72"/>
      <c r="BC222" s="72"/>
      <c r="BD222" s="72"/>
      <c r="BE222" s="72"/>
      <c r="BF222" s="72"/>
      <c r="BG222" s="72"/>
      <c r="BH222" s="72"/>
    </row>
    <row r="223" spans="1:60" x14ac:dyDescent="0.25">
      <c r="A223" s="72"/>
      <c r="J223" s="72"/>
      <c r="K223" s="72"/>
      <c r="L223" s="72"/>
      <c r="M223" s="72"/>
      <c r="N223" s="72"/>
      <c r="O223" s="72"/>
      <c r="P223" s="72"/>
      <c r="Q223" s="72"/>
      <c r="R223" s="72"/>
      <c r="S223" s="72"/>
      <c r="T223" s="72"/>
      <c r="U223" s="72"/>
      <c r="V223" s="72"/>
      <c r="W223" s="72"/>
      <c r="X223" s="72"/>
      <c r="Y223" s="72"/>
      <c r="Z223" s="72"/>
      <c r="AA223" s="72"/>
      <c r="AB223" s="72"/>
      <c r="AC223" s="72"/>
      <c r="AD223" s="72"/>
      <c r="AE223" s="72"/>
      <c r="AF223" s="72"/>
      <c r="AG223" s="72"/>
      <c r="AH223" s="72"/>
      <c r="AI223" s="72"/>
      <c r="AJ223" s="72"/>
      <c r="AK223" s="72"/>
      <c r="AL223" s="72"/>
      <c r="AM223" s="72"/>
      <c r="AN223" s="72"/>
      <c r="AO223" s="72"/>
      <c r="AP223" s="72"/>
      <c r="AQ223" s="72"/>
      <c r="AR223" s="72"/>
      <c r="AS223" s="72"/>
      <c r="AT223" s="72"/>
      <c r="AU223" s="72"/>
      <c r="AV223" s="72"/>
      <c r="AW223" s="72"/>
      <c r="AX223" s="72"/>
      <c r="AY223" s="72"/>
      <c r="AZ223" s="72"/>
      <c r="BA223" s="72"/>
      <c r="BB223" s="72"/>
      <c r="BC223" s="72"/>
      <c r="BD223" s="72"/>
      <c r="BE223" s="72"/>
      <c r="BF223" s="72"/>
      <c r="BG223" s="72"/>
      <c r="BH223" s="72"/>
    </row>
    <row r="224" spans="1:60" x14ac:dyDescent="0.25">
      <c r="A224" s="72"/>
      <c r="J224" s="72"/>
      <c r="K224" s="72"/>
      <c r="L224" s="72"/>
      <c r="M224" s="72"/>
      <c r="N224" s="72"/>
      <c r="O224" s="72"/>
      <c r="P224" s="72"/>
      <c r="Q224" s="72"/>
      <c r="R224" s="72"/>
      <c r="S224" s="72"/>
      <c r="T224" s="72"/>
      <c r="U224" s="72"/>
      <c r="V224" s="72"/>
      <c r="W224" s="72"/>
      <c r="X224" s="72"/>
      <c r="Y224" s="72"/>
      <c r="Z224" s="72"/>
      <c r="AA224" s="72"/>
      <c r="AB224" s="72"/>
      <c r="AC224" s="72"/>
      <c r="AD224" s="72"/>
      <c r="AE224" s="72"/>
      <c r="AF224" s="72"/>
      <c r="AG224" s="72"/>
      <c r="AH224" s="72"/>
      <c r="AI224" s="72"/>
      <c r="AJ224" s="72"/>
      <c r="AK224" s="72"/>
      <c r="AL224" s="72"/>
      <c r="AM224" s="72"/>
      <c r="AN224" s="72"/>
      <c r="AO224" s="72"/>
      <c r="AP224" s="72"/>
      <c r="AQ224" s="72"/>
      <c r="AR224" s="72"/>
      <c r="AS224" s="72"/>
      <c r="AT224" s="72"/>
      <c r="AU224" s="72"/>
      <c r="AV224" s="72"/>
      <c r="AW224" s="72"/>
      <c r="AX224" s="72"/>
      <c r="AY224" s="72"/>
      <c r="AZ224" s="72"/>
      <c r="BA224" s="72"/>
      <c r="BB224" s="72"/>
      <c r="BC224" s="72"/>
      <c r="BD224" s="72"/>
      <c r="BE224" s="72"/>
      <c r="BF224" s="72"/>
      <c r="BG224" s="72"/>
      <c r="BH224" s="72"/>
    </row>
    <row r="225" spans="1:60" x14ac:dyDescent="0.25">
      <c r="A225" s="72"/>
      <c r="J225" s="72"/>
      <c r="K225" s="72"/>
      <c r="L225" s="72"/>
      <c r="M225" s="72"/>
      <c r="N225" s="72"/>
      <c r="O225" s="72"/>
      <c r="P225" s="72"/>
      <c r="Q225" s="72"/>
      <c r="R225" s="72"/>
      <c r="S225" s="72"/>
      <c r="T225" s="72"/>
      <c r="U225" s="72"/>
      <c r="V225" s="72"/>
      <c r="W225" s="72"/>
      <c r="X225" s="72"/>
      <c r="Y225" s="72"/>
      <c r="Z225" s="72"/>
      <c r="AA225" s="72"/>
      <c r="AB225" s="72"/>
      <c r="AC225" s="72"/>
      <c r="AD225" s="72"/>
      <c r="AE225" s="72"/>
      <c r="AF225" s="72"/>
      <c r="AG225" s="72"/>
      <c r="AH225" s="72"/>
      <c r="AI225" s="72"/>
      <c r="AJ225" s="72"/>
      <c r="AK225" s="72"/>
      <c r="AL225" s="72"/>
      <c r="AM225" s="72"/>
      <c r="AN225" s="72"/>
      <c r="AO225" s="72"/>
      <c r="AP225" s="72"/>
      <c r="AQ225" s="72"/>
      <c r="AR225" s="72"/>
      <c r="AS225" s="72"/>
      <c r="AT225" s="72"/>
      <c r="AU225" s="72"/>
      <c r="AV225" s="72"/>
      <c r="AW225" s="72"/>
      <c r="AX225" s="72"/>
      <c r="AY225" s="72"/>
      <c r="AZ225" s="72"/>
      <c r="BA225" s="72"/>
      <c r="BB225" s="72"/>
      <c r="BC225" s="72"/>
      <c r="BD225" s="72"/>
      <c r="BE225" s="72"/>
      <c r="BF225" s="72"/>
      <c r="BG225" s="72"/>
      <c r="BH225" s="72"/>
    </row>
    <row r="226" spans="1:60" x14ac:dyDescent="0.25">
      <c r="A226" s="72"/>
      <c r="J226" s="72"/>
      <c r="K226" s="72"/>
      <c r="L226" s="72"/>
      <c r="M226" s="72"/>
      <c r="N226" s="72"/>
      <c r="O226" s="72"/>
      <c r="P226" s="72"/>
      <c r="Q226" s="72"/>
      <c r="R226" s="72"/>
      <c r="S226" s="72"/>
      <c r="T226" s="72"/>
      <c r="U226" s="72"/>
      <c r="V226" s="72"/>
      <c r="W226" s="72"/>
      <c r="X226" s="72"/>
      <c r="Y226" s="72"/>
      <c r="Z226" s="72"/>
      <c r="AA226" s="72"/>
      <c r="AB226" s="72"/>
      <c r="AC226" s="72"/>
      <c r="AD226" s="72"/>
      <c r="AE226" s="72"/>
      <c r="AF226" s="72"/>
      <c r="AG226" s="72"/>
      <c r="AH226" s="72"/>
      <c r="AI226" s="72"/>
      <c r="AJ226" s="72"/>
      <c r="AK226" s="72"/>
      <c r="AL226" s="72"/>
      <c r="AM226" s="72"/>
      <c r="AN226" s="72"/>
      <c r="AO226" s="72"/>
      <c r="AP226" s="72"/>
      <c r="AQ226" s="72"/>
      <c r="AR226" s="72"/>
      <c r="AS226" s="72"/>
      <c r="AT226" s="72"/>
      <c r="AU226" s="72"/>
      <c r="AV226" s="72"/>
      <c r="AW226" s="72"/>
      <c r="AX226" s="72"/>
      <c r="AY226" s="72"/>
      <c r="AZ226" s="72"/>
      <c r="BA226" s="72"/>
      <c r="BB226" s="72"/>
      <c r="BC226" s="72"/>
      <c r="BD226" s="72"/>
      <c r="BE226" s="72"/>
      <c r="BF226" s="72"/>
      <c r="BG226" s="72"/>
      <c r="BH226" s="72"/>
    </row>
    <row r="227" spans="1:60" x14ac:dyDescent="0.25">
      <c r="A227" s="72"/>
      <c r="J227" s="72"/>
      <c r="K227" s="72"/>
      <c r="L227" s="72"/>
      <c r="M227" s="72"/>
      <c r="N227" s="72"/>
      <c r="O227" s="72"/>
      <c r="P227" s="72"/>
      <c r="Q227" s="72"/>
      <c r="R227" s="72"/>
      <c r="S227" s="72"/>
      <c r="T227" s="72"/>
      <c r="U227" s="72"/>
      <c r="V227" s="72"/>
      <c r="W227" s="72"/>
      <c r="X227" s="72"/>
      <c r="Y227" s="72"/>
      <c r="Z227" s="72"/>
      <c r="AA227" s="72"/>
      <c r="AB227" s="72"/>
      <c r="AC227" s="72"/>
      <c r="AD227" s="72"/>
      <c r="AE227" s="72"/>
      <c r="AF227" s="72"/>
      <c r="AG227" s="72"/>
      <c r="AH227" s="72"/>
      <c r="AI227" s="72"/>
      <c r="AJ227" s="72"/>
      <c r="AK227" s="72"/>
      <c r="AL227" s="72"/>
      <c r="AM227" s="72"/>
      <c r="AN227" s="72"/>
      <c r="AO227" s="72"/>
      <c r="AP227" s="72"/>
      <c r="AQ227" s="72"/>
      <c r="AR227" s="72"/>
      <c r="AS227" s="72"/>
      <c r="AT227" s="72"/>
      <c r="AU227" s="72"/>
      <c r="AV227" s="72"/>
      <c r="AW227" s="72"/>
      <c r="AX227" s="72"/>
      <c r="AY227" s="72"/>
      <c r="AZ227" s="72"/>
      <c r="BA227" s="72"/>
      <c r="BB227" s="72"/>
      <c r="BC227" s="72"/>
      <c r="BD227" s="72"/>
      <c r="BE227" s="72"/>
      <c r="BF227" s="72"/>
      <c r="BG227" s="72"/>
      <c r="BH227" s="72"/>
    </row>
    <row r="228" spans="1:60" x14ac:dyDescent="0.25">
      <c r="A228" s="72"/>
      <c r="J228" s="72"/>
      <c r="K228" s="72"/>
      <c r="L228" s="72"/>
      <c r="M228" s="72"/>
      <c r="N228" s="72"/>
      <c r="O228" s="72"/>
      <c r="P228" s="72"/>
      <c r="Q228" s="72"/>
      <c r="R228" s="72"/>
      <c r="S228" s="72"/>
      <c r="T228" s="72"/>
      <c r="U228" s="72"/>
      <c r="V228" s="72"/>
      <c r="W228" s="72"/>
      <c r="X228" s="72"/>
      <c r="Y228" s="72"/>
      <c r="Z228" s="72"/>
      <c r="AA228" s="72"/>
      <c r="AB228" s="72"/>
      <c r="AC228" s="72"/>
      <c r="AD228" s="72"/>
      <c r="AE228" s="72"/>
      <c r="AF228" s="72"/>
      <c r="AG228" s="72"/>
      <c r="AH228" s="72"/>
      <c r="AI228" s="72"/>
      <c r="AJ228" s="72"/>
      <c r="AK228" s="72"/>
      <c r="AL228" s="72"/>
      <c r="AM228" s="72"/>
      <c r="AN228" s="72"/>
      <c r="AO228" s="72"/>
      <c r="AP228" s="72"/>
      <c r="AQ228" s="72"/>
      <c r="AR228" s="72"/>
      <c r="AS228" s="72"/>
      <c r="AT228" s="72"/>
      <c r="AU228" s="72"/>
      <c r="AV228" s="72"/>
      <c r="AW228" s="72"/>
      <c r="AX228" s="72"/>
      <c r="AY228" s="72"/>
      <c r="AZ228" s="72"/>
      <c r="BA228" s="72"/>
      <c r="BB228" s="72"/>
      <c r="BC228" s="72"/>
      <c r="BD228" s="72"/>
      <c r="BE228" s="72"/>
      <c r="BF228" s="72"/>
      <c r="BG228" s="72"/>
      <c r="BH228" s="72"/>
    </row>
    <row r="229" spans="1:60" x14ac:dyDescent="0.25">
      <c r="A229" s="72"/>
      <c r="J229" s="72"/>
      <c r="K229" s="72"/>
      <c r="L229" s="72"/>
      <c r="M229" s="72"/>
      <c r="N229" s="72"/>
      <c r="O229" s="72"/>
      <c r="P229" s="72"/>
      <c r="Q229" s="72"/>
      <c r="R229" s="72"/>
      <c r="S229" s="72"/>
      <c r="T229" s="72"/>
      <c r="U229" s="72"/>
      <c r="V229" s="72"/>
      <c r="W229" s="72"/>
      <c r="X229" s="72"/>
      <c r="Y229" s="72"/>
      <c r="Z229" s="72"/>
      <c r="AA229" s="72"/>
      <c r="AB229" s="72"/>
      <c r="AC229" s="72"/>
      <c r="AD229" s="72"/>
      <c r="AE229" s="72"/>
      <c r="AF229" s="72"/>
      <c r="AG229" s="72"/>
      <c r="AH229" s="72"/>
      <c r="AI229" s="72"/>
      <c r="AJ229" s="72"/>
      <c r="AK229" s="72"/>
      <c r="AL229" s="72"/>
      <c r="AM229" s="72"/>
      <c r="AN229" s="72"/>
      <c r="AO229" s="72"/>
      <c r="AP229" s="72"/>
      <c r="AQ229" s="72"/>
      <c r="AR229" s="72"/>
      <c r="AS229" s="72"/>
      <c r="AT229" s="72"/>
      <c r="AU229" s="72"/>
      <c r="AV229" s="72"/>
      <c r="AW229" s="72"/>
      <c r="AX229" s="72"/>
      <c r="AY229" s="72"/>
      <c r="AZ229" s="72"/>
      <c r="BA229" s="72"/>
      <c r="BB229" s="72"/>
      <c r="BC229" s="72"/>
      <c r="BD229" s="72"/>
      <c r="BE229" s="72"/>
      <c r="BF229" s="72"/>
      <c r="BG229" s="72"/>
      <c r="BH229" s="72"/>
    </row>
    <row r="230" spans="1:60" x14ac:dyDescent="0.25">
      <c r="A230" s="72"/>
      <c r="J230" s="72"/>
      <c r="K230" s="72"/>
      <c r="L230" s="72"/>
      <c r="M230" s="72"/>
      <c r="N230" s="72"/>
      <c r="O230" s="72"/>
      <c r="P230" s="72"/>
      <c r="Q230" s="72"/>
      <c r="R230" s="72"/>
      <c r="S230" s="72"/>
      <c r="T230" s="72"/>
      <c r="U230" s="72"/>
      <c r="V230" s="72"/>
      <c r="W230" s="72"/>
      <c r="X230" s="72"/>
      <c r="Y230" s="72"/>
      <c r="Z230" s="72"/>
      <c r="AA230" s="72"/>
      <c r="AB230" s="72"/>
      <c r="AC230" s="72"/>
      <c r="AD230" s="72"/>
      <c r="AE230" s="72"/>
      <c r="AF230" s="72"/>
      <c r="AG230" s="72"/>
      <c r="AH230" s="72"/>
      <c r="AI230" s="72"/>
      <c r="AJ230" s="72"/>
      <c r="AK230" s="72"/>
      <c r="AL230" s="72"/>
      <c r="AM230" s="72"/>
      <c r="AN230" s="72"/>
      <c r="AO230" s="72"/>
      <c r="AP230" s="72"/>
      <c r="AQ230" s="72"/>
      <c r="AR230" s="72"/>
      <c r="AS230" s="72"/>
      <c r="AT230" s="72"/>
      <c r="AU230" s="72"/>
      <c r="AV230" s="72"/>
      <c r="AW230" s="72"/>
      <c r="AX230" s="72"/>
      <c r="AY230" s="72"/>
      <c r="AZ230" s="72"/>
      <c r="BA230" s="72"/>
      <c r="BB230" s="72"/>
      <c r="BC230" s="72"/>
      <c r="BD230" s="72"/>
      <c r="BE230" s="72"/>
      <c r="BF230" s="72"/>
      <c r="BG230" s="72"/>
      <c r="BH230" s="72"/>
    </row>
    <row r="231" spans="1:60" x14ac:dyDescent="0.25">
      <c r="A231" s="72"/>
      <c r="J231" s="72"/>
      <c r="K231" s="72"/>
      <c r="L231" s="72"/>
      <c r="M231" s="72"/>
      <c r="N231" s="72"/>
      <c r="O231" s="72"/>
      <c r="P231" s="72"/>
      <c r="Q231" s="72"/>
      <c r="R231" s="72"/>
      <c r="S231" s="72"/>
      <c r="T231" s="72"/>
      <c r="U231" s="72"/>
      <c r="V231" s="72"/>
      <c r="W231" s="72"/>
      <c r="X231" s="72"/>
      <c r="Y231" s="72"/>
      <c r="Z231" s="72"/>
      <c r="AA231" s="72"/>
      <c r="AB231" s="72"/>
      <c r="AC231" s="72"/>
      <c r="AD231" s="72"/>
      <c r="AE231" s="72"/>
      <c r="AF231" s="72"/>
      <c r="AG231" s="72"/>
      <c r="AH231" s="72"/>
      <c r="AI231" s="72"/>
      <c r="AJ231" s="72"/>
      <c r="AK231" s="72"/>
      <c r="AL231" s="72"/>
      <c r="AM231" s="72"/>
      <c r="AN231" s="72"/>
      <c r="AO231" s="72"/>
      <c r="AP231" s="72"/>
      <c r="AQ231" s="72"/>
      <c r="AR231" s="72"/>
      <c r="AS231" s="72"/>
      <c r="AT231" s="72"/>
      <c r="AU231" s="72"/>
      <c r="AV231" s="72"/>
      <c r="AW231" s="72"/>
      <c r="AX231" s="72"/>
      <c r="AY231" s="72"/>
      <c r="AZ231" s="72"/>
      <c r="BA231" s="72"/>
      <c r="BB231" s="72"/>
      <c r="BC231" s="72"/>
      <c r="BD231" s="72"/>
      <c r="BE231" s="72"/>
      <c r="BF231" s="72"/>
      <c r="BG231" s="72"/>
      <c r="BH231" s="72"/>
    </row>
    <row r="232" spans="1:60" x14ac:dyDescent="0.25">
      <c r="A232" s="72"/>
      <c r="J232" s="72"/>
      <c r="K232" s="72"/>
      <c r="L232" s="72"/>
      <c r="M232" s="72"/>
      <c r="N232" s="72"/>
      <c r="O232" s="72"/>
      <c r="P232" s="72"/>
      <c r="Q232" s="72"/>
      <c r="R232" s="72"/>
      <c r="S232" s="72"/>
      <c r="T232" s="72"/>
      <c r="U232" s="72"/>
      <c r="V232" s="72"/>
      <c r="W232" s="72"/>
      <c r="X232" s="72"/>
      <c r="Y232" s="72"/>
      <c r="Z232" s="72"/>
      <c r="AA232" s="72"/>
      <c r="AB232" s="72"/>
      <c r="AC232" s="72"/>
      <c r="AD232" s="72"/>
      <c r="AE232" s="72"/>
      <c r="AF232" s="72"/>
      <c r="AG232" s="72"/>
      <c r="AH232" s="72"/>
      <c r="AI232" s="72"/>
      <c r="AJ232" s="72"/>
      <c r="AK232" s="72"/>
      <c r="AL232" s="72"/>
      <c r="AM232" s="72"/>
      <c r="AN232" s="72"/>
      <c r="AO232" s="72"/>
      <c r="AP232" s="72"/>
      <c r="AQ232" s="72"/>
      <c r="AR232" s="72"/>
      <c r="AS232" s="72"/>
      <c r="AT232" s="72"/>
      <c r="AU232" s="72"/>
      <c r="AV232" s="72"/>
      <c r="AW232" s="72"/>
      <c r="AX232" s="72"/>
      <c r="AY232" s="72"/>
      <c r="AZ232" s="72"/>
      <c r="BA232" s="72"/>
      <c r="BB232" s="72"/>
      <c r="BC232" s="72"/>
      <c r="BD232" s="72"/>
      <c r="BE232" s="72"/>
      <c r="BF232" s="72"/>
      <c r="BG232" s="72"/>
      <c r="BH232" s="72"/>
    </row>
    <row r="233" spans="1:60" x14ac:dyDescent="0.25">
      <c r="A233" s="72"/>
      <c r="J233" s="72"/>
      <c r="K233" s="72"/>
      <c r="L233" s="72"/>
      <c r="M233" s="72"/>
      <c r="N233" s="72"/>
      <c r="O233" s="72"/>
      <c r="P233" s="72"/>
      <c r="Q233" s="72"/>
      <c r="R233" s="72"/>
      <c r="S233" s="72"/>
      <c r="T233" s="72"/>
      <c r="U233" s="72"/>
      <c r="V233" s="72"/>
      <c r="W233" s="72"/>
      <c r="X233" s="72"/>
      <c r="Y233" s="72"/>
      <c r="Z233" s="72"/>
      <c r="AA233" s="72"/>
      <c r="AB233" s="72"/>
      <c r="AC233" s="72"/>
      <c r="AD233" s="72"/>
      <c r="AE233" s="72"/>
      <c r="AF233" s="72"/>
      <c r="AG233" s="72"/>
      <c r="AH233" s="72"/>
      <c r="AI233" s="72"/>
      <c r="AJ233" s="72"/>
      <c r="AK233" s="72"/>
      <c r="AL233" s="72"/>
      <c r="AM233" s="72"/>
      <c r="AN233" s="72"/>
      <c r="AO233" s="72"/>
      <c r="AP233" s="72"/>
      <c r="AQ233" s="72"/>
      <c r="AR233" s="72"/>
      <c r="AS233" s="72"/>
      <c r="AT233" s="72"/>
      <c r="AU233" s="72"/>
      <c r="AV233" s="72"/>
      <c r="AW233" s="72"/>
      <c r="AX233" s="72"/>
      <c r="AY233" s="72"/>
      <c r="AZ233" s="72"/>
      <c r="BA233" s="72"/>
      <c r="BB233" s="72"/>
      <c r="BC233" s="72"/>
      <c r="BD233" s="72"/>
      <c r="BE233" s="72"/>
      <c r="BF233" s="72"/>
      <c r="BG233" s="72"/>
      <c r="BH233" s="72"/>
    </row>
    <row r="234" spans="1:60" x14ac:dyDescent="0.25">
      <c r="A234" s="72"/>
      <c r="J234" s="72"/>
      <c r="K234" s="72"/>
      <c r="L234" s="72"/>
      <c r="M234" s="72"/>
      <c r="N234" s="72"/>
      <c r="O234" s="72"/>
      <c r="P234" s="72"/>
      <c r="Q234" s="72"/>
      <c r="R234" s="72"/>
      <c r="S234" s="72"/>
      <c r="T234" s="72"/>
      <c r="U234" s="72"/>
      <c r="V234" s="72"/>
      <c r="W234" s="72"/>
      <c r="X234" s="72"/>
      <c r="Y234" s="72"/>
      <c r="Z234" s="72"/>
      <c r="AA234" s="72"/>
      <c r="AB234" s="72"/>
      <c r="AC234" s="72"/>
      <c r="AD234" s="72"/>
      <c r="AE234" s="72"/>
      <c r="AF234" s="72"/>
      <c r="AG234" s="72"/>
      <c r="AH234" s="72"/>
      <c r="AI234" s="72"/>
      <c r="AJ234" s="72"/>
      <c r="AK234" s="72"/>
      <c r="AL234" s="72"/>
      <c r="AM234" s="72"/>
      <c r="AN234" s="72"/>
      <c r="AO234" s="72"/>
      <c r="AP234" s="72"/>
      <c r="AQ234" s="72"/>
      <c r="AR234" s="72"/>
      <c r="AS234" s="72"/>
      <c r="AT234" s="72"/>
      <c r="AU234" s="72"/>
      <c r="AV234" s="72"/>
      <c r="AW234" s="72"/>
      <c r="AX234" s="72"/>
      <c r="AY234" s="72"/>
      <c r="AZ234" s="72"/>
      <c r="BA234" s="72"/>
      <c r="BB234" s="72"/>
      <c r="BC234" s="72"/>
      <c r="BD234" s="72"/>
      <c r="BE234" s="72"/>
      <c r="BF234" s="72"/>
      <c r="BG234" s="72"/>
      <c r="BH234" s="72"/>
    </row>
    <row r="235" spans="1:60" x14ac:dyDescent="0.25">
      <c r="A235" s="72"/>
      <c r="J235" s="72"/>
      <c r="K235" s="72"/>
      <c r="L235" s="72"/>
      <c r="M235" s="72"/>
      <c r="N235" s="72"/>
      <c r="O235" s="72"/>
      <c r="P235" s="72"/>
      <c r="Q235" s="72"/>
      <c r="R235" s="72"/>
      <c r="S235" s="72"/>
      <c r="T235" s="72"/>
      <c r="U235" s="72"/>
      <c r="V235" s="72"/>
      <c r="W235" s="72"/>
      <c r="X235" s="72"/>
      <c r="Y235" s="72"/>
      <c r="Z235" s="72"/>
      <c r="AA235" s="72"/>
      <c r="AB235" s="72"/>
      <c r="AC235" s="72"/>
      <c r="AD235" s="72"/>
      <c r="AE235" s="72"/>
      <c r="AF235" s="72"/>
      <c r="AG235" s="72"/>
      <c r="AH235" s="72"/>
      <c r="AI235" s="72"/>
      <c r="AJ235" s="72"/>
      <c r="AK235" s="72"/>
      <c r="AL235" s="72"/>
      <c r="AM235" s="72"/>
      <c r="AN235" s="72"/>
      <c r="AO235" s="72"/>
      <c r="AP235" s="72"/>
      <c r="AQ235" s="72"/>
      <c r="AR235" s="72"/>
      <c r="AS235" s="72"/>
      <c r="AT235" s="72"/>
      <c r="AU235" s="72"/>
      <c r="AV235" s="72"/>
      <c r="AW235" s="72"/>
      <c r="AX235" s="72"/>
      <c r="AY235" s="72"/>
      <c r="AZ235" s="72"/>
      <c r="BA235" s="72"/>
      <c r="BB235" s="72"/>
      <c r="BC235" s="72"/>
      <c r="BD235" s="72"/>
      <c r="BE235" s="72"/>
      <c r="BF235" s="72"/>
      <c r="BG235" s="72"/>
      <c r="BH235" s="72"/>
    </row>
    <row r="236" spans="1:60" x14ac:dyDescent="0.25">
      <c r="A236" s="72"/>
      <c r="J236" s="72"/>
      <c r="K236" s="72"/>
      <c r="L236" s="72"/>
      <c r="M236" s="72"/>
      <c r="N236" s="72"/>
      <c r="O236" s="72"/>
      <c r="P236" s="72"/>
      <c r="Q236" s="72"/>
      <c r="R236" s="72"/>
      <c r="S236" s="72"/>
      <c r="T236" s="72"/>
      <c r="U236" s="72"/>
      <c r="V236" s="72"/>
      <c r="W236" s="72"/>
      <c r="X236" s="72"/>
      <c r="Y236" s="72"/>
      <c r="Z236" s="72"/>
      <c r="AA236" s="72"/>
      <c r="AB236" s="72"/>
      <c r="AC236" s="72"/>
      <c r="AD236" s="72"/>
      <c r="AE236" s="72"/>
      <c r="AF236" s="72"/>
      <c r="AG236" s="72"/>
      <c r="AH236" s="72"/>
      <c r="AI236" s="72"/>
      <c r="AJ236" s="72"/>
      <c r="AK236" s="72"/>
      <c r="AL236" s="72"/>
      <c r="AM236" s="72"/>
      <c r="AN236" s="72"/>
      <c r="AO236" s="72"/>
      <c r="AP236" s="72"/>
      <c r="AQ236" s="72"/>
      <c r="AR236" s="72"/>
      <c r="AS236" s="72"/>
      <c r="AT236" s="72"/>
      <c r="AU236" s="72"/>
      <c r="AV236" s="72"/>
      <c r="AW236" s="72"/>
      <c r="AX236" s="72"/>
      <c r="AY236" s="72"/>
      <c r="AZ236" s="72"/>
      <c r="BA236" s="72"/>
      <c r="BB236" s="72"/>
      <c r="BC236" s="72"/>
      <c r="BD236" s="72"/>
      <c r="BE236" s="72"/>
      <c r="BF236" s="72"/>
      <c r="BG236" s="72"/>
      <c r="BH236" s="72"/>
    </row>
    <row r="237" spans="1:60" x14ac:dyDescent="0.25">
      <c r="A237" s="72"/>
      <c r="J237" s="72"/>
      <c r="K237" s="72"/>
      <c r="L237" s="72"/>
      <c r="M237" s="72"/>
      <c r="N237" s="72"/>
      <c r="O237" s="72"/>
      <c r="P237" s="72"/>
      <c r="Q237" s="72"/>
      <c r="R237" s="72"/>
      <c r="S237" s="72"/>
      <c r="T237" s="72"/>
      <c r="U237" s="72"/>
      <c r="V237" s="72"/>
      <c r="W237" s="72"/>
      <c r="X237" s="72"/>
      <c r="Y237" s="72"/>
      <c r="Z237" s="72"/>
      <c r="AA237" s="72"/>
      <c r="AB237" s="72"/>
      <c r="AC237" s="72"/>
      <c r="AD237" s="72"/>
      <c r="AE237" s="72"/>
      <c r="AF237" s="72"/>
      <c r="AG237" s="72"/>
      <c r="AH237" s="72"/>
      <c r="AI237" s="72"/>
      <c r="AJ237" s="72"/>
      <c r="AK237" s="72"/>
      <c r="AL237" s="72"/>
      <c r="AM237" s="72"/>
      <c r="AN237" s="72"/>
      <c r="AO237" s="72"/>
      <c r="AP237" s="72"/>
      <c r="AQ237" s="72"/>
      <c r="AR237" s="72"/>
      <c r="AS237" s="72"/>
      <c r="AT237" s="72"/>
      <c r="AU237" s="72"/>
      <c r="AV237" s="72"/>
      <c r="AW237" s="72"/>
      <c r="AX237" s="72"/>
      <c r="AY237" s="72"/>
      <c r="AZ237" s="72"/>
      <c r="BA237" s="72"/>
      <c r="BB237" s="72"/>
      <c r="BC237" s="72"/>
      <c r="BD237" s="72"/>
      <c r="BE237" s="72"/>
      <c r="BF237" s="72"/>
      <c r="BG237" s="72"/>
      <c r="BH237" s="72"/>
    </row>
    <row r="238" spans="1:60" x14ac:dyDescent="0.25">
      <c r="A238" s="72"/>
      <c r="J238" s="72"/>
      <c r="K238" s="72"/>
      <c r="L238" s="72"/>
      <c r="M238" s="72"/>
      <c r="N238" s="72"/>
      <c r="O238" s="72"/>
      <c r="P238" s="72"/>
      <c r="Q238" s="72"/>
      <c r="R238" s="72"/>
      <c r="S238" s="72"/>
      <c r="T238" s="72"/>
      <c r="U238" s="72"/>
      <c r="V238" s="72"/>
      <c r="W238" s="72"/>
      <c r="X238" s="72"/>
      <c r="Y238" s="72"/>
      <c r="Z238" s="72"/>
      <c r="AA238" s="72"/>
      <c r="AB238" s="72"/>
      <c r="AC238" s="72"/>
      <c r="AD238" s="72"/>
      <c r="AE238" s="72"/>
      <c r="AF238" s="72"/>
      <c r="AG238" s="72"/>
      <c r="AH238" s="72"/>
      <c r="AI238" s="72"/>
      <c r="AJ238" s="72"/>
      <c r="AK238" s="72"/>
      <c r="AL238" s="72"/>
      <c r="AM238" s="72"/>
      <c r="AN238" s="72"/>
      <c r="AO238" s="72"/>
      <c r="AP238" s="72"/>
      <c r="AQ238" s="72"/>
      <c r="AR238" s="72"/>
      <c r="AS238" s="72"/>
      <c r="AT238" s="72"/>
      <c r="AU238" s="72"/>
      <c r="AV238" s="72"/>
      <c r="AW238" s="72"/>
      <c r="AX238" s="72"/>
      <c r="AY238" s="72"/>
      <c r="AZ238" s="72"/>
      <c r="BA238" s="72"/>
      <c r="BB238" s="72"/>
      <c r="BC238" s="72"/>
      <c r="BD238" s="72"/>
      <c r="BE238" s="72"/>
      <c r="BF238" s="72"/>
      <c r="BG238" s="72"/>
      <c r="BH238" s="72"/>
    </row>
    <row r="239" spans="1:60" x14ac:dyDescent="0.25">
      <c r="A239" s="72"/>
      <c r="J239" s="72"/>
      <c r="K239" s="72"/>
      <c r="L239" s="72"/>
      <c r="M239" s="72"/>
      <c r="N239" s="72"/>
      <c r="O239" s="72"/>
      <c r="P239" s="72"/>
      <c r="Q239" s="72"/>
      <c r="R239" s="72"/>
      <c r="S239" s="72"/>
      <c r="T239" s="72"/>
      <c r="U239" s="72"/>
      <c r="V239" s="72"/>
      <c r="W239" s="72"/>
      <c r="X239" s="72"/>
      <c r="Y239" s="72"/>
      <c r="Z239" s="72"/>
      <c r="AA239" s="72"/>
      <c r="AB239" s="72"/>
      <c r="AC239" s="72"/>
      <c r="AD239" s="72"/>
      <c r="AE239" s="72"/>
      <c r="AF239" s="72"/>
      <c r="AG239" s="72"/>
      <c r="AH239" s="72"/>
      <c r="AI239" s="72"/>
      <c r="AJ239" s="72"/>
      <c r="AK239" s="72"/>
      <c r="AL239" s="72"/>
      <c r="AM239" s="72"/>
      <c r="AN239" s="72"/>
      <c r="AO239" s="72"/>
      <c r="AP239" s="72"/>
      <c r="AQ239" s="72"/>
      <c r="AR239" s="72"/>
      <c r="AS239" s="72"/>
      <c r="AT239" s="72"/>
      <c r="AU239" s="72"/>
      <c r="AV239" s="72"/>
      <c r="AW239" s="72"/>
      <c r="AX239" s="72"/>
      <c r="AY239" s="72"/>
      <c r="AZ239" s="72"/>
      <c r="BA239" s="72"/>
      <c r="BB239" s="72"/>
      <c r="BC239" s="72"/>
      <c r="BD239" s="72"/>
      <c r="BE239" s="72"/>
      <c r="BF239" s="72"/>
      <c r="BG239" s="72"/>
      <c r="BH239" s="72"/>
    </row>
    <row r="240" spans="1:60" x14ac:dyDescent="0.25">
      <c r="A240" s="72"/>
      <c r="J240" s="72"/>
      <c r="K240" s="72"/>
      <c r="L240" s="72"/>
      <c r="M240" s="72"/>
      <c r="N240" s="72"/>
      <c r="O240" s="72"/>
      <c r="P240" s="72"/>
      <c r="Q240" s="72"/>
      <c r="R240" s="72"/>
      <c r="S240" s="72"/>
      <c r="T240" s="72"/>
      <c r="U240" s="72"/>
      <c r="V240" s="72"/>
      <c r="W240" s="72"/>
      <c r="X240" s="72"/>
      <c r="Y240" s="72"/>
      <c r="Z240" s="72"/>
      <c r="AA240" s="72"/>
      <c r="AB240" s="72"/>
      <c r="AC240" s="72"/>
      <c r="AD240" s="72"/>
      <c r="AE240" s="72"/>
      <c r="AF240" s="72"/>
      <c r="AG240" s="72"/>
      <c r="AH240" s="72"/>
      <c r="AI240" s="72"/>
      <c r="AJ240" s="72"/>
      <c r="AK240" s="72"/>
      <c r="AL240" s="72"/>
      <c r="AM240" s="72"/>
      <c r="AN240" s="72"/>
      <c r="AO240" s="72"/>
      <c r="AP240" s="72"/>
      <c r="AQ240" s="72"/>
      <c r="AR240" s="72"/>
      <c r="AS240" s="72"/>
      <c r="AT240" s="72"/>
      <c r="AU240" s="72"/>
      <c r="AV240" s="72"/>
      <c r="AW240" s="72"/>
      <c r="AX240" s="72"/>
      <c r="AY240" s="72"/>
      <c r="AZ240" s="72"/>
      <c r="BA240" s="72"/>
      <c r="BB240" s="72"/>
      <c r="BC240" s="72"/>
      <c r="BD240" s="72"/>
      <c r="BE240" s="72"/>
      <c r="BF240" s="72"/>
      <c r="BG240" s="72"/>
      <c r="BH240" s="72"/>
    </row>
    <row r="241" spans="1:60" x14ac:dyDescent="0.25">
      <c r="A241" s="72"/>
      <c r="J241" s="72"/>
      <c r="K241" s="72"/>
      <c r="L241" s="72"/>
      <c r="M241" s="72"/>
      <c r="N241" s="72"/>
      <c r="O241" s="72"/>
      <c r="P241" s="72"/>
      <c r="Q241" s="72"/>
      <c r="R241" s="72"/>
      <c r="S241" s="72"/>
      <c r="T241" s="72"/>
      <c r="U241" s="72"/>
      <c r="V241" s="72"/>
      <c r="W241" s="72"/>
      <c r="X241" s="72"/>
      <c r="Y241" s="72"/>
      <c r="Z241" s="72"/>
      <c r="AA241" s="72"/>
      <c r="AB241" s="72"/>
      <c r="AC241" s="72"/>
      <c r="AD241" s="72"/>
      <c r="AE241" s="72"/>
      <c r="AF241" s="72"/>
      <c r="AG241" s="72"/>
      <c r="AH241" s="72"/>
      <c r="AI241" s="72"/>
      <c r="AJ241" s="72"/>
      <c r="AK241" s="72"/>
      <c r="AL241" s="72"/>
      <c r="AM241" s="72"/>
      <c r="AN241" s="72"/>
      <c r="AO241" s="72"/>
      <c r="AP241" s="72"/>
      <c r="AQ241" s="72"/>
      <c r="AR241" s="72"/>
      <c r="AS241" s="72"/>
      <c r="AT241" s="72"/>
      <c r="AU241" s="72"/>
      <c r="AV241" s="72"/>
      <c r="AW241" s="72"/>
      <c r="AX241" s="72"/>
      <c r="AY241" s="72"/>
      <c r="AZ241" s="72"/>
      <c r="BA241" s="72"/>
      <c r="BB241" s="72"/>
      <c r="BC241" s="72"/>
      <c r="BD241" s="72"/>
      <c r="BE241" s="72"/>
      <c r="BF241" s="72"/>
      <c r="BG241" s="72"/>
      <c r="BH241" s="72"/>
    </row>
    <row r="242" spans="1:60" x14ac:dyDescent="0.25">
      <c r="A242" s="72"/>
      <c r="J242" s="72"/>
      <c r="K242" s="72"/>
      <c r="L242" s="72"/>
      <c r="M242" s="72"/>
      <c r="N242" s="72"/>
      <c r="O242" s="72"/>
      <c r="P242" s="72"/>
      <c r="Q242" s="72"/>
      <c r="R242" s="72"/>
      <c r="S242" s="72"/>
      <c r="T242" s="72"/>
      <c r="U242" s="72"/>
      <c r="V242" s="72"/>
      <c r="W242" s="72"/>
      <c r="X242" s="72"/>
      <c r="Y242" s="72"/>
      <c r="Z242" s="72"/>
      <c r="AA242" s="72"/>
      <c r="AB242" s="72"/>
      <c r="AC242" s="72"/>
      <c r="AD242" s="72"/>
      <c r="AE242" s="72"/>
      <c r="AF242" s="72"/>
      <c r="AG242" s="72"/>
      <c r="AH242" s="72"/>
      <c r="AI242" s="72"/>
      <c r="AJ242" s="72"/>
      <c r="AK242" s="72"/>
      <c r="AL242" s="72"/>
      <c r="AM242" s="72"/>
      <c r="AN242" s="72"/>
      <c r="AO242" s="72"/>
      <c r="AP242" s="72"/>
      <c r="AQ242" s="72"/>
      <c r="AR242" s="72"/>
      <c r="AS242" s="72"/>
      <c r="AT242" s="72"/>
      <c r="AU242" s="72"/>
      <c r="AV242" s="72"/>
      <c r="AW242" s="72"/>
      <c r="AX242" s="72"/>
      <c r="AY242" s="72"/>
      <c r="AZ242" s="72"/>
      <c r="BA242" s="72"/>
      <c r="BB242" s="72"/>
      <c r="BC242" s="72"/>
      <c r="BD242" s="72"/>
      <c r="BE242" s="72"/>
      <c r="BF242" s="72"/>
      <c r="BG242" s="72"/>
      <c r="BH242" s="72"/>
    </row>
    <row r="243" spans="1:60" x14ac:dyDescent="0.25">
      <c r="A243" s="72"/>
      <c r="J243" s="72"/>
      <c r="K243" s="72"/>
      <c r="L243" s="72"/>
      <c r="M243" s="72"/>
      <c r="N243" s="72"/>
      <c r="O243" s="72"/>
      <c r="P243" s="72"/>
      <c r="Q243" s="72"/>
      <c r="R243" s="72"/>
      <c r="S243" s="72"/>
      <c r="T243" s="72"/>
      <c r="U243" s="72"/>
      <c r="V243" s="72"/>
      <c r="W243" s="72"/>
      <c r="X243" s="72"/>
      <c r="Y243" s="72"/>
      <c r="Z243" s="72"/>
      <c r="AA243" s="72"/>
      <c r="AB243" s="72"/>
      <c r="AC243" s="72"/>
      <c r="AD243" s="72"/>
      <c r="AE243" s="72"/>
      <c r="AF243" s="72"/>
      <c r="AG243" s="72"/>
      <c r="AH243" s="72"/>
      <c r="AI243" s="72"/>
      <c r="AJ243" s="72"/>
      <c r="AK243" s="72"/>
      <c r="AL243" s="72"/>
      <c r="AM243" s="72"/>
      <c r="AN243" s="72"/>
      <c r="AO243" s="72"/>
      <c r="AP243" s="72"/>
      <c r="AQ243" s="72"/>
      <c r="AR243" s="72"/>
      <c r="AS243" s="72"/>
      <c r="AT243" s="72"/>
      <c r="AU243" s="72"/>
      <c r="AV243" s="72"/>
      <c r="AW243" s="72"/>
      <c r="AX243" s="72"/>
      <c r="AY243" s="72"/>
      <c r="AZ243" s="72"/>
      <c r="BA243" s="72"/>
      <c r="BB243" s="72"/>
      <c r="BC243" s="72"/>
      <c r="BD243" s="72"/>
      <c r="BE243" s="72"/>
      <c r="BF243" s="72"/>
      <c r="BG243" s="72"/>
      <c r="BH243" s="72"/>
    </row>
    <row r="244" spans="1:60" x14ac:dyDescent="0.25">
      <c r="A244" s="72"/>
      <c r="J244" s="72"/>
      <c r="K244" s="72"/>
      <c r="L244" s="72"/>
      <c r="M244" s="72"/>
      <c r="N244" s="72"/>
      <c r="O244" s="72"/>
      <c r="P244" s="72"/>
      <c r="Q244" s="72"/>
      <c r="R244" s="72"/>
      <c r="S244" s="72"/>
      <c r="T244" s="72"/>
      <c r="U244" s="72"/>
      <c r="V244" s="72"/>
      <c r="W244" s="72"/>
      <c r="X244" s="72"/>
      <c r="Y244" s="72"/>
      <c r="Z244" s="72"/>
      <c r="AA244" s="72"/>
      <c r="AB244" s="72"/>
      <c r="AC244" s="72"/>
      <c r="AD244" s="72"/>
      <c r="AE244" s="72"/>
      <c r="AF244" s="72"/>
      <c r="AG244" s="72"/>
      <c r="AH244" s="72"/>
      <c r="AI244" s="72"/>
      <c r="AJ244" s="72"/>
      <c r="AK244" s="72"/>
      <c r="AL244" s="72"/>
      <c r="AM244" s="72"/>
      <c r="AN244" s="72"/>
      <c r="AO244" s="72"/>
      <c r="AP244" s="72"/>
      <c r="AQ244" s="72"/>
      <c r="AR244" s="72"/>
      <c r="AS244" s="72"/>
      <c r="AT244" s="72"/>
      <c r="AU244" s="72"/>
      <c r="AV244" s="72"/>
      <c r="AW244" s="72"/>
      <c r="AX244" s="72"/>
      <c r="AY244" s="72"/>
      <c r="AZ244" s="72"/>
      <c r="BA244" s="72"/>
      <c r="BB244" s="72"/>
      <c r="BC244" s="72"/>
      <c r="BD244" s="72"/>
      <c r="BE244" s="72"/>
      <c r="BF244" s="72"/>
      <c r="BG244" s="72"/>
      <c r="BH244" s="72"/>
    </row>
    <row r="245" spans="1:60" x14ac:dyDescent="0.25">
      <c r="A245" s="72"/>
    </row>
    <row r="246" spans="1:60" x14ac:dyDescent="0.25">
      <c r="A246" s="72"/>
    </row>
    <row r="247" spans="1:60" x14ac:dyDescent="0.25">
      <c r="A247" s="72"/>
    </row>
    <row r="248" spans="1:60" x14ac:dyDescent="0.25">
      <c r="A248" s="72"/>
    </row>
  </sheetData>
  <mergeCells count="17">
    <mergeCell ref="E26:I35"/>
    <mergeCell ref="E16:I25"/>
    <mergeCell ref="AO6:AT15"/>
    <mergeCell ref="B2:I4"/>
    <mergeCell ref="J2:AM4"/>
    <mergeCell ref="B6:D55"/>
    <mergeCell ref="E6:I15"/>
    <mergeCell ref="E46:I55"/>
    <mergeCell ref="AO36:AT45"/>
    <mergeCell ref="E36:I45"/>
    <mergeCell ref="AO16:AT25"/>
    <mergeCell ref="AO26:AT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B6" sqref="B6:D45"/>
    </sheetView>
  </sheetViews>
  <sheetFormatPr baseColWidth="10" defaultRowHeight="15" x14ac:dyDescent="0.25"/>
  <cols>
    <col min="2" max="2" width="24.140625" customWidth="1"/>
    <col min="3" max="3" width="70.140625" customWidth="1"/>
    <col min="4" max="4" width="29.85546875" customWidth="1"/>
  </cols>
  <sheetData>
    <row r="1" spans="1:37" ht="23.25" x14ac:dyDescent="0.25">
      <c r="A1" s="72"/>
      <c r="B1" s="573" t="s">
        <v>55</v>
      </c>
      <c r="C1" s="573"/>
      <c r="D1" s="573"/>
      <c r="E1" s="72"/>
      <c r="F1" s="72"/>
      <c r="G1" s="72"/>
      <c r="H1" s="72"/>
      <c r="I1" s="72"/>
      <c r="J1" s="72"/>
      <c r="K1" s="72"/>
      <c r="L1" s="72"/>
      <c r="M1" s="72"/>
      <c r="N1" s="72"/>
      <c r="O1" s="72"/>
      <c r="P1" s="72"/>
      <c r="Q1" s="72"/>
      <c r="R1" s="72"/>
      <c r="S1" s="72"/>
      <c r="T1" s="72"/>
      <c r="U1" s="72"/>
      <c r="V1" s="72"/>
      <c r="W1" s="72"/>
      <c r="X1" s="72"/>
      <c r="Y1" s="72"/>
      <c r="Z1" s="72"/>
      <c r="AA1" s="72"/>
      <c r="AB1" s="72"/>
      <c r="AC1" s="72"/>
      <c r="AD1" s="72"/>
      <c r="AE1" s="72"/>
    </row>
    <row r="2" spans="1:37" x14ac:dyDescent="0.25">
      <c r="A2" s="72"/>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row>
    <row r="3" spans="1:37" ht="25.5" x14ac:dyDescent="0.25">
      <c r="A3" s="72"/>
      <c r="B3" s="5"/>
      <c r="C3" s="6" t="s">
        <v>52</v>
      </c>
      <c r="D3" s="6" t="s">
        <v>4</v>
      </c>
      <c r="E3" s="72"/>
      <c r="F3" s="72"/>
      <c r="G3" s="72"/>
      <c r="H3" s="72"/>
      <c r="I3" s="72"/>
      <c r="J3" s="72"/>
      <c r="K3" s="72"/>
      <c r="L3" s="72"/>
      <c r="M3" s="72"/>
      <c r="N3" s="72"/>
      <c r="O3" s="72"/>
      <c r="P3" s="72"/>
      <c r="Q3" s="72"/>
      <c r="R3" s="72"/>
      <c r="S3" s="72"/>
      <c r="T3" s="72"/>
      <c r="U3" s="72"/>
      <c r="V3" s="72"/>
      <c r="W3" s="72"/>
      <c r="X3" s="72"/>
      <c r="Y3" s="72"/>
      <c r="Z3" s="72"/>
      <c r="AA3" s="72"/>
      <c r="AB3" s="72"/>
      <c r="AC3" s="72"/>
      <c r="AD3" s="72"/>
      <c r="AE3" s="72"/>
    </row>
    <row r="4" spans="1:37" ht="51" x14ac:dyDescent="0.25">
      <c r="A4" s="72"/>
      <c r="B4" s="7" t="s">
        <v>51</v>
      </c>
      <c r="C4" s="8" t="s">
        <v>100</v>
      </c>
      <c r="D4" s="9">
        <v>0.2</v>
      </c>
      <c r="E4" s="72"/>
      <c r="F4" s="72"/>
      <c r="G4" s="72"/>
      <c r="H4" s="72"/>
      <c r="I4" s="72"/>
      <c r="J4" s="72"/>
      <c r="K4" s="72"/>
      <c r="L4" s="72"/>
      <c r="M4" s="72"/>
      <c r="N4" s="72"/>
      <c r="O4" s="72"/>
      <c r="P4" s="72"/>
      <c r="Q4" s="72"/>
      <c r="R4" s="72"/>
      <c r="S4" s="72"/>
      <c r="T4" s="72"/>
      <c r="U4" s="72"/>
      <c r="V4" s="72"/>
      <c r="W4" s="72"/>
      <c r="X4" s="72"/>
      <c r="Y4" s="72"/>
      <c r="Z4" s="72"/>
      <c r="AA4" s="72"/>
      <c r="AB4" s="72"/>
      <c r="AC4" s="72"/>
      <c r="AD4" s="72"/>
      <c r="AE4" s="72"/>
    </row>
    <row r="5" spans="1:37" ht="51" x14ac:dyDescent="0.25">
      <c r="A5" s="72"/>
      <c r="B5" s="10" t="s">
        <v>53</v>
      </c>
      <c r="C5" s="11" t="s">
        <v>101</v>
      </c>
      <c r="D5" s="12">
        <v>0.4</v>
      </c>
      <c r="E5" s="72"/>
      <c r="F5" s="72"/>
      <c r="G5" s="72"/>
      <c r="H5" s="72"/>
      <c r="I5" s="72"/>
      <c r="J5" s="72"/>
      <c r="K5" s="72"/>
      <c r="L5" s="72"/>
      <c r="M5" s="72"/>
      <c r="N5" s="72"/>
      <c r="O5" s="72"/>
      <c r="P5" s="72"/>
      <c r="Q5" s="72"/>
      <c r="R5" s="72"/>
      <c r="S5" s="72"/>
      <c r="T5" s="72"/>
      <c r="U5" s="72"/>
      <c r="V5" s="72"/>
      <c r="W5" s="72"/>
      <c r="X5" s="72"/>
      <c r="Y5" s="72"/>
      <c r="Z5" s="72"/>
      <c r="AA5" s="72"/>
      <c r="AB5" s="72"/>
      <c r="AC5" s="72"/>
      <c r="AD5" s="72"/>
      <c r="AE5" s="72"/>
    </row>
    <row r="6" spans="1:37" ht="51" x14ac:dyDescent="0.25">
      <c r="A6" s="72"/>
      <c r="B6" s="13" t="s">
        <v>105</v>
      </c>
      <c r="C6" s="11" t="s">
        <v>102</v>
      </c>
      <c r="D6" s="12">
        <v>0.6</v>
      </c>
      <c r="E6" s="72"/>
      <c r="F6" s="72"/>
      <c r="G6" s="72"/>
      <c r="H6" s="72"/>
      <c r="I6" s="72"/>
      <c r="J6" s="72"/>
      <c r="K6" s="72"/>
      <c r="L6" s="72"/>
      <c r="M6" s="72"/>
      <c r="N6" s="72"/>
      <c r="O6" s="72"/>
      <c r="P6" s="72"/>
      <c r="Q6" s="72"/>
      <c r="R6" s="72"/>
      <c r="S6" s="72"/>
      <c r="T6" s="72"/>
      <c r="U6" s="72"/>
      <c r="V6" s="72"/>
      <c r="W6" s="72"/>
      <c r="X6" s="72"/>
      <c r="Y6" s="72"/>
      <c r="Z6" s="72"/>
      <c r="AA6" s="72"/>
      <c r="AB6" s="72"/>
      <c r="AC6" s="72"/>
      <c r="AD6" s="72"/>
      <c r="AE6" s="72"/>
    </row>
    <row r="7" spans="1:37" ht="76.5" x14ac:dyDescent="0.25">
      <c r="A7" s="72"/>
      <c r="B7" s="14" t="s">
        <v>6</v>
      </c>
      <c r="C7" s="11" t="s">
        <v>103</v>
      </c>
      <c r="D7" s="12">
        <v>0.8</v>
      </c>
      <c r="E7" s="72"/>
      <c r="F7" s="72"/>
      <c r="G7" s="72"/>
      <c r="H7" s="72"/>
      <c r="I7" s="72"/>
      <c r="J7" s="72"/>
      <c r="K7" s="72"/>
      <c r="L7" s="72"/>
      <c r="M7" s="72"/>
      <c r="N7" s="72"/>
      <c r="O7" s="72"/>
      <c r="P7" s="72"/>
      <c r="Q7" s="72"/>
      <c r="R7" s="72"/>
      <c r="S7" s="72"/>
      <c r="T7" s="72"/>
      <c r="U7" s="72"/>
      <c r="V7" s="72"/>
      <c r="W7" s="72"/>
      <c r="X7" s="72"/>
      <c r="Y7" s="72"/>
      <c r="Z7" s="72"/>
      <c r="AA7" s="72"/>
      <c r="AB7" s="72"/>
      <c r="AC7" s="72"/>
      <c r="AD7" s="72"/>
      <c r="AE7" s="72"/>
    </row>
    <row r="8" spans="1:37" ht="51" x14ac:dyDescent="0.25">
      <c r="A8" s="72"/>
      <c r="B8" s="15" t="s">
        <v>54</v>
      </c>
      <c r="C8" s="11" t="s">
        <v>104</v>
      </c>
      <c r="D8" s="12">
        <v>1</v>
      </c>
      <c r="E8" s="72"/>
      <c r="F8" s="72"/>
      <c r="G8" s="72"/>
      <c r="H8" s="72"/>
      <c r="I8" s="72"/>
      <c r="J8" s="72"/>
      <c r="K8" s="72"/>
      <c r="L8" s="72"/>
      <c r="M8" s="72"/>
      <c r="N8" s="72"/>
      <c r="O8" s="72"/>
      <c r="P8" s="72"/>
      <c r="Q8" s="72"/>
      <c r="R8" s="72"/>
      <c r="S8" s="72"/>
      <c r="T8" s="72"/>
      <c r="U8" s="72"/>
      <c r="V8" s="72"/>
      <c r="W8" s="72"/>
      <c r="X8" s="72"/>
      <c r="Y8" s="72"/>
      <c r="Z8" s="72"/>
      <c r="AA8" s="72"/>
      <c r="AB8" s="72"/>
      <c r="AC8" s="72"/>
      <c r="AD8" s="72"/>
      <c r="AE8" s="72"/>
    </row>
    <row r="9" spans="1:37" x14ac:dyDescent="0.25">
      <c r="A9" s="72"/>
      <c r="B9" s="95"/>
      <c r="C9" s="95"/>
      <c r="D9" s="95"/>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row>
    <row r="10" spans="1:37" ht="16.5" x14ac:dyDescent="0.25">
      <c r="A10" s="72"/>
      <c r="B10" s="96"/>
      <c r="C10" s="95"/>
      <c r="D10" s="95"/>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row>
    <row r="11" spans="1:37" x14ac:dyDescent="0.25">
      <c r="A11" s="72"/>
      <c r="B11" s="95"/>
      <c r="C11" s="95"/>
      <c r="D11" s="95"/>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row>
    <row r="12" spans="1:37" x14ac:dyDescent="0.25">
      <c r="A12" s="72"/>
      <c r="B12" s="95"/>
      <c r="C12" s="95"/>
      <c r="D12" s="95"/>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row>
    <row r="13" spans="1:37" x14ac:dyDescent="0.25">
      <c r="A13" s="72"/>
      <c r="B13" s="95"/>
      <c r="C13" s="95"/>
      <c r="D13" s="95"/>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row>
    <row r="14" spans="1:37" x14ac:dyDescent="0.25">
      <c r="A14" s="72"/>
      <c r="B14" s="95"/>
      <c r="C14" s="95"/>
      <c r="D14" s="95"/>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row>
    <row r="15" spans="1:37" x14ac:dyDescent="0.25">
      <c r="A15" s="72"/>
      <c r="B15" s="95"/>
      <c r="C15" s="95"/>
      <c r="D15" s="95"/>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row>
    <row r="16" spans="1:37" x14ac:dyDescent="0.25">
      <c r="A16" s="72"/>
      <c r="B16" s="95"/>
      <c r="C16" s="95"/>
      <c r="D16" s="95"/>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row>
    <row r="17" spans="1:37" x14ac:dyDescent="0.25">
      <c r="A17" s="72"/>
      <c r="B17" s="95"/>
      <c r="C17" s="95"/>
      <c r="D17" s="95"/>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row>
    <row r="18" spans="1:37" x14ac:dyDescent="0.25">
      <c r="A18" s="72"/>
      <c r="B18" s="95"/>
      <c r="C18" s="95"/>
      <c r="D18" s="95"/>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row>
    <row r="19" spans="1:37" x14ac:dyDescent="0.25">
      <c r="A19" s="72"/>
      <c r="B19" s="72"/>
      <c r="C19" s="72"/>
      <c r="D19" s="72"/>
      <c r="E19" s="72"/>
      <c r="F19" s="72"/>
      <c r="G19" s="72"/>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row>
    <row r="20" spans="1:37" x14ac:dyDescent="0.25">
      <c r="A20" s="72"/>
      <c r="B20" s="72"/>
      <c r="C20" s="72"/>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row>
    <row r="21" spans="1:37" x14ac:dyDescent="0.25">
      <c r="A21" s="72"/>
      <c r="B21" s="72"/>
      <c r="C21" s="72"/>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row>
    <row r="22" spans="1:37" x14ac:dyDescent="0.25">
      <c r="A22" s="72"/>
      <c r="B22" s="72"/>
      <c r="C22" s="72"/>
      <c r="D22" s="72"/>
      <c r="E22" s="72"/>
      <c r="F22" s="72"/>
      <c r="G22" s="72"/>
      <c r="H22" s="72"/>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row>
    <row r="23" spans="1:37" x14ac:dyDescent="0.25">
      <c r="A23" s="72"/>
      <c r="B23" s="72"/>
      <c r="C23" s="72"/>
      <c r="D23" s="72"/>
      <c r="E23" s="72"/>
      <c r="F23" s="72"/>
      <c r="G23" s="72"/>
      <c r="H23" s="72"/>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row>
    <row r="24" spans="1:37" x14ac:dyDescent="0.25">
      <c r="A24" s="72"/>
      <c r="B24" s="72"/>
      <c r="C24" s="72"/>
      <c r="D24" s="72"/>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row>
    <row r="25" spans="1:37" x14ac:dyDescent="0.25">
      <c r="A25" s="72"/>
      <c r="B25" s="72"/>
      <c r="C25" s="72"/>
      <c r="D25" s="72"/>
      <c r="E25" s="72"/>
      <c r="F25" s="72"/>
      <c r="G25" s="72"/>
      <c r="H25" s="72"/>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row>
    <row r="26" spans="1:37" x14ac:dyDescent="0.25">
      <c r="A26" s="72"/>
      <c r="B26" s="72"/>
      <c r="C26" s="72"/>
      <c r="D26" s="7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row>
    <row r="27" spans="1:37" x14ac:dyDescent="0.25">
      <c r="A27" s="72"/>
      <c r="B27" s="72"/>
      <c r="C27" s="72"/>
      <c r="D27" s="72"/>
      <c r="E27" s="72"/>
      <c r="F27" s="72"/>
      <c r="G27" s="72"/>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row>
    <row r="28" spans="1:37" x14ac:dyDescent="0.25">
      <c r="A28" s="72"/>
      <c r="B28" s="72"/>
      <c r="C28" s="72"/>
      <c r="D28" s="72"/>
      <c r="E28" s="72"/>
      <c r="F28" s="72"/>
      <c r="G28" s="72"/>
      <c r="H28" s="72"/>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row>
    <row r="29" spans="1:37" x14ac:dyDescent="0.25">
      <c r="A29" s="72"/>
      <c r="B29" s="72"/>
      <c r="C29" s="72"/>
      <c r="D29" s="72"/>
      <c r="E29" s="72"/>
      <c r="F29" s="72"/>
      <c r="G29" s="72"/>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row>
    <row r="30" spans="1:37" x14ac:dyDescent="0.25">
      <c r="A30" s="72"/>
      <c r="B30" s="72"/>
      <c r="C30" s="72"/>
      <c r="D30" s="72"/>
      <c r="E30" s="72"/>
      <c r="F30" s="72"/>
      <c r="G30" s="72"/>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row>
    <row r="31" spans="1:37" x14ac:dyDescent="0.25">
      <c r="A31" s="72"/>
      <c r="B31" s="72"/>
      <c r="C31" s="72"/>
      <c r="D31" s="72"/>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row>
    <row r="32" spans="1:37" x14ac:dyDescent="0.25">
      <c r="A32" s="72"/>
      <c r="B32" s="72"/>
      <c r="C32" s="72"/>
      <c r="D32" s="72"/>
      <c r="E32" s="72"/>
      <c r="F32" s="72"/>
      <c r="G32" s="72"/>
      <c r="H32" s="72"/>
      <c r="I32" s="72"/>
      <c r="J32" s="72"/>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row>
    <row r="33" spans="1:31" x14ac:dyDescent="0.25">
      <c r="A33" s="72"/>
      <c r="E33" s="72"/>
      <c r="F33" s="72"/>
      <c r="G33" s="72"/>
      <c r="H33" s="72"/>
      <c r="I33" s="72"/>
      <c r="J33" s="72"/>
      <c r="K33" s="72"/>
      <c r="L33" s="72"/>
      <c r="M33" s="72"/>
      <c r="N33" s="72"/>
      <c r="O33" s="72"/>
      <c r="P33" s="72"/>
      <c r="Q33" s="72"/>
      <c r="R33" s="72"/>
      <c r="S33" s="72"/>
      <c r="T33" s="72"/>
      <c r="U33" s="72"/>
      <c r="V33" s="72"/>
      <c r="W33" s="72"/>
      <c r="X33" s="72"/>
      <c r="Y33" s="72"/>
      <c r="Z33" s="72"/>
      <c r="AA33" s="72"/>
      <c r="AB33" s="72"/>
      <c r="AC33" s="72"/>
      <c r="AD33" s="72"/>
      <c r="AE33" s="72"/>
    </row>
    <row r="34" spans="1:31" x14ac:dyDescent="0.25">
      <c r="A34" s="72"/>
      <c r="E34" s="72"/>
      <c r="F34" s="72"/>
      <c r="G34" s="72"/>
      <c r="H34" s="72"/>
      <c r="I34" s="72"/>
      <c r="J34" s="72"/>
      <c r="K34" s="72"/>
      <c r="L34" s="72"/>
      <c r="M34" s="72"/>
      <c r="N34" s="72"/>
      <c r="O34" s="72"/>
      <c r="P34" s="72"/>
      <c r="Q34" s="72"/>
      <c r="R34" s="72"/>
      <c r="S34" s="72"/>
      <c r="T34" s="72"/>
      <c r="U34" s="72"/>
      <c r="V34" s="72"/>
      <c r="W34" s="72"/>
      <c r="X34" s="72"/>
      <c r="Y34" s="72"/>
      <c r="Z34" s="72"/>
      <c r="AA34" s="72"/>
      <c r="AB34" s="72"/>
      <c r="AC34" s="72"/>
      <c r="AD34" s="72"/>
      <c r="AE34" s="72"/>
    </row>
    <row r="35" spans="1:31" x14ac:dyDescent="0.25">
      <c r="A35" s="72"/>
    </row>
    <row r="36" spans="1:31" x14ac:dyDescent="0.25">
      <c r="A36" s="72"/>
    </row>
    <row r="37" spans="1:31" x14ac:dyDescent="0.25">
      <c r="A37" s="72"/>
    </row>
    <row r="38" spans="1:31" x14ac:dyDescent="0.25">
      <c r="A38" s="72"/>
    </row>
    <row r="39" spans="1:31" x14ac:dyDescent="0.25">
      <c r="A39" s="72"/>
    </row>
    <row r="40" spans="1:31" x14ac:dyDescent="0.25">
      <c r="A40" s="72"/>
    </row>
    <row r="41" spans="1:31" x14ac:dyDescent="0.25">
      <c r="A41" s="72"/>
    </row>
    <row r="42" spans="1:31" x14ac:dyDescent="0.25">
      <c r="A42" s="72"/>
    </row>
    <row r="43" spans="1:31" x14ac:dyDescent="0.25">
      <c r="A43" s="72"/>
    </row>
    <row r="44" spans="1:31" x14ac:dyDescent="0.25">
      <c r="A44" s="72"/>
    </row>
    <row r="45" spans="1:31" x14ac:dyDescent="0.25">
      <c r="A45" s="72"/>
    </row>
    <row r="46" spans="1:31" x14ac:dyDescent="0.25">
      <c r="A46" s="72"/>
    </row>
    <row r="47" spans="1:31" x14ac:dyDescent="0.25">
      <c r="A47" s="72"/>
    </row>
    <row r="48" spans="1:31" x14ac:dyDescent="0.25">
      <c r="A48" s="72"/>
    </row>
    <row r="49" spans="1:1" x14ac:dyDescent="0.25">
      <c r="A49" s="72"/>
    </row>
    <row r="50" spans="1:1" x14ac:dyDescent="0.25">
      <c r="A50" s="72"/>
    </row>
    <row r="51" spans="1:1" x14ac:dyDescent="0.25">
      <c r="A51" s="72"/>
    </row>
    <row r="52" spans="1:1" x14ac:dyDescent="0.25">
      <c r="A52" s="72"/>
    </row>
    <row r="53" spans="1:1" x14ac:dyDescent="0.25">
      <c r="A53" s="72"/>
    </row>
    <row r="54" spans="1:1" x14ac:dyDescent="0.25">
      <c r="A54" s="72"/>
    </row>
    <row r="55" spans="1:1" x14ac:dyDescent="0.25">
      <c r="A55" s="72"/>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0" sqref="D10:D15"/>
    </sheetView>
  </sheetViews>
  <sheetFormatPr baseColWidth="10"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72"/>
      <c r="B1" s="574" t="s">
        <v>63</v>
      </c>
      <c r="C1" s="574"/>
      <c r="D1" s="574"/>
      <c r="E1" s="72"/>
      <c r="F1" s="72"/>
      <c r="G1" s="72"/>
      <c r="H1" s="72"/>
      <c r="I1" s="72"/>
      <c r="J1" s="72"/>
      <c r="K1" s="72"/>
      <c r="L1" s="72"/>
      <c r="M1" s="72"/>
      <c r="N1" s="72"/>
      <c r="O1" s="72"/>
      <c r="P1" s="72"/>
      <c r="Q1" s="72"/>
      <c r="R1" s="72"/>
      <c r="S1" s="72"/>
      <c r="T1" s="72"/>
      <c r="U1" s="72"/>
    </row>
    <row r="2" spans="1:21" x14ac:dyDescent="0.25">
      <c r="A2" s="72"/>
      <c r="B2" s="72"/>
      <c r="C2" s="72"/>
      <c r="D2" s="72"/>
      <c r="E2" s="72"/>
      <c r="F2" s="72"/>
      <c r="G2" s="72"/>
      <c r="H2" s="72"/>
      <c r="I2" s="72"/>
      <c r="J2" s="72"/>
      <c r="K2" s="72"/>
      <c r="L2" s="72"/>
      <c r="M2" s="72"/>
      <c r="N2" s="72"/>
      <c r="O2" s="72"/>
      <c r="P2" s="72"/>
      <c r="Q2" s="72"/>
      <c r="R2" s="72"/>
      <c r="S2" s="72"/>
      <c r="T2" s="72"/>
      <c r="U2" s="72"/>
    </row>
    <row r="3" spans="1:21" x14ac:dyDescent="0.25">
      <c r="A3" s="72"/>
      <c r="E3" s="72"/>
      <c r="F3" s="72"/>
      <c r="G3" s="72"/>
      <c r="H3" s="72"/>
      <c r="I3" s="72"/>
      <c r="J3" s="72"/>
      <c r="K3" s="72"/>
      <c r="L3" s="72"/>
      <c r="M3" s="72"/>
      <c r="N3" s="72"/>
      <c r="O3" s="72"/>
      <c r="P3" s="72"/>
      <c r="Q3" s="72"/>
      <c r="R3" s="72"/>
      <c r="S3" s="72"/>
      <c r="T3" s="72"/>
      <c r="U3" s="72"/>
    </row>
    <row r="4" spans="1:21" x14ac:dyDescent="0.25">
      <c r="A4" s="92" t="s">
        <v>83</v>
      </c>
      <c r="E4" s="72"/>
      <c r="F4" s="72"/>
      <c r="G4" s="72"/>
      <c r="H4" s="72"/>
      <c r="I4" s="72"/>
      <c r="J4" s="72"/>
      <c r="K4" s="72"/>
      <c r="L4" s="72"/>
      <c r="M4" s="72"/>
      <c r="N4" s="72"/>
      <c r="O4" s="72"/>
      <c r="P4" s="72"/>
      <c r="Q4" s="72"/>
      <c r="R4" s="72"/>
      <c r="S4" s="72"/>
      <c r="T4" s="72"/>
      <c r="U4" s="72"/>
    </row>
    <row r="5" spans="1:21" x14ac:dyDescent="0.25">
      <c r="A5" s="92" t="s">
        <v>84</v>
      </c>
      <c r="E5" s="72"/>
      <c r="F5" s="72"/>
      <c r="G5" s="72"/>
      <c r="H5" s="72"/>
      <c r="I5" s="72"/>
      <c r="J5" s="72"/>
      <c r="K5" s="72"/>
      <c r="L5" s="72"/>
      <c r="M5" s="72"/>
      <c r="N5" s="72"/>
      <c r="O5" s="72"/>
      <c r="P5" s="72"/>
      <c r="Q5" s="72"/>
      <c r="R5" s="72"/>
      <c r="S5" s="72"/>
      <c r="T5" s="72"/>
      <c r="U5" s="72"/>
    </row>
    <row r="6" spans="1:21" x14ac:dyDescent="0.25">
      <c r="A6" s="92" t="s">
        <v>81</v>
      </c>
      <c r="E6" s="72"/>
      <c r="F6" s="72"/>
      <c r="G6" s="72"/>
      <c r="H6" s="72"/>
      <c r="I6" s="72"/>
      <c r="J6" s="72"/>
      <c r="K6" s="72"/>
      <c r="L6" s="72"/>
      <c r="M6" s="72"/>
      <c r="N6" s="72"/>
      <c r="O6" s="72"/>
      <c r="P6" s="72"/>
      <c r="Q6" s="72"/>
      <c r="R6" s="72"/>
      <c r="S6" s="72"/>
      <c r="T6" s="72"/>
      <c r="U6" s="72"/>
    </row>
    <row r="7" spans="1:21" x14ac:dyDescent="0.25">
      <c r="A7" s="92" t="s">
        <v>7</v>
      </c>
      <c r="E7" s="72"/>
      <c r="F7" s="72"/>
      <c r="G7" s="72"/>
      <c r="H7" s="72"/>
      <c r="I7" s="72"/>
      <c r="J7" s="72"/>
      <c r="K7" s="72"/>
      <c r="L7" s="72"/>
      <c r="M7" s="72"/>
      <c r="N7" s="72"/>
      <c r="O7" s="72"/>
      <c r="P7" s="72"/>
      <c r="Q7" s="72"/>
      <c r="R7" s="72"/>
      <c r="S7" s="72"/>
      <c r="T7" s="72"/>
      <c r="U7" s="72"/>
    </row>
    <row r="8" spans="1:21" x14ac:dyDescent="0.25">
      <c r="A8" s="92" t="s">
        <v>85</v>
      </c>
      <c r="E8" s="72"/>
      <c r="F8" s="72"/>
      <c r="G8" s="72"/>
      <c r="H8" s="72"/>
      <c r="I8" s="72"/>
      <c r="J8" s="72"/>
      <c r="K8" s="72"/>
      <c r="L8" s="72"/>
      <c r="M8" s="72"/>
      <c r="N8" s="72"/>
      <c r="O8" s="72"/>
      <c r="P8" s="72"/>
      <c r="Q8" s="72"/>
      <c r="R8" s="72"/>
      <c r="S8" s="72"/>
      <c r="T8" s="72"/>
      <c r="U8" s="72"/>
    </row>
    <row r="9" spans="1:21" ht="20.25" x14ac:dyDescent="0.25">
      <c r="A9" s="92"/>
      <c r="B9" s="92"/>
      <c r="C9" s="94"/>
      <c r="D9" s="94"/>
      <c r="E9" s="72"/>
      <c r="F9" s="72"/>
      <c r="G9" s="72"/>
      <c r="H9" s="72"/>
      <c r="I9" s="72"/>
      <c r="J9" s="72"/>
      <c r="K9" s="72"/>
      <c r="L9" s="72"/>
      <c r="M9" s="72"/>
      <c r="N9" s="72"/>
      <c r="O9" s="72"/>
      <c r="P9" s="72"/>
      <c r="Q9" s="72"/>
      <c r="R9" s="72"/>
      <c r="S9" s="72"/>
      <c r="T9" s="72"/>
      <c r="U9" s="72"/>
    </row>
    <row r="10" spans="1:21" ht="30" x14ac:dyDescent="0.25">
      <c r="A10" s="92"/>
      <c r="B10" s="93"/>
      <c r="C10" s="24" t="s">
        <v>56</v>
      </c>
      <c r="D10" s="24" t="s">
        <v>57</v>
      </c>
      <c r="E10" s="72"/>
      <c r="F10" s="72"/>
      <c r="G10" s="72"/>
      <c r="H10" s="72"/>
      <c r="I10" s="72"/>
      <c r="J10" s="72"/>
      <c r="K10" s="72"/>
      <c r="L10" s="72"/>
      <c r="M10" s="72"/>
      <c r="N10" s="72"/>
      <c r="O10" s="72"/>
      <c r="P10" s="72"/>
      <c r="Q10" s="72"/>
      <c r="R10" s="72"/>
      <c r="S10" s="72"/>
      <c r="T10" s="72"/>
      <c r="U10" s="72"/>
    </row>
    <row r="11" spans="1:21" ht="33.75" x14ac:dyDescent="0.25">
      <c r="A11" s="92"/>
      <c r="B11" s="27" t="s">
        <v>99</v>
      </c>
      <c r="C11" s="32" t="s">
        <v>145</v>
      </c>
      <c r="D11" s="25" t="s">
        <v>95</v>
      </c>
      <c r="E11" s="72"/>
      <c r="F11" s="72"/>
      <c r="G11" s="72"/>
      <c r="H11" s="72"/>
      <c r="I11" s="72"/>
      <c r="J11" s="72"/>
      <c r="K11" s="72"/>
      <c r="L11" s="72"/>
      <c r="M11" s="72"/>
      <c r="N11" s="72"/>
      <c r="O11" s="72"/>
      <c r="P11" s="72"/>
      <c r="Q11" s="72"/>
      <c r="R11" s="72"/>
      <c r="S11" s="72"/>
      <c r="T11" s="72"/>
      <c r="U11" s="72"/>
    </row>
    <row r="12" spans="1:21" ht="67.5" x14ac:dyDescent="0.25">
      <c r="A12" s="92"/>
      <c r="B12" s="28" t="s">
        <v>59</v>
      </c>
      <c r="C12" s="33" t="s">
        <v>91</v>
      </c>
      <c r="D12" s="26" t="s">
        <v>96</v>
      </c>
      <c r="E12" s="72"/>
      <c r="F12" s="72"/>
      <c r="G12" s="72"/>
      <c r="H12" s="72"/>
      <c r="I12" s="72"/>
      <c r="J12" s="72"/>
      <c r="K12" s="72"/>
      <c r="L12" s="72"/>
      <c r="M12" s="72"/>
      <c r="N12" s="72"/>
      <c r="O12" s="72"/>
      <c r="P12" s="72"/>
      <c r="Q12" s="72"/>
      <c r="R12" s="72"/>
      <c r="S12" s="72"/>
      <c r="T12" s="72"/>
      <c r="U12" s="72"/>
    </row>
    <row r="13" spans="1:21" ht="67.5" x14ac:dyDescent="0.25">
      <c r="A13" s="92"/>
      <c r="B13" s="29" t="s">
        <v>60</v>
      </c>
      <c r="C13" s="33" t="s">
        <v>92</v>
      </c>
      <c r="D13" s="26" t="s">
        <v>98</v>
      </c>
      <c r="E13" s="72"/>
      <c r="F13" s="72"/>
      <c r="G13" s="72"/>
      <c r="H13" s="72"/>
      <c r="I13" s="72"/>
      <c r="J13" s="72"/>
      <c r="K13" s="72"/>
      <c r="L13" s="72"/>
      <c r="M13" s="72"/>
      <c r="N13" s="72"/>
      <c r="O13" s="72"/>
      <c r="P13" s="72"/>
      <c r="Q13" s="72"/>
      <c r="R13" s="72"/>
      <c r="S13" s="72"/>
      <c r="T13" s="72"/>
      <c r="U13" s="72"/>
    </row>
    <row r="14" spans="1:21" ht="101.25" x14ac:dyDescent="0.25">
      <c r="A14" s="92"/>
      <c r="B14" s="30" t="s">
        <v>61</v>
      </c>
      <c r="C14" s="33" t="s">
        <v>93</v>
      </c>
      <c r="D14" s="26" t="s">
        <v>97</v>
      </c>
      <c r="E14" s="72"/>
      <c r="F14" s="72"/>
      <c r="G14" s="72"/>
      <c r="H14" s="72"/>
      <c r="I14" s="72"/>
      <c r="J14" s="72"/>
      <c r="K14" s="72"/>
      <c r="L14" s="72"/>
      <c r="M14" s="72"/>
      <c r="N14" s="72"/>
      <c r="O14" s="72"/>
      <c r="P14" s="72"/>
      <c r="Q14" s="72"/>
      <c r="R14" s="72"/>
      <c r="S14" s="72"/>
      <c r="T14" s="72"/>
      <c r="U14" s="72"/>
    </row>
    <row r="15" spans="1:21" ht="67.5" x14ac:dyDescent="0.25">
      <c r="A15" s="92"/>
      <c r="B15" s="31" t="s">
        <v>62</v>
      </c>
      <c r="C15" s="33" t="s">
        <v>94</v>
      </c>
      <c r="D15" s="26" t="s">
        <v>116</v>
      </c>
      <c r="E15" s="72"/>
      <c r="F15" s="72"/>
      <c r="G15" s="72"/>
      <c r="H15" s="72"/>
      <c r="I15" s="72"/>
      <c r="J15" s="72"/>
      <c r="K15" s="72"/>
      <c r="L15" s="72"/>
      <c r="M15" s="72"/>
      <c r="N15" s="72"/>
      <c r="O15" s="72"/>
      <c r="P15" s="72"/>
      <c r="Q15" s="72"/>
      <c r="R15" s="72"/>
      <c r="S15" s="72"/>
      <c r="T15" s="72"/>
      <c r="U15" s="72"/>
    </row>
    <row r="16" spans="1:21" x14ac:dyDescent="0.25">
      <c r="A16" s="92"/>
      <c r="B16" s="92"/>
      <c r="C16" s="92"/>
      <c r="D16" s="92"/>
      <c r="E16" s="72"/>
      <c r="F16" s="72"/>
      <c r="G16" s="72"/>
      <c r="H16" s="72"/>
      <c r="I16" s="72"/>
      <c r="J16" s="72"/>
      <c r="K16" s="72"/>
      <c r="L16" s="72"/>
      <c r="M16" s="72"/>
      <c r="N16" s="72"/>
      <c r="O16" s="72"/>
    </row>
    <row r="17" spans="1:15" x14ac:dyDescent="0.25">
      <c r="A17" s="92"/>
      <c r="B17" s="92"/>
      <c r="C17" s="92"/>
      <c r="D17" s="92"/>
      <c r="E17" s="72"/>
      <c r="F17" s="72"/>
      <c r="G17" s="72"/>
      <c r="H17" s="72"/>
      <c r="I17" s="72"/>
      <c r="J17" s="72"/>
      <c r="K17" s="72"/>
      <c r="L17" s="72"/>
      <c r="M17" s="72"/>
      <c r="N17" s="72"/>
      <c r="O17" s="72"/>
    </row>
    <row r="18" spans="1:15" x14ac:dyDescent="0.25">
      <c r="A18" s="92"/>
      <c r="B18" s="95"/>
      <c r="C18" s="95"/>
      <c r="D18" s="95"/>
      <c r="E18" s="72"/>
      <c r="F18" s="72"/>
      <c r="G18" s="72"/>
      <c r="H18" s="72"/>
      <c r="I18" s="72"/>
      <c r="J18" s="72"/>
      <c r="K18" s="72"/>
      <c r="L18" s="72"/>
      <c r="M18" s="72"/>
      <c r="N18" s="72"/>
      <c r="O18" s="72"/>
    </row>
    <row r="19" spans="1:15" x14ac:dyDescent="0.25">
      <c r="A19" s="92"/>
      <c r="B19" s="95"/>
      <c r="C19" s="95"/>
      <c r="D19" s="95"/>
      <c r="E19" s="72"/>
      <c r="F19" s="72"/>
      <c r="G19" s="72"/>
      <c r="H19" s="72"/>
      <c r="I19" s="72"/>
      <c r="J19" s="72"/>
      <c r="K19" s="72"/>
      <c r="L19" s="72"/>
      <c r="M19" s="72"/>
      <c r="N19" s="72"/>
      <c r="O19" s="72"/>
    </row>
    <row r="20" spans="1:15" x14ac:dyDescent="0.25">
      <c r="A20" s="92"/>
      <c r="B20" s="95"/>
      <c r="C20" s="95"/>
      <c r="D20" s="95"/>
      <c r="E20" s="72"/>
      <c r="F20" s="72"/>
      <c r="G20" s="72"/>
      <c r="H20" s="72"/>
      <c r="I20" s="72"/>
      <c r="J20" s="72"/>
      <c r="K20" s="72"/>
      <c r="L20" s="72"/>
      <c r="M20" s="72"/>
      <c r="N20" s="72"/>
      <c r="O20" s="72"/>
    </row>
    <row r="21" spans="1:15" x14ac:dyDescent="0.25">
      <c r="A21" s="92"/>
      <c r="B21" s="95"/>
      <c r="C21" s="95"/>
      <c r="D21" s="95"/>
      <c r="E21" s="72"/>
      <c r="F21" s="72"/>
      <c r="G21" s="72"/>
      <c r="H21" s="72"/>
      <c r="I21" s="72"/>
      <c r="J21" s="72"/>
      <c r="K21" s="72"/>
      <c r="L21" s="72"/>
      <c r="M21" s="72"/>
      <c r="N21" s="72"/>
      <c r="O21" s="72"/>
    </row>
    <row r="22" spans="1:15" ht="20.25" x14ac:dyDescent="0.25">
      <c r="A22" s="92"/>
      <c r="B22" s="92"/>
      <c r="C22" s="94"/>
      <c r="D22" s="94"/>
      <c r="E22" s="72"/>
      <c r="F22" s="72"/>
      <c r="G22" s="72"/>
      <c r="H22" s="72"/>
      <c r="I22" s="72"/>
      <c r="J22" s="72"/>
      <c r="K22" s="72"/>
      <c r="L22" s="72"/>
      <c r="M22" s="72"/>
      <c r="N22" s="72"/>
      <c r="O22" s="72"/>
    </row>
    <row r="23" spans="1:15" ht="20.25" x14ac:dyDescent="0.25">
      <c r="A23" s="92"/>
      <c r="B23" s="92"/>
      <c r="C23" s="94"/>
      <c r="D23" s="94"/>
      <c r="E23" s="72"/>
      <c r="F23" s="72"/>
      <c r="G23" s="72"/>
      <c r="H23" s="72"/>
      <c r="I23" s="72"/>
      <c r="J23" s="72"/>
      <c r="K23" s="72"/>
      <c r="L23" s="72"/>
      <c r="M23" s="72"/>
      <c r="N23" s="72"/>
      <c r="O23" s="72"/>
    </row>
    <row r="24" spans="1:15" ht="20.25" x14ac:dyDescent="0.25">
      <c r="A24" s="92"/>
      <c r="B24" s="92"/>
      <c r="C24" s="94"/>
      <c r="D24" s="94"/>
      <c r="E24" s="72"/>
      <c r="F24" s="72"/>
      <c r="G24" s="72"/>
      <c r="H24" s="72"/>
      <c r="I24" s="72"/>
      <c r="J24" s="72"/>
      <c r="K24" s="72"/>
      <c r="L24" s="72"/>
      <c r="M24" s="72"/>
      <c r="N24" s="72"/>
      <c r="O24" s="72"/>
    </row>
    <row r="25" spans="1:15" ht="20.25" x14ac:dyDescent="0.25">
      <c r="A25" s="92"/>
      <c r="B25" s="92"/>
      <c r="C25" s="94"/>
      <c r="D25" s="94"/>
      <c r="E25" s="72"/>
      <c r="F25" s="72"/>
      <c r="G25" s="72"/>
      <c r="H25" s="72"/>
      <c r="I25" s="72"/>
      <c r="J25" s="72"/>
      <c r="K25" s="72"/>
      <c r="L25" s="72"/>
      <c r="M25" s="72"/>
      <c r="N25" s="72"/>
      <c r="O25" s="72"/>
    </row>
    <row r="26" spans="1:15" ht="20.25" x14ac:dyDescent="0.25">
      <c r="A26" s="92"/>
      <c r="B26" s="92"/>
      <c r="C26" s="94"/>
      <c r="D26" s="94"/>
      <c r="E26" s="72"/>
      <c r="F26" s="72"/>
      <c r="G26" s="72"/>
      <c r="H26" s="72"/>
      <c r="I26" s="72"/>
      <c r="J26" s="72"/>
      <c r="K26" s="72"/>
      <c r="L26" s="72"/>
      <c r="M26" s="72"/>
      <c r="N26" s="72"/>
      <c r="O26" s="72"/>
    </row>
    <row r="27" spans="1:15" ht="20.25" x14ac:dyDescent="0.25">
      <c r="A27" s="92"/>
      <c r="B27" s="92"/>
      <c r="C27" s="94"/>
      <c r="D27" s="94"/>
      <c r="E27" s="72"/>
      <c r="F27" s="72"/>
      <c r="G27" s="72"/>
      <c r="H27" s="72"/>
      <c r="I27" s="72"/>
      <c r="J27" s="72"/>
      <c r="K27" s="72"/>
      <c r="L27" s="72"/>
      <c r="M27" s="72"/>
      <c r="N27" s="72"/>
      <c r="O27" s="72"/>
    </row>
    <row r="28" spans="1:15" ht="20.25" x14ac:dyDescent="0.25">
      <c r="A28" s="92"/>
      <c r="B28" s="92"/>
      <c r="C28" s="94"/>
      <c r="D28" s="94"/>
      <c r="E28" s="72"/>
      <c r="F28" s="72"/>
      <c r="G28" s="72"/>
      <c r="H28" s="72"/>
      <c r="I28" s="72"/>
      <c r="J28" s="72"/>
      <c r="K28" s="72"/>
      <c r="L28" s="72"/>
      <c r="M28" s="72"/>
      <c r="N28" s="72"/>
      <c r="O28" s="72"/>
    </row>
    <row r="29" spans="1:15" ht="20.25" x14ac:dyDescent="0.25">
      <c r="A29" s="92"/>
      <c r="B29" s="92"/>
      <c r="C29" s="94"/>
      <c r="D29" s="94"/>
      <c r="E29" s="72"/>
      <c r="F29" s="72"/>
      <c r="G29" s="72"/>
      <c r="H29" s="72"/>
      <c r="I29" s="72"/>
      <c r="J29" s="72"/>
      <c r="K29" s="72"/>
      <c r="L29" s="72"/>
      <c r="M29" s="72"/>
      <c r="N29" s="72"/>
      <c r="O29" s="72"/>
    </row>
    <row r="30" spans="1:15" ht="20.25" x14ac:dyDescent="0.25">
      <c r="A30" s="92"/>
      <c r="B30" s="92"/>
      <c r="C30" s="94"/>
      <c r="D30" s="94"/>
      <c r="E30" s="72"/>
      <c r="F30" s="72"/>
      <c r="G30" s="72"/>
      <c r="H30" s="72"/>
      <c r="I30" s="72"/>
      <c r="J30" s="72"/>
      <c r="K30" s="72"/>
      <c r="L30" s="72"/>
      <c r="M30" s="72"/>
      <c r="N30" s="72"/>
      <c r="O30" s="72"/>
    </row>
    <row r="31" spans="1:15" ht="20.25" x14ac:dyDescent="0.25">
      <c r="A31" s="92"/>
      <c r="B31" s="92"/>
      <c r="C31" s="94"/>
      <c r="D31" s="94"/>
      <c r="E31" s="72"/>
      <c r="F31" s="72"/>
      <c r="G31" s="72"/>
      <c r="H31" s="72"/>
      <c r="I31" s="72"/>
      <c r="J31" s="72"/>
      <c r="K31" s="72"/>
      <c r="L31" s="72"/>
      <c r="M31" s="72"/>
      <c r="N31" s="72"/>
      <c r="O31" s="72"/>
    </row>
    <row r="32" spans="1:15" ht="20.25" x14ac:dyDescent="0.25">
      <c r="A32" s="92"/>
      <c r="B32" s="92"/>
      <c r="C32" s="94"/>
      <c r="D32" s="94"/>
      <c r="E32" s="72"/>
      <c r="F32" s="72"/>
      <c r="G32" s="72"/>
      <c r="H32" s="72"/>
      <c r="I32" s="72"/>
      <c r="J32" s="72"/>
      <c r="K32" s="72"/>
      <c r="L32" s="72"/>
      <c r="M32" s="72"/>
      <c r="N32" s="72"/>
      <c r="O32" s="72"/>
    </row>
    <row r="33" spans="1:15" ht="20.25" x14ac:dyDescent="0.25">
      <c r="A33" s="92"/>
      <c r="B33" s="92"/>
      <c r="C33" s="94"/>
      <c r="D33" s="94"/>
      <c r="E33" s="72"/>
      <c r="F33" s="72"/>
      <c r="G33" s="72"/>
      <c r="H33" s="72"/>
      <c r="I33" s="72"/>
      <c r="J33" s="72"/>
      <c r="K33" s="72"/>
      <c r="L33" s="72"/>
      <c r="M33" s="72"/>
      <c r="N33" s="72"/>
      <c r="O33" s="72"/>
    </row>
    <row r="34" spans="1:15" ht="20.25" x14ac:dyDescent="0.25">
      <c r="A34" s="92"/>
      <c r="B34" s="92"/>
      <c r="C34" s="94"/>
      <c r="D34" s="94"/>
      <c r="E34" s="72"/>
      <c r="F34" s="72"/>
      <c r="G34" s="72"/>
      <c r="H34" s="72"/>
      <c r="I34" s="72"/>
      <c r="J34" s="72"/>
      <c r="K34" s="72"/>
      <c r="L34" s="72"/>
      <c r="M34" s="72"/>
      <c r="N34" s="72"/>
      <c r="O34" s="72"/>
    </row>
    <row r="35" spans="1:15" ht="20.25" x14ac:dyDescent="0.25">
      <c r="A35" s="92"/>
      <c r="B35" s="92"/>
      <c r="C35" s="94"/>
      <c r="D35" s="94"/>
      <c r="E35" s="72"/>
      <c r="F35" s="72"/>
      <c r="G35" s="72"/>
      <c r="H35" s="72"/>
      <c r="I35" s="72"/>
      <c r="J35" s="72"/>
      <c r="K35" s="72"/>
      <c r="L35" s="72"/>
      <c r="M35" s="72"/>
      <c r="N35" s="72"/>
      <c r="O35" s="72"/>
    </row>
    <row r="36" spans="1:15" ht="20.25" x14ac:dyDescent="0.25">
      <c r="A36" s="92"/>
      <c r="B36" s="92"/>
      <c r="C36" s="94"/>
      <c r="D36" s="94"/>
      <c r="E36" s="72"/>
      <c r="F36" s="72"/>
      <c r="G36" s="72"/>
      <c r="H36" s="72"/>
      <c r="I36" s="72"/>
      <c r="J36" s="72"/>
      <c r="K36" s="72"/>
      <c r="L36" s="72"/>
      <c r="M36" s="72"/>
      <c r="N36" s="72"/>
      <c r="O36" s="72"/>
    </row>
    <row r="37" spans="1:15" ht="20.25" x14ac:dyDescent="0.25">
      <c r="A37" s="92"/>
      <c r="B37" s="92"/>
      <c r="C37" s="94"/>
      <c r="D37" s="94"/>
      <c r="E37" s="72"/>
      <c r="F37" s="72"/>
      <c r="G37" s="72"/>
      <c r="H37" s="72"/>
      <c r="I37" s="72"/>
      <c r="J37" s="72"/>
      <c r="K37" s="72"/>
      <c r="L37" s="72"/>
      <c r="M37" s="72"/>
      <c r="N37" s="72"/>
      <c r="O37" s="72"/>
    </row>
    <row r="38" spans="1:15" ht="20.25" x14ac:dyDescent="0.25">
      <c r="A38" s="92"/>
      <c r="B38" s="92"/>
      <c r="C38" s="94"/>
      <c r="D38" s="94"/>
      <c r="E38" s="72"/>
      <c r="F38" s="72"/>
      <c r="G38" s="72"/>
      <c r="H38" s="72"/>
      <c r="I38" s="72"/>
      <c r="J38" s="72"/>
      <c r="K38" s="72"/>
      <c r="L38" s="72"/>
      <c r="M38" s="72"/>
      <c r="N38" s="72"/>
      <c r="O38" s="72"/>
    </row>
    <row r="39" spans="1:15" ht="20.25" x14ac:dyDescent="0.25">
      <c r="A39" s="92"/>
      <c r="B39" s="92"/>
      <c r="C39" s="94"/>
      <c r="D39" s="94"/>
      <c r="E39" s="72"/>
      <c r="F39" s="72"/>
      <c r="G39" s="72"/>
      <c r="H39" s="72"/>
      <c r="I39" s="72"/>
      <c r="J39" s="72"/>
      <c r="K39" s="72"/>
      <c r="L39" s="72"/>
      <c r="M39" s="72"/>
      <c r="N39" s="72"/>
      <c r="O39" s="72"/>
    </row>
    <row r="40" spans="1:15" ht="20.25" x14ac:dyDescent="0.25">
      <c r="A40" s="92"/>
      <c r="B40" s="92"/>
      <c r="C40" s="94"/>
      <c r="D40" s="94"/>
      <c r="E40" s="72"/>
      <c r="F40" s="72"/>
      <c r="G40" s="72"/>
      <c r="H40" s="72"/>
      <c r="I40" s="72"/>
      <c r="J40" s="72"/>
      <c r="K40" s="72"/>
      <c r="L40" s="72"/>
      <c r="M40" s="72"/>
      <c r="N40" s="72"/>
      <c r="O40" s="72"/>
    </row>
    <row r="41" spans="1:15" ht="20.25" x14ac:dyDescent="0.25">
      <c r="A41" s="92"/>
      <c r="B41" s="92"/>
      <c r="C41" s="94"/>
      <c r="D41" s="94"/>
      <c r="E41" s="72"/>
      <c r="F41" s="72"/>
      <c r="G41" s="72"/>
      <c r="H41" s="72"/>
      <c r="I41" s="72"/>
      <c r="J41" s="72"/>
      <c r="K41" s="72"/>
      <c r="L41" s="72"/>
      <c r="M41" s="72"/>
      <c r="N41" s="72"/>
      <c r="O41" s="72"/>
    </row>
    <row r="42" spans="1:15" ht="20.25" x14ac:dyDescent="0.25">
      <c r="A42" s="92"/>
      <c r="B42" s="92"/>
      <c r="C42" s="94"/>
      <c r="D42" s="94"/>
      <c r="E42" s="72"/>
      <c r="F42" s="72"/>
      <c r="G42" s="72"/>
      <c r="H42" s="72"/>
      <c r="I42" s="72"/>
      <c r="J42" s="72"/>
      <c r="K42" s="72"/>
      <c r="L42" s="72"/>
      <c r="M42" s="72"/>
      <c r="N42" s="72"/>
      <c r="O42" s="72"/>
    </row>
    <row r="43" spans="1:15" ht="20.25" x14ac:dyDescent="0.25">
      <c r="A43" s="92"/>
      <c r="B43" s="92"/>
      <c r="C43" s="94"/>
      <c r="D43" s="94"/>
      <c r="E43" s="72"/>
      <c r="F43" s="72"/>
      <c r="G43" s="72"/>
      <c r="H43" s="72"/>
      <c r="I43" s="72"/>
      <c r="J43" s="72"/>
      <c r="K43" s="72"/>
      <c r="L43" s="72"/>
      <c r="M43" s="72"/>
      <c r="N43" s="72"/>
      <c r="O43" s="72"/>
    </row>
    <row r="44" spans="1:15" ht="20.25" x14ac:dyDescent="0.25">
      <c r="A44" s="92"/>
      <c r="B44" s="92"/>
      <c r="C44" s="94"/>
      <c r="D44" s="94"/>
      <c r="E44" s="72"/>
      <c r="F44" s="72"/>
      <c r="G44" s="72"/>
      <c r="H44" s="72"/>
      <c r="I44" s="72"/>
      <c r="J44" s="72"/>
      <c r="K44" s="72"/>
      <c r="L44" s="72"/>
      <c r="M44" s="72"/>
      <c r="N44" s="72"/>
      <c r="O44" s="72"/>
    </row>
    <row r="45" spans="1:15" ht="20.25" x14ac:dyDescent="0.25">
      <c r="A45" s="92"/>
      <c r="B45" s="92"/>
      <c r="C45" s="94"/>
      <c r="D45" s="94"/>
      <c r="E45" s="72"/>
      <c r="F45" s="72"/>
      <c r="G45" s="72"/>
      <c r="H45" s="72"/>
      <c r="I45" s="72"/>
      <c r="J45" s="72"/>
      <c r="K45" s="72"/>
      <c r="L45" s="72"/>
      <c r="M45" s="72"/>
      <c r="N45" s="72"/>
      <c r="O45" s="72"/>
    </row>
    <row r="46" spans="1:15" ht="20.25" x14ac:dyDescent="0.25">
      <c r="A46" s="92"/>
      <c r="B46" s="92"/>
      <c r="C46" s="94"/>
      <c r="D46" s="94"/>
      <c r="E46" s="72"/>
      <c r="F46" s="72"/>
      <c r="G46" s="72"/>
      <c r="H46" s="72"/>
      <c r="I46" s="72"/>
      <c r="J46" s="72"/>
      <c r="K46" s="72"/>
      <c r="L46" s="72"/>
      <c r="M46" s="72"/>
      <c r="N46" s="72"/>
      <c r="O46" s="72"/>
    </row>
    <row r="47" spans="1:15" ht="20.25" x14ac:dyDescent="0.25">
      <c r="A47" s="92"/>
      <c r="B47" s="92"/>
      <c r="C47" s="94"/>
      <c r="D47" s="94"/>
      <c r="E47" s="72"/>
      <c r="F47" s="72"/>
      <c r="G47" s="72"/>
      <c r="H47" s="72"/>
      <c r="I47" s="72"/>
      <c r="J47" s="72"/>
      <c r="K47" s="72"/>
      <c r="L47" s="72"/>
      <c r="M47" s="72"/>
      <c r="N47" s="72"/>
      <c r="O47" s="72"/>
    </row>
    <row r="48" spans="1:15" ht="20.25" x14ac:dyDescent="0.25">
      <c r="A48" s="92"/>
      <c r="B48" s="92"/>
      <c r="C48" s="94"/>
      <c r="D48" s="94"/>
      <c r="E48" s="72"/>
      <c r="F48" s="72"/>
      <c r="G48" s="72"/>
      <c r="H48" s="72"/>
      <c r="I48" s="72"/>
      <c r="J48" s="72"/>
      <c r="K48" s="72"/>
      <c r="L48" s="72"/>
      <c r="M48" s="72"/>
      <c r="N48" s="72"/>
      <c r="O48" s="72"/>
    </row>
    <row r="49" spans="1:15" ht="20.25" x14ac:dyDescent="0.25">
      <c r="A49" s="92"/>
      <c r="B49" s="92"/>
      <c r="C49" s="94"/>
      <c r="D49" s="94"/>
      <c r="E49" s="72"/>
      <c r="F49" s="72"/>
      <c r="G49" s="72"/>
      <c r="H49" s="72"/>
      <c r="I49" s="72"/>
      <c r="J49" s="72"/>
      <c r="K49" s="72"/>
      <c r="L49" s="72"/>
      <c r="M49" s="72"/>
      <c r="N49" s="72"/>
      <c r="O49" s="72"/>
    </row>
    <row r="50" spans="1:15" ht="20.25" x14ac:dyDescent="0.25">
      <c r="A50" s="92"/>
      <c r="B50" s="92"/>
      <c r="C50" s="94"/>
      <c r="D50" s="94"/>
      <c r="E50" s="72"/>
      <c r="F50" s="72"/>
      <c r="G50" s="72"/>
      <c r="H50" s="72"/>
      <c r="I50" s="72"/>
      <c r="J50" s="72"/>
      <c r="K50" s="72"/>
      <c r="L50" s="72"/>
      <c r="M50" s="72"/>
      <c r="N50" s="72"/>
      <c r="O50" s="72"/>
    </row>
    <row r="51" spans="1:15" ht="20.25" x14ac:dyDescent="0.25">
      <c r="A51" s="92"/>
      <c r="B51" s="92"/>
      <c r="C51" s="94"/>
      <c r="D51" s="94"/>
      <c r="E51" s="72"/>
      <c r="F51" s="72"/>
      <c r="G51" s="72"/>
      <c r="H51" s="72"/>
      <c r="I51" s="72"/>
      <c r="J51" s="72"/>
      <c r="K51" s="72"/>
      <c r="L51" s="72"/>
      <c r="M51" s="72"/>
      <c r="N51" s="72"/>
      <c r="O51" s="72"/>
    </row>
    <row r="52" spans="1:15" ht="20.25" x14ac:dyDescent="0.25">
      <c r="A52" s="92"/>
      <c r="B52" s="17"/>
      <c r="C52" s="22"/>
      <c r="D52" s="22"/>
    </row>
    <row r="53" spans="1:15" ht="20.25" x14ac:dyDescent="0.25">
      <c r="A53" s="92"/>
      <c r="B53" s="17"/>
      <c r="C53" s="22"/>
      <c r="D53" s="22"/>
    </row>
    <row r="54" spans="1:15" ht="20.25" x14ac:dyDescent="0.25">
      <c r="A54" s="92"/>
      <c r="B54" s="17"/>
      <c r="C54" s="22"/>
      <c r="D54" s="22"/>
    </row>
    <row r="55" spans="1:15" ht="20.25" x14ac:dyDescent="0.25">
      <c r="A55" s="92"/>
      <c r="B55" s="17"/>
      <c r="C55" s="22"/>
      <c r="D55" s="22"/>
    </row>
    <row r="56" spans="1:15" ht="20.25" x14ac:dyDescent="0.25">
      <c r="A56" s="92"/>
      <c r="B56" s="17"/>
      <c r="C56" s="22"/>
      <c r="D56" s="22"/>
    </row>
    <row r="57" spans="1:15" ht="20.25" x14ac:dyDescent="0.25">
      <c r="A57" s="92"/>
      <c r="B57" s="17"/>
      <c r="C57" s="22"/>
      <c r="D57" s="22"/>
    </row>
    <row r="58" spans="1:15" ht="20.25" x14ac:dyDescent="0.25">
      <c r="A58" s="92"/>
      <c r="B58" s="17"/>
      <c r="C58" s="22"/>
      <c r="D58" s="22"/>
    </row>
    <row r="59" spans="1:15" ht="20.25" x14ac:dyDescent="0.25">
      <c r="A59" s="92"/>
      <c r="B59" s="17"/>
      <c r="C59" s="22"/>
      <c r="D59" s="22"/>
    </row>
    <row r="60" spans="1:15" ht="20.25" x14ac:dyDescent="0.25">
      <c r="A60" s="92"/>
      <c r="B60" s="17"/>
      <c r="C60" s="22"/>
      <c r="D60" s="22"/>
    </row>
    <row r="61" spans="1:15" ht="20.25" x14ac:dyDescent="0.25">
      <c r="A61" s="92"/>
      <c r="B61" s="17"/>
      <c r="C61" s="22"/>
      <c r="D61" s="22"/>
    </row>
    <row r="62" spans="1:15" ht="20.25" x14ac:dyDescent="0.25">
      <c r="A62" s="92"/>
      <c r="B62" s="17"/>
      <c r="C62" s="22"/>
      <c r="D62" s="22"/>
    </row>
    <row r="63" spans="1:15" ht="20.25" x14ac:dyDescent="0.25">
      <c r="A63" s="92"/>
      <c r="B63" s="17"/>
      <c r="C63" s="22"/>
      <c r="D63" s="22"/>
    </row>
    <row r="64" spans="1:15" ht="20.25" x14ac:dyDescent="0.25">
      <c r="A64" s="92"/>
      <c r="B64" s="17"/>
      <c r="C64" s="22"/>
      <c r="D64" s="22"/>
    </row>
    <row r="65" spans="1:4" ht="20.25" x14ac:dyDescent="0.25">
      <c r="A65" s="92"/>
      <c r="B65" s="17"/>
      <c r="C65" s="22"/>
      <c r="D65" s="22"/>
    </row>
    <row r="66" spans="1:4" ht="20.25" x14ac:dyDescent="0.25">
      <c r="A66" s="92"/>
      <c r="B66" s="17"/>
      <c r="C66" s="22"/>
      <c r="D66" s="22"/>
    </row>
    <row r="67" spans="1:4" ht="20.25" x14ac:dyDescent="0.25">
      <c r="A67" s="92"/>
      <c r="B67" s="17"/>
      <c r="C67" s="22"/>
      <c r="D67" s="22"/>
    </row>
    <row r="68" spans="1:4" ht="20.25" x14ac:dyDescent="0.25">
      <c r="A68" s="92"/>
      <c r="B68" s="17"/>
      <c r="C68" s="22"/>
      <c r="D68" s="22"/>
    </row>
    <row r="69" spans="1:4" ht="20.25" x14ac:dyDescent="0.25">
      <c r="A69" s="92"/>
      <c r="B69" s="17"/>
      <c r="C69" s="22"/>
      <c r="D69" s="22"/>
    </row>
    <row r="70" spans="1:4" ht="20.25" x14ac:dyDescent="0.25">
      <c r="A70" s="92"/>
      <c r="B70" s="17"/>
      <c r="C70" s="22"/>
      <c r="D70" s="22"/>
    </row>
    <row r="71" spans="1:4" ht="20.25" x14ac:dyDescent="0.25">
      <c r="A71" s="92"/>
      <c r="B71" s="17"/>
      <c r="C71" s="22"/>
      <c r="D71" s="22"/>
    </row>
    <row r="72" spans="1:4" ht="20.25" x14ac:dyDescent="0.25">
      <c r="A72" s="92"/>
      <c r="B72" s="17"/>
      <c r="C72" s="22"/>
      <c r="D72" s="22"/>
    </row>
    <row r="73" spans="1:4" ht="20.25" x14ac:dyDescent="0.25">
      <c r="A73" s="92"/>
      <c r="B73" s="17"/>
      <c r="C73" s="22"/>
      <c r="D73" s="22"/>
    </row>
    <row r="74" spans="1:4" ht="20.25" x14ac:dyDescent="0.25">
      <c r="A74" s="92"/>
      <c r="B74" s="17"/>
      <c r="C74" s="22"/>
      <c r="D74" s="22"/>
    </row>
    <row r="75" spans="1:4" ht="20.25" x14ac:dyDescent="0.25">
      <c r="A75" s="92"/>
      <c r="B75" s="17"/>
      <c r="C75" s="22"/>
      <c r="D75" s="22"/>
    </row>
    <row r="76" spans="1:4" ht="20.25" x14ac:dyDescent="0.25">
      <c r="A76" s="92"/>
      <c r="B76" s="17"/>
      <c r="C76" s="22"/>
      <c r="D76" s="22"/>
    </row>
    <row r="77" spans="1:4" ht="20.25" x14ac:dyDescent="0.25">
      <c r="A77" s="92"/>
      <c r="B77" s="17"/>
      <c r="C77" s="22"/>
      <c r="D77" s="22"/>
    </row>
    <row r="78" spans="1:4" ht="20.25" x14ac:dyDescent="0.25">
      <c r="A78" s="92"/>
      <c r="B78" s="17"/>
      <c r="C78" s="22"/>
      <c r="D78" s="22"/>
    </row>
    <row r="79" spans="1:4" ht="20.25" x14ac:dyDescent="0.25">
      <c r="A79" s="92"/>
      <c r="B79" s="17"/>
      <c r="C79" s="22"/>
      <c r="D79" s="22"/>
    </row>
    <row r="80" spans="1:4" ht="20.25" x14ac:dyDescent="0.25">
      <c r="A80" s="92"/>
      <c r="B80" s="17"/>
      <c r="C80" s="22"/>
      <c r="D80" s="22"/>
    </row>
    <row r="81" spans="1:4" ht="20.25" x14ac:dyDescent="0.25">
      <c r="A81" s="92"/>
      <c r="B81" s="17"/>
      <c r="C81" s="22"/>
      <c r="D81" s="22"/>
    </row>
    <row r="82" spans="1:4" ht="20.25" x14ac:dyDescent="0.25">
      <c r="A82" s="92"/>
      <c r="B82" s="17"/>
      <c r="C82" s="22"/>
      <c r="D82" s="22"/>
    </row>
    <row r="83" spans="1:4" ht="20.25" x14ac:dyDescent="0.25">
      <c r="A83" s="92"/>
      <c r="B83" s="17"/>
      <c r="C83" s="22"/>
      <c r="D83" s="22"/>
    </row>
    <row r="84" spans="1:4" ht="20.25" x14ac:dyDescent="0.25">
      <c r="A84" s="92"/>
      <c r="B84" s="17"/>
      <c r="C84" s="22"/>
      <c r="D84" s="22"/>
    </row>
    <row r="85" spans="1:4" ht="20.25" x14ac:dyDescent="0.25">
      <c r="A85" s="92"/>
      <c r="B85" s="17"/>
      <c r="C85" s="22"/>
      <c r="D85" s="22"/>
    </row>
    <row r="86" spans="1:4" ht="20.25" x14ac:dyDescent="0.25">
      <c r="A86" s="92"/>
      <c r="B86" s="17"/>
      <c r="C86" s="22"/>
      <c r="D86" s="22"/>
    </row>
    <row r="87" spans="1:4" ht="20.25" x14ac:dyDescent="0.25">
      <c r="A87" s="92"/>
      <c r="B87" s="17"/>
      <c r="C87" s="22"/>
      <c r="D87" s="22"/>
    </row>
    <row r="88" spans="1:4" ht="20.25" x14ac:dyDescent="0.25">
      <c r="A88" s="92"/>
      <c r="B88" s="17"/>
      <c r="C88" s="22"/>
      <c r="D88" s="22"/>
    </row>
    <row r="89" spans="1:4" ht="20.25" x14ac:dyDescent="0.25">
      <c r="A89" s="92"/>
      <c r="B89" s="17"/>
      <c r="C89" s="22"/>
      <c r="D89" s="22"/>
    </row>
    <row r="90" spans="1:4" ht="20.25" x14ac:dyDescent="0.25">
      <c r="A90" s="92"/>
      <c r="B90" s="17"/>
      <c r="C90" s="22"/>
      <c r="D90" s="22"/>
    </row>
    <row r="91" spans="1:4" ht="20.25" x14ac:dyDescent="0.25">
      <c r="A91" s="92"/>
      <c r="B91" s="17"/>
      <c r="C91" s="22"/>
      <c r="D91" s="22"/>
    </row>
    <row r="92" spans="1:4" ht="20.25" x14ac:dyDescent="0.25">
      <c r="A92" s="92"/>
      <c r="B92" s="17"/>
      <c r="C92" s="22"/>
      <c r="D92" s="22"/>
    </row>
    <row r="93" spans="1:4" ht="20.25" x14ac:dyDescent="0.25">
      <c r="A93" s="92"/>
      <c r="B93" s="17"/>
      <c r="C93" s="22"/>
      <c r="D93" s="22"/>
    </row>
    <row r="94" spans="1:4" ht="20.25" x14ac:dyDescent="0.25">
      <c r="A94" s="92"/>
      <c r="B94" s="17"/>
      <c r="C94" s="22"/>
      <c r="D94" s="22"/>
    </row>
    <row r="95" spans="1:4" ht="20.25" x14ac:dyDescent="0.25">
      <c r="A95" s="92"/>
      <c r="B95" s="17"/>
      <c r="C95" s="22"/>
      <c r="D95" s="22"/>
    </row>
    <row r="96" spans="1:4" ht="20.25" x14ac:dyDescent="0.25">
      <c r="A96" s="92"/>
      <c r="B96" s="17"/>
      <c r="C96" s="22"/>
      <c r="D96" s="22"/>
    </row>
    <row r="97" spans="1:4" ht="20.25" x14ac:dyDescent="0.25">
      <c r="A97" s="92"/>
      <c r="B97" s="17"/>
      <c r="C97" s="22"/>
      <c r="D97" s="22"/>
    </row>
    <row r="98" spans="1:4" ht="20.25" x14ac:dyDescent="0.25">
      <c r="A98" s="92"/>
      <c r="B98" s="17"/>
      <c r="C98" s="22"/>
      <c r="D98" s="22"/>
    </row>
    <row r="99" spans="1:4" ht="20.25" x14ac:dyDescent="0.25">
      <c r="A99" s="92"/>
      <c r="B99" s="17"/>
      <c r="C99" s="22"/>
      <c r="D99" s="22"/>
    </row>
    <row r="100" spans="1:4" ht="20.25" x14ac:dyDescent="0.25">
      <c r="A100" s="92"/>
      <c r="B100" s="17"/>
      <c r="C100" s="22"/>
      <c r="D100" s="22"/>
    </row>
    <row r="101" spans="1:4" ht="20.25" x14ac:dyDescent="0.25">
      <c r="A101" s="92"/>
      <c r="B101" s="17"/>
      <c r="C101" s="22"/>
      <c r="D101" s="22"/>
    </row>
    <row r="102" spans="1:4" ht="20.25" x14ac:dyDescent="0.25">
      <c r="A102" s="92"/>
      <c r="B102" s="17"/>
      <c r="C102" s="22"/>
      <c r="D102" s="22"/>
    </row>
    <row r="103" spans="1:4" ht="20.25" x14ac:dyDescent="0.25">
      <c r="A103" s="92"/>
      <c r="B103" s="17"/>
      <c r="C103" s="22"/>
      <c r="D103" s="22"/>
    </row>
    <row r="104" spans="1:4" ht="20.25" x14ac:dyDescent="0.25">
      <c r="A104" s="92"/>
      <c r="B104" s="17"/>
      <c r="C104" s="22"/>
      <c r="D104" s="22"/>
    </row>
    <row r="105" spans="1:4" ht="20.25" x14ac:dyDescent="0.25">
      <c r="A105" s="92"/>
      <c r="B105" s="17"/>
      <c r="C105" s="22"/>
      <c r="D105" s="22"/>
    </row>
    <row r="106" spans="1:4" ht="20.25" x14ac:dyDescent="0.25">
      <c r="A106" s="92"/>
      <c r="B106" s="17"/>
      <c r="C106" s="22"/>
      <c r="D106" s="22"/>
    </row>
    <row r="107" spans="1:4" ht="20.25" x14ac:dyDescent="0.25">
      <c r="A107" s="92"/>
      <c r="B107" s="17"/>
      <c r="C107" s="22"/>
      <c r="D107" s="22"/>
    </row>
    <row r="108" spans="1:4" ht="20.25" x14ac:dyDescent="0.25">
      <c r="A108" s="92"/>
      <c r="B108" s="17"/>
      <c r="C108" s="22"/>
      <c r="D108" s="22"/>
    </row>
    <row r="109" spans="1:4" ht="20.25" x14ac:dyDescent="0.25">
      <c r="A109" s="92"/>
      <c r="B109" s="17"/>
      <c r="C109" s="22"/>
      <c r="D109" s="22"/>
    </row>
    <row r="110" spans="1:4" ht="20.25" x14ac:dyDescent="0.25">
      <c r="A110" s="92"/>
      <c r="B110" s="17"/>
      <c r="C110" s="22"/>
      <c r="D110" s="22"/>
    </row>
    <row r="111" spans="1:4" ht="20.25" x14ac:dyDescent="0.25">
      <c r="A111" s="92"/>
      <c r="B111" s="17"/>
      <c r="C111" s="22"/>
      <c r="D111" s="22"/>
    </row>
    <row r="112" spans="1:4" ht="20.25" x14ac:dyDescent="0.25">
      <c r="A112" s="92"/>
      <c r="B112" s="17"/>
      <c r="C112" s="22"/>
      <c r="D112" s="22"/>
    </row>
    <row r="113" spans="1:4" ht="20.25" x14ac:dyDescent="0.25">
      <c r="A113" s="92"/>
      <c r="B113" s="17"/>
      <c r="C113" s="22"/>
      <c r="D113" s="22"/>
    </row>
    <row r="114" spans="1:4" ht="20.25" x14ac:dyDescent="0.25">
      <c r="A114" s="92"/>
      <c r="B114" s="17"/>
      <c r="C114" s="22"/>
      <c r="D114" s="22"/>
    </row>
    <row r="115" spans="1:4" ht="20.25" x14ac:dyDescent="0.25">
      <c r="A115" s="92"/>
      <c r="B115" s="17"/>
      <c r="C115" s="22"/>
      <c r="D115" s="22"/>
    </row>
    <row r="116" spans="1:4" ht="20.25" x14ac:dyDescent="0.25">
      <c r="A116" s="92"/>
      <c r="B116" s="17"/>
      <c r="C116" s="22"/>
      <c r="D116" s="22"/>
    </row>
    <row r="117" spans="1:4" ht="20.25" x14ac:dyDescent="0.25">
      <c r="A117" s="92"/>
      <c r="B117" s="17"/>
      <c r="C117" s="22"/>
      <c r="D117" s="22"/>
    </row>
    <row r="118" spans="1:4" ht="20.25" x14ac:dyDescent="0.25">
      <c r="A118" s="92"/>
      <c r="B118" s="17"/>
      <c r="C118" s="22"/>
      <c r="D118" s="22"/>
    </row>
    <row r="119" spans="1:4" ht="20.25" x14ac:dyDescent="0.25">
      <c r="A119" s="92"/>
      <c r="B119" s="17"/>
      <c r="C119" s="22"/>
      <c r="D119" s="22"/>
    </row>
    <row r="120" spans="1:4" ht="20.25" x14ac:dyDescent="0.25">
      <c r="A120" s="92"/>
      <c r="B120" s="17"/>
      <c r="C120" s="22"/>
      <c r="D120" s="22"/>
    </row>
    <row r="121" spans="1:4" ht="20.25" x14ac:dyDescent="0.25">
      <c r="A121" s="92"/>
      <c r="B121" s="17"/>
      <c r="C121" s="22"/>
      <c r="D121" s="22"/>
    </row>
    <row r="122" spans="1:4" ht="20.25" x14ac:dyDescent="0.25">
      <c r="A122" s="92"/>
      <c r="B122" s="17"/>
      <c r="C122" s="22"/>
      <c r="D122" s="22"/>
    </row>
    <row r="123" spans="1:4" ht="20.25" x14ac:dyDescent="0.25">
      <c r="A123" s="92"/>
      <c r="B123" s="17"/>
      <c r="C123" s="22"/>
      <c r="D123" s="22"/>
    </row>
    <row r="124" spans="1:4" ht="20.25" x14ac:dyDescent="0.25">
      <c r="A124" s="92"/>
      <c r="B124" s="17"/>
      <c r="C124" s="22"/>
      <c r="D124" s="22"/>
    </row>
    <row r="125" spans="1:4" ht="20.25" x14ac:dyDescent="0.25">
      <c r="A125" s="92"/>
      <c r="B125" s="17"/>
      <c r="C125" s="22"/>
      <c r="D125" s="22"/>
    </row>
    <row r="126" spans="1:4" ht="20.25" x14ac:dyDescent="0.25">
      <c r="A126" s="92"/>
      <c r="B126" s="17"/>
      <c r="C126" s="22"/>
      <c r="D126" s="22"/>
    </row>
    <row r="127" spans="1:4" ht="20.25" x14ac:dyDescent="0.25">
      <c r="A127" s="92"/>
      <c r="B127" s="17"/>
      <c r="C127" s="22"/>
      <c r="D127" s="22"/>
    </row>
    <row r="128" spans="1:4" ht="20.25" x14ac:dyDescent="0.25">
      <c r="A128" s="92"/>
      <c r="B128" s="17"/>
      <c r="C128" s="22"/>
      <c r="D128" s="22"/>
    </row>
    <row r="129" spans="1:4" ht="20.25" x14ac:dyDescent="0.25">
      <c r="A129" s="92"/>
      <c r="B129" s="17"/>
      <c r="C129" s="22"/>
      <c r="D129" s="22"/>
    </row>
    <row r="130" spans="1:4" ht="20.25" x14ac:dyDescent="0.25">
      <c r="A130" s="92"/>
      <c r="B130" s="17"/>
      <c r="C130" s="22"/>
      <c r="D130" s="22"/>
    </row>
    <row r="131" spans="1:4" ht="20.25" x14ac:dyDescent="0.25">
      <c r="A131" s="92"/>
      <c r="B131" s="17"/>
      <c r="C131" s="22"/>
      <c r="D131" s="22"/>
    </row>
    <row r="132" spans="1:4" ht="20.25" x14ac:dyDescent="0.25">
      <c r="A132" s="92"/>
      <c r="B132" s="17"/>
      <c r="C132" s="22"/>
      <c r="D132" s="22"/>
    </row>
    <row r="133" spans="1:4" ht="20.25" x14ac:dyDescent="0.25">
      <c r="A133" s="92"/>
      <c r="B133" s="17"/>
      <c r="C133" s="22"/>
      <c r="D133" s="22"/>
    </row>
    <row r="134" spans="1:4" ht="20.25" x14ac:dyDescent="0.25">
      <c r="A134" s="92"/>
      <c r="B134" s="17"/>
      <c r="C134" s="22"/>
      <c r="D134" s="22"/>
    </row>
    <row r="135" spans="1:4" ht="20.25" x14ac:dyDescent="0.25">
      <c r="A135" s="92"/>
      <c r="B135" s="17"/>
      <c r="C135" s="22"/>
      <c r="D135" s="22"/>
    </row>
    <row r="136" spans="1:4" ht="20.25" x14ac:dyDescent="0.25">
      <c r="A136" s="92"/>
      <c r="B136" s="17"/>
      <c r="C136" s="22"/>
      <c r="D136" s="22"/>
    </row>
    <row r="137" spans="1:4" ht="20.25" x14ac:dyDescent="0.25">
      <c r="A137" s="92"/>
      <c r="B137" s="17"/>
      <c r="C137" s="22"/>
      <c r="D137" s="22"/>
    </row>
    <row r="138" spans="1:4" ht="20.25" x14ac:dyDescent="0.25">
      <c r="A138" s="92"/>
      <c r="B138" s="17"/>
      <c r="C138" s="22"/>
      <c r="D138" s="22"/>
    </row>
    <row r="139" spans="1:4" ht="20.25" x14ac:dyDescent="0.25">
      <c r="A139" s="92"/>
      <c r="B139" s="17"/>
      <c r="C139" s="22"/>
      <c r="D139" s="22"/>
    </row>
    <row r="140" spans="1:4" ht="20.25" x14ac:dyDescent="0.25">
      <c r="A140" s="92"/>
      <c r="B140" s="17"/>
      <c r="C140" s="22"/>
      <c r="D140" s="22"/>
    </row>
    <row r="141" spans="1:4" ht="20.25" x14ac:dyDescent="0.25">
      <c r="A141" s="92"/>
      <c r="B141" s="17"/>
      <c r="C141" s="22"/>
      <c r="D141" s="22"/>
    </row>
    <row r="142" spans="1:4" ht="20.25" x14ac:dyDescent="0.25">
      <c r="A142" s="92"/>
      <c r="B142" s="17"/>
      <c r="C142" s="22"/>
      <c r="D142" s="22"/>
    </row>
    <row r="143" spans="1:4" ht="20.25" x14ac:dyDescent="0.25">
      <c r="A143" s="92"/>
      <c r="B143" s="17"/>
      <c r="C143" s="22"/>
      <c r="D143" s="22"/>
    </row>
    <row r="144" spans="1:4" ht="20.25" x14ac:dyDescent="0.25">
      <c r="A144" s="92"/>
      <c r="B144" s="17"/>
      <c r="C144" s="22"/>
      <c r="D144" s="22"/>
    </row>
    <row r="145" spans="1:4" ht="20.25" x14ac:dyDescent="0.25">
      <c r="A145" s="92"/>
      <c r="B145" s="17"/>
      <c r="C145" s="22"/>
      <c r="D145" s="22"/>
    </row>
    <row r="146" spans="1:4" ht="20.25" x14ac:dyDescent="0.25">
      <c r="A146" s="92"/>
      <c r="B146" s="17"/>
      <c r="C146" s="22"/>
      <c r="D146" s="22"/>
    </row>
    <row r="147" spans="1:4" ht="20.25" x14ac:dyDescent="0.25">
      <c r="A147" s="92"/>
      <c r="B147" s="17"/>
      <c r="C147" s="22"/>
      <c r="D147" s="22"/>
    </row>
    <row r="148" spans="1:4" ht="20.25" x14ac:dyDescent="0.25">
      <c r="A148" s="92"/>
      <c r="B148" s="17"/>
      <c r="C148" s="22"/>
      <c r="D148" s="22"/>
    </row>
    <row r="149" spans="1:4" ht="20.25" x14ac:dyDescent="0.25">
      <c r="A149" s="92"/>
      <c r="B149" s="17"/>
      <c r="C149" s="22"/>
      <c r="D149" s="22"/>
    </row>
    <row r="150" spans="1:4" ht="20.25" x14ac:dyDescent="0.25">
      <c r="A150" s="92"/>
      <c r="B150" s="17"/>
      <c r="C150" s="22"/>
      <c r="D150" s="22"/>
    </row>
    <row r="151" spans="1:4" ht="20.25" x14ac:dyDescent="0.25">
      <c r="A151" s="92"/>
      <c r="B151" s="17"/>
      <c r="C151" s="22"/>
      <c r="D151" s="22"/>
    </row>
    <row r="152" spans="1:4" ht="20.25" x14ac:dyDescent="0.25">
      <c r="A152" s="92"/>
      <c r="B152" s="17"/>
      <c r="C152" s="22"/>
      <c r="D152" s="22"/>
    </row>
    <row r="153" spans="1:4" ht="20.25" x14ac:dyDescent="0.25">
      <c r="A153" s="92"/>
      <c r="B153" s="17"/>
      <c r="C153" s="22"/>
      <c r="D153" s="22"/>
    </row>
    <row r="154" spans="1:4" ht="20.25" x14ac:dyDescent="0.25">
      <c r="A154" s="92"/>
      <c r="B154" s="17"/>
      <c r="C154" s="22"/>
      <c r="D154" s="22"/>
    </row>
    <row r="155" spans="1:4" ht="20.25" x14ac:dyDescent="0.25">
      <c r="A155" s="92"/>
      <c r="B155" s="17"/>
      <c r="C155" s="22"/>
      <c r="D155" s="22"/>
    </row>
    <row r="156" spans="1:4" ht="20.25" x14ac:dyDescent="0.25">
      <c r="A156" s="92"/>
      <c r="B156" s="17"/>
      <c r="C156" s="22"/>
      <c r="D156" s="22"/>
    </row>
    <row r="157" spans="1:4" ht="20.25" x14ac:dyDescent="0.25">
      <c r="A157" s="92"/>
      <c r="B157" s="17"/>
      <c r="C157" s="22"/>
      <c r="D157" s="22"/>
    </row>
    <row r="158" spans="1:4" ht="20.25" x14ac:dyDescent="0.25">
      <c r="A158" s="92"/>
      <c r="B158" s="17"/>
      <c r="C158" s="22"/>
      <c r="D158" s="22"/>
    </row>
    <row r="159" spans="1:4" ht="20.25" x14ac:dyDescent="0.25">
      <c r="A159" s="92"/>
      <c r="B159" s="17"/>
      <c r="C159" s="22"/>
      <c r="D159" s="22"/>
    </row>
    <row r="160" spans="1:4" ht="20.25" x14ac:dyDescent="0.25">
      <c r="A160" s="92"/>
      <c r="B160" s="17"/>
      <c r="C160" s="22"/>
      <c r="D160" s="22"/>
    </row>
    <row r="161" spans="1:4" ht="20.25" x14ac:dyDescent="0.25">
      <c r="A161" s="92"/>
      <c r="B161" s="17"/>
      <c r="C161" s="22"/>
      <c r="D161" s="22"/>
    </row>
    <row r="162" spans="1:4" ht="20.25" x14ac:dyDescent="0.25">
      <c r="A162" s="92"/>
      <c r="B162" s="17"/>
      <c r="C162" s="22"/>
      <c r="D162" s="22"/>
    </row>
    <row r="163" spans="1:4" ht="20.25" x14ac:dyDescent="0.25">
      <c r="A163" s="92"/>
      <c r="B163" s="17"/>
      <c r="C163" s="22"/>
      <c r="D163" s="22"/>
    </row>
    <row r="164" spans="1:4" ht="20.25" x14ac:dyDescent="0.25">
      <c r="A164" s="92"/>
      <c r="B164" s="17"/>
      <c r="C164" s="22"/>
      <c r="D164" s="22"/>
    </row>
    <row r="165" spans="1:4" ht="20.25" x14ac:dyDescent="0.25">
      <c r="A165" s="92"/>
      <c r="B165" s="17"/>
      <c r="C165" s="22"/>
      <c r="D165" s="22"/>
    </row>
    <row r="166" spans="1:4" ht="20.25" x14ac:dyDescent="0.25">
      <c r="A166" s="92"/>
      <c r="B166" s="17"/>
      <c r="C166" s="22"/>
      <c r="D166" s="22"/>
    </row>
    <row r="167" spans="1:4" ht="20.25" x14ac:dyDescent="0.25">
      <c r="A167" s="92"/>
      <c r="B167" s="17"/>
      <c r="C167" s="22"/>
      <c r="D167" s="22"/>
    </row>
    <row r="168" spans="1:4" ht="20.25" x14ac:dyDescent="0.25">
      <c r="A168" s="92"/>
      <c r="B168" s="17"/>
      <c r="C168" s="22"/>
      <c r="D168" s="22"/>
    </row>
    <row r="169" spans="1:4" ht="20.25" x14ac:dyDescent="0.25">
      <c r="A169" s="92"/>
      <c r="B169" s="17"/>
      <c r="C169" s="22"/>
      <c r="D169" s="22"/>
    </row>
    <row r="170" spans="1:4" ht="20.25" x14ac:dyDescent="0.25">
      <c r="A170" s="92"/>
      <c r="B170" s="17"/>
      <c r="C170" s="22"/>
      <c r="D170" s="22"/>
    </row>
    <row r="171" spans="1:4" ht="20.25" x14ac:dyDescent="0.25">
      <c r="A171" s="92"/>
      <c r="B171" s="17"/>
      <c r="C171" s="22"/>
      <c r="D171" s="22"/>
    </row>
    <row r="172" spans="1:4" ht="20.25" x14ac:dyDescent="0.25">
      <c r="A172" s="92"/>
      <c r="B172" s="17"/>
      <c r="C172" s="22"/>
      <c r="D172" s="22"/>
    </row>
    <row r="173" spans="1:4" ht="20.25" x14ac:dyDescent="0.25">
      <c r="A173" s="92"/>
      <c r="B173" s="17"/>
      <c r="C173" s="22"/>
      <c r="D173" s="22"/>
    </row>
    <row r="174" spans="1:4" ht="20.25" x14ac:dyDescent="0.25">
      <c r="A174" s="92"/>
      <c r="B174" s="17"/>
      <c r="C174" s="22"/>
      <c r="D174" s="22"/>
    </row>
    <row r="175" spans="1:4" ht="20.25" x14ac:dyDescent="0.25">
      <c r="A175" s="92"/>
      <c r="B175" s="17"/>
      <c r="C175" s="22"/>
      <c r="D175" s="22"/>
    </row>
    <row r="176" spans="1:4" ht="20.25" x14ac:dyDescent="0.25">
      <c r="A176" s="92"/>
      <c r="B176" s="17"/>
      <c r="C176" s="22"/>
      <c r="D176" s="22"/>
    </row>
    <row r="177" spans="1:4" ht="20.25" x14ac:dyDescent="0.25">
      <c r="A177" s="92"/>
      <c r="B177" s="17"/>
      <c r="C177" s="22"/>
      <c r="D177" s="22"/>
    </row>
    <row r="178" spans="1:4" ht="20.25" x14ac:dyDescent="0.25">
      <c r="A178" s="92"/>
      <c r="B178" s="17"/>
      <c r="C178" s="22"/>
      <c r="D178" s="22"/>
    </row>
    <row r="179" spans="1:4" ht="20.25" x14ac:dyDescent="0.25">
      <c r="A179" s="92"/>
      <c r="B179" s="17"/>
      <c r="C179" s="22"/>
      <c r="D179" s="22"/>
    </row>
    <row r="180" spans="1:4" ht="20.25" x14ac:dyDescent="0.25">
      <c r="A180" s="92"/>
      <c r="B180" s="17"/>
      <c r="C180" s="22"/>
      <c r="D180" s="22"/>
    </row>
    <row r="181" spans="1:4" ht="20.25" x14ac:dyDescent="0.25">
      <c r="A181" s="92"/>
      <c r="B181" s="17"/>
      <c r="C181" s="22"/>
      <c r="D181" s="22"/>
    </row>
    <row r="182" spans="1:4" ht="20.25" x14ac:dyDescent="0.25">
      <c r="A182" s="92"/>
      <c r="B182" s="17"/>
      <c r="C182" s="22"/>
      <c r="D182" s="22"/>
    </row>
    <row r="183" spans="1:4" ht="20.25" x14ac:dyDescent="0.25">
      <c r="A183" s="92"/>
      <c r="B183" s="17"/>
      <c r="C183" s="22"/>
      <c r="D183" s="22"/>
    </row>
    <row r="184" spans="1:4" ht="20.25" x14ac:dyDescent="0.25">
      <c r="A184" s="92"/>
      <c r="B184" s="17"/>
      <c r="C184" s="22"/>
      <c r="D184" s="22"/>
    </row>
    <row r="185" spans="1:4" ht="20.25" x14ac:dyDescent="0.25">
      <c r="A185" s="92"/>
      <c r="B185" s="17"/>
      <c r="C185" s="22"/>
      <c r="D185" s="22"/>
    </row>
    <row r="186" spans="1:4" ht="20.25" x14ac:dyDescent="0.25">
      <c r="A186" s="92"/>
      <c r="B186" s="17"/>
      <c r="C186" s="22"/>
      <c r="D186" s="22"/>
    </row>
    <row r="187" spans="1:4" ht="20.25" x14ac:dyDescent="0.25">
      <c r="A187" s="92"/>
      <c r="B187" s="17"/>
      <c r="C187" s="22"/>
      <c r="D187" s="22"/>
    </row>
    <row r="188" spans="1:4" ht="20.25" x14ac:dyDescent="0.25">
      <c r="A188" s="92"/>
      <c r="B188" s="17"/>
      <c r="C188" s="22"/>
      <c r="D188" s="22"/>
    </row>
    <row r="189" spans="1:4" ht="20.25" x14ac:dyDescent="0.25">
      <c r="A189" s="92"/>
      <c r="B189" s="17"/>
      <c r="C189" s="22"/>
      <c r="D189" s="22"/>
    </row>
    <row r="190" spans="1:4" ht="20.25" x14ac:dyDescent="0.25">
      <c r="A190" s="92"/>
      <c r="B190" s="17"/>
      <c r="C190" s="22"/>
      <c r="D190" s="22"/>
    </row>
    <row r="191" spans="1:4" ht="20.25" x14ac:dyDescent="0.25">
      <c r="A191" s="92"/>
      <c r="B191" s="17"/>
      <c r="C191" s="22"/>
      <c r="D191" s="22"/>
    </row>
    <row r="192" spans="1:4" ht="20.25" x14ac:dyDescent="0.25">
      <c r="A192" s="92"/>
      <c r="B192" s="17"/>
      <c r="C192" s="22"/>
      <c r="D192" s="22"/>
    </row>
    <row r="193" spans="1:4" ht="20.25" x14ac:dyDescent="0.25">
      <c r="A193" s="92"/>
      <c r="B193" s="17"/>
      <c r="C193" s="22"/>
      <c r="D193" s="22"/>
    </row>
    <row r="194" spans="1:4" ht="20.25" x14ac:dyDescent="0.25">
      <c r="A194" s="92"/>
      <c r="B194" s="17"/>
      <c r="C194" s="22"/>
      <c r="D194" s="22"/>
    </row>
    <row r="195" spans="1:4" ht="20.25" x14ac:dyDescent="0.25">
      <c r="A195" s="92"/>
      <c r="B195" s="17"/>
      <c r="C195" s="22"/>
      <c r="D195" s="22"/>
    </row>
    <row r="196" spans="1:4" ht="20.25" x14ac:dyDescent="0.25">
      <c r="A196" s="92"/>
      <c r="B196" s="17"/>
      <c r="C196" s="22"/>
      <c r="D196" s="22"/>
    </row>
    <row r="197" spans="1:4" ht="20.25" x14ac:dyDescent="0.25">
      <c r="A197" s="92"/>
      <c r="B197" s="17"/>
      <c r="C197" s="22"/>
      <c r="D197" s="22"/>
    </row>
    <row r="198" spans="1:4" ht="20.25" x14ac:dyDescent="0.25">
      <c r="A198" s="92"/>
      <c r="B198" s="17"/>
      <c r="C198" s="22"/>
      <c r="D198" s="22"/>
    </row>
    <row r="199" spans="1:4" ht="20.25" x14ac:dyDescent="0.25">
      <c r="A199" s="92"/>
      <c r="B199" s="17"/>
      <c r="C199" s="22"/>
      <c r="D199" s="22"/>
    </row>
    <row r="200" spans="1:4" ht="20.25" x14ac:dyDescent="0.25">
      <c r="A200" s="92"/>
      <c r="B200" s="17"/>
      <c r="C200" s="22"/>
      <c r="D200" s="22"/>
    </row>
    <row r="201" spans="1:4" ht="20.25" x14ac:dyDescent="0.25">
      <c r="A201" s="92"/>
      <c r="B201" s="17"/>
      <c r="C201" s="22"/>
      <c r="D201" s="22"/>
    </row>
    <row r="202" spans="1:4" ht="20.25" x14ac:dyDescent="0.25">
      <c r="A202" s="92"/>
      <c r="B202" s="17"/>
      <c r="C202" s="22"/>
      <c r="D202" s="22"/>
    </row>
    <row r="203" spans="1:4" ht="20.25" x14ac:dyDescent="0.25">
      <c r="A203" s="92"/>
      <c r="B203" s="17"/>
      <c r="C203" s="22"/>
      <c r="D203" s="22"/>
    </row>
    <row r="204" spans="1:4" ht="20.25" x14ac:dyDescent="0.25">
      <c r="A204" s="92"/>
      <c r="B204" s="17"/>
      <c r="C204" s="22"/>
      <c r="D204" s="22"/>
    </row>
    <row r="205" spans="1:4" ht="20.25" x14ac:dyDescent="0.25">
      <c r="A205" s="92"/>
      <c r="B205" s="17"/>
      <c r="C205" s="22"/>
      <c r="D205" s="22"/>
    </row>
    <row r="206" spans="1:4" ht="20.25" x14ac:dyDescent="0.25">
      <c r="A206" s="92"/>
      <c r="B206" s="17"/>
      <c r="C206" s="22"/>
      <c r="D206" s="22"/>
    </row>
    <row r="207" spans="1:4" ht="20.25" x14ac:dyDescent="0.25">
      <c r="A207" s="92"/>
      <c r="B207" s="17"/>
      <c r="C207" s="22"/>
      <c r="D207" s="22"/>
    </row>
    <row r="208" spans="1:4" x14ac:dyDescent="0.25">
      <c r="A208" s="72"/>
      <c r="B208" s="17"/>
      <c r="C208" s="17"/>
      <c r="D208" s="17"/>
    </row>
    <row r="209" spans="1:8" ht="20.25" x14ac:dyDescent="0.25">
      <c r="A209" s="72"/>
      <c r="B209" s="18" t="s">
        <v>88</v>
      </c>
      <c r="C209" s="18" t="s">
        <v>142</v>
      </c>
      <c r="D209" s="21" t="s">
        <v>88</v>
      </c>
      <c r="E209" s="21" t="s">
        <v>142</v>
      </c>
    </row>
    <row r="210" spans="1:8" ht="21" x14ac:dyDescent="0.35">
      <c r="A210" s="72"/>
      <c r="B210" s="19" t="s">
        <v>89</v>
      </c>
      <c r="C210" s="19" t="s">
        <v>58</v>
      </c>
      <c r="D210" t="s">
        <v>89</v>
      </c>
      <c r="F210" t="str">
        <f>IF(NOT(ISBLANK(D210)),D210,IF(NOT(ISBLANK(E210)),"     "&amp;E210,FALSE))</f>
        <v>Afectación Económica o presupuestal</v>
      </c>
      <c r="G210" t="s">
        <v>89</v>
      </c>
      <c r="H210" t="str">
        <f ca="1">IF(NOT(ISERROR(MATCH(G210,_xlfn.ANCHORARRAY(B221),0))),F223&amp;"Por favor no seleccionar los criterios de impacto",G210)</f>
        <v>Afectación Económica o presupuestal</v>
      </c>
    </row>
    <row r="211" spans="1:8" ht="21" x14ac:dyDescent="0.35">
      <c r="A211" s="72"/>
      <c r="B211" s="19" t="s">
        <v>89</v>
      </c>
      <c r="C211" s="19" t="s">
        <v>91</v>
      </c>
      <c r="E211" t="s">
        <v>58</v>
      </c>
      <c r="F211" t="str">
        <f t="shared" ref="F211:F221" si="0">IF(NOT(ISBLANK(D211)),D211,IF(NOT(ISBLANK(E211)),"     "&amp;E211,FALSE))</f>
        <v xml:space="preserve">     Afectación menor a 10 SMLMV .</v>
      </c>
    </row>
    <row r="212" spans="1:8" ht="21" x14ac:dyDescent="0.35">
      <c r="A212" s="72"/>
      <c r="B212" s="19" t="s">
        <v>89</v>
      </c>
      <c r="C212" s="19" t="s">
        <v>92</v>
      </c>
      <c r="E212" t="s">
        <v>91</v>
      </c>
      <c r="F212" t="str">
        <f t="shared" si="0"/>
        <v xml:space="preserve">     Entre 10 y 50 SMLMV </v>
      </c>
    </row>
    <row r="213" spans="1:8" ht="21" x14ac:dyDescent="0.35">
      <c r="A213" s="72"/>
      <c r="B213" s="19" t="s">
        <v>89</v>
      </c>
      <c r="C213" s="19" t="s">
        <v>93</v>
      </c>
      <c r="E213" t="s">
        <v>92</v>
      </c>
      <c r="F213" t="str">
        <f t="shared" si="0"/>
        <v xml:space="preserve">     Entre 50 y 100 SMLMV </v>
      </c>
    </row>
    <row r="214" spans="1:8" ht="21" x14ac:dyDescent="0.35">
      <c r="A214" s="72"/>
      <c r="B214" s="19" t="s">
        <v>89</v>
      </c>
      <c r="C214" s="19" t="s">
        <v>94</v>
      </c>
      <c r="E214" t="s">
        <v>93</v>
      </c>
      <c r="F214" t="str">
        <f t="shared" si="0"/>
        <v xml:space="preserve">     Entre 100 y 500 SMLMV </v>
      </c>
    </row>
    <row r="215" spans="1:8" ht="21" x14ac:dyDescent="0.35">
      <c r="A215" s="72"/>
      <c r="B215" s="19" t="s">
        <v>57</v>
      </c>
      <c r="C215" s="19" t="s">
        <v>95</v>
      </c>
      <c r="E215" t="s">
        <v>94</v>
      </c>
      <c r="F215" t="str">
        <f t="shared" si="0"/>
        <v xml:space="preserve">     Mayor a 500 SMLMV </v>
      </c>
    </row>
    <row r="216" spans="1:8" ht="21" x14ac:dyDescent="0.35">
      <c r="A216" s="72"/>
      <c r="B216" s="19" t="s">
        <v>57</v>
      </c>
      <c r="C216" s="19" t="s">
        <v>96</v>
      </c>
      <c r="D216" t="s">
        <v>57</v>
      </c>
      <c r="F216" t="str">
        <f t="shared" si="0"/>
        <v>Pérdida Reputacional</v>
      </c>
    </row>
    <row r="217" spans="1:8" ht="21" x14ac:dyDescent="0.35">
      <c r="A217" s="72"/>
      <c r="B217" s="19" t="s">
        <v>57</v>
      </c>
      <c r="C217" s="19" t="s">
        <v>98</v>
      </c>
      <c r="E217" t="s">
        <v>95</v>
      </c>
      <c r="F217" t="str">
        <f t="shared" si="0"/>
        <v xml:space="preserve">     El riesgo afecta la imagen de alguna área de la organización</v>
      </c>
    </row>
    <row r="218" spans="1:8" ht="21" x14ac:dyDescent="0.35">
      <c r="A218" s="72"/>
      <c r="B218" s="19" t="s">
        <v>57</v>
      </c>
      <c r="C218" s="19" t="s">
        <v>97</v>
      </c>
      <c r="E218" t="s">
        <v>96</v>
      </c>
      <c r="F218" t="str">
        <f t="shared" si="0"/>
        <v xml:space="preserve">     El riesgo afecta la imagen de la entidad internamente, de conocimiento general, nivel interno, de junta dircetiva y accionistas y/o de provedores</v>
      </c>
    </row>
    <row r="219" spans="1:8" ht="21" x14ac:dyDescent="0.35">
      <c r="A219" s="72"/>
      <c r="B219" s="19" t="s">
        <v>57</v>
      </c>
      <c r="C219" s="19" t="s">
        <v>116</v>
      </c>
      <c r="E219" t="s">
        <v>98</v>
      </c>
      <c r="F219" t="str">
        <f t="shared" si="0"/>
        <v xml:space="preserve">     El riesgo afecta la imagen de la entidad con algunos usuarios de relevancia frente al logro de los objetivos</v>
      </c>
    </row>
    <row r="220" spans="1:8" x14ac:dyDescent="0.25">
      <c r="A220" s="72"/>
      <c r="B220" s="20"/>
      <c r="C220" s="20"/>
      <c r="E220" t="s">
        <v>97</v>
      </c>
      <c r="F220" t="str">
        <f t="shared" si="0"/>
        <v xml:space="preserve">     El riesgo afecta la imagen de de la entidad con efecto publicitario sostenido a nivel de sector administrativo, nivel departamental o municipal</v>
      </c>
    </row>
    <row r="221" spans="1:8" x14ac:dyDescent="0.25">
      <c r="A221" s="72"/>
      <c r="B221" s="20" t="e">
        <f t="array" aca="1" ref="B221:B223" ca="1">_xlfn.UNIQUE('Tabla Impacto'!$B$209:$B$219)</f>
        <v>#NAME?</v>
      </c>
      <c r="C221" s="20"/>
      <c r="E221" t="s">
        <v>116</v>
      </c>
      <c r="F221" t="str">
        <f t="shared" si="0"/>
        <v xml:space="preserve">     El riesgo afecta la imagen de la entidad a nivel nacional, con efecto publicitarios sostenible a nivel país</v>
      </c>
    </row>
    <row r="222" spans="1:8" x14ac:dyDescent="0.25">
      <c r="A222" s="72"/>
      <c r="B222" s="20" t="e">
        <f ca="1"/>
        <v>#NAME?</v>
      </c>
      <c r="C222" s="20"/>
    </row>
    <row r="223" spans="1:8" x14ac:dyDescent="0.25">
      <c r="B223" s="20" t="e">
        <f ca="1"/>
        <v>#NAME?</v>
      </c>
      <c r="C223" s="20"/>
      <c r="F223" s="23" t="s">
        <v>143</v>
      </c>
    </row>
    <row r="224" spans="1:8" x14ac:dyDescent="0.25">
      <c r="B224" s="16"/>
      <c r="C224" s="16"/>
      <c r="F224" s="23" t="s">
        <v>144</v>
      </c>
    </row>
    <row r="225" spans="2:4" x14ac:dyDescent="0.25">
      <c r="B225" s="16"/>
      <c r="C225" s="16"/>
    </row>
    <row r="226" spans="2:4" x14ac:dyDescent="0.25">
      <c r="B226" s="16"/>
      <c r="C226" s="16"/>
    </row>
    <row r="227" spans="2:4" x14ac:dyDescent="0.25">
      <c r="B227" s="16"/>
      <c r="C227" s="16"/>
      <c r="D227" s="16"/>
    </row>
    <row r="228" spans="2:4" x14ac:dyDescent="0.25">
      <c r="B228" s="16"/>
      <c r="C228" s="16"/>
      <c r="D228" s="16"/>
    </row>
    <row r="229" spans="2:4" x14ac:dyDescent="0.25">
      <c r="B229" s="16"/>
      <c r="C229" s="16"/>
      <c r="D229" s="16"/>
    </row>
    <row r="230" spans="2:4" x14ac:dyDescent="0.25">
      <c r="B230" s="16"/>
      <c r="C230" s="16"/>
      <c r="D230" s="16"/>
    </row>
    <row r="231" spans="2:4" x14ac:dyDescent="0.25">
      <c r="B231" s="16"/>
      <c r="C231" s="16"/>
      <c r="D231" s="16"/>
    </row>
    <row r="232" spans="2:4" x14ac:dyDescent="0.25">
      <c r="B232" s="16"/>
      <c r="C232" s="16"/>
      <c r="D232" s="16"/>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7"/>
    <col min="3" max="3" width="17" style="77" customWidth="1"/>
    <col min="4" max="4" width="14.28515625" style="77"/>
    <col min="5" max="5" width="46" style="77" customWidth="1"/>
    <col min="6" max="16384" width="14.28515625" style="77"/>
  </cols>
  <sheetData>
    <row r="1" spans="2:6" ht="24" customHeight="1" thickBot="1" x14ac:dyDescent="0.25">
      <c r="B1" s="575" t="s">
        <v>78</v>
      </c>
      <c r="C1" s="576"/>
      <c r="D1" s="576"/>
      <c r="E1" s="576"/>
      <c r="F1" s="577"/>
    </row>
    <row r="2" spans="2:6" ht="16.5" thickBot="1" x14ac:dyDescent="0.3">
      <c r="B2" s="78"/>
      <c r="C2" s="78"/>
      <c r="D2" s="78"/>
      <c r="E2" s="78"/>
      <c r="F2" s="78"/>
    </row>
    <row r="3" spans="2:6" ht="16.5" thickBot="1" x14ac:dyDescent="0.25">
      <c r="B3" s="579" t="s">
        <v>64</v>
      </c>
      <c r="C3" s="580"/>
      <c r="D3" s="580"/>
      <c r="E3" s="90" t="s">
        <v>65</v>
      </c>
      <c r="F3" s="91" t="s">
        <v>66</v>
      </c>
    </row>
    <row r="4" spans="2:6" ht="31.5" x14ac:dyDescent="0.2">
      <c r="B4" s="581" t="s">
        <v>67</v>
      </c>
      <c r="C4" s="583" t="s">
        <v>13</v>
      </c>
      <c r="D4" s="79" t="s">
        <v>14</v>
      </c>
      <c r="E4" s="80" t="s">
        <v>68</v>
      </c>
      <c r="F4" s="81">
        <v>0.25</v>
      </c>
    </row>
    <row r="5" spans="2:6" ht="47.25" x14ac:dyDescent="0.2">
      <c r="B5" s="582"/>
      <c r="C5" s="584"/>
      <c r="D5" s="82" t="s">
        <v>15</v>
      </c>
      <c r="E5" s="83" t="s">
        <v>69</v>
      </c>
      <c r="F5" s="84">
        <v>0.15</v>
      </c>
    </row>
    <row r="6" spans="2:6" ht="47.25" x14ac:dyDescent="0.2">
      <c r="B6" s="582"/>
      <c r="C6" s="584"/>
      <c r="D6" s="82" t="s">
        <v>16</v>
      </c>
      <c r="E6" s="83" t="s">
        <v>70</v>
      </c>
      <c r="F6" s="84">
        <v>0.1</v>
      </c>
    </row>
    <row r="7" spans="2:6" ht="63" x14ac:dyDescent="0.2">
      <c r="B7" s="582"/>
      <c r="C7" s="584" t="s">
        <v>17</v>
      </c>
      <c r="D7" s="82" t="s">
        <v>10</v>
      </c>
      <c r="E7" s="83" t="s">
        <v>71</v>
      </c>
      <c r="F7" s="84">
        <v>0.25</v>
      </c>
    </row>
    <row r="8" spans="2:6" ht="31.5" x14ac:dyDescent="0.2">
      <c r="B8" s="582"/>
      <c r="C8" s="584"/>
      <c r="D8" s="82" t="s">
        <v>9</v>
      </c>
      <c r="E8" s="83" t="s">
        <v>72</v>
      </c>
      <c r="F8" s="84">
        <v>0.15</v>
      </c>
    </row>
    <row r="9" spans="2:6" ht="47.25" x14ac:dyDescent="0.2">
      <c r="B9" s="582" t="s">
        <v>149</v>
      </c>
      <c r="C9" s="584" t="s">
        <v>18</v>
      </c>
      <c r="D9" s="82" t="s">
        <v>19</v>
      </c>
      <c r="E9" s="83" t="s">
        <v>73</v>
      </c>
      <c r="F9" s="85" t="s">
        <v>74</v>
      </c>
    </row>
    <row r="10" spans="2:6" ht="63" x14ac:dyDescent="0.2">
      <c r="B10" s="582"/>
      <c r="C10" s="584"/>
      <c r="D10" s="82" t="s">
        <v>20</v>
      </c>
      <c r="E10" s="83" t="s">
        <v>75</v>
      </c>
      <c r="F10" s="85" t="s">
        <v>74</v>
      </c>
    </row>
    <row r="11" spans="2:6" ht="47.25" x14ac:dyDescent="0.2">
      <c r="B11" s="582"/>
      <c r="C11" s="584" t="s">
        <v>21</v>
      </c>
      <c r="D11" s="82" t="s">
        <v>22</v>
      </c>
      <c r="E11" s="83" t="s">
        <v>76</v>
      </c>
      <c r="F11" s="85" t="s">
        <v>74</v>
      </c>
    </row>
    <row r="12" spans="2:6" ht="47.25" x14ac:dyDescent="0.2">
      <c r="B12" s="582"/>
      <c r="C12" s="584"/>
      <c r="D12" s="82" t="s">
        <v>23</v>
      </c>
      <c r="E12" s="83" t="s">
        <v>77</v>
      </c>
      <c r="F12" s="85" t="s">
        <v>74</v>
      </c>
    </row>
    <row r="13" spans="2:6" ht="31.5" x14ac:dyDescent="0.2">
      <c r="B13" s="582"/>
      <c r="C13" s="584" t="s">
        <v>24</v>
      </c>
      <c r="D13" s="82" t="s">
        <v>117</v>
      </c>
      <c r="E13" s="83" t="s">
        <v>120</v>
      </c>
      <c r="F13" s="85" t="s">
        <v>74</v>
      </c>
    </row>
    <row r="14" spans="2:6" ht="32.25" thickBot="1" x14ac:dyDescent="0.25">
      <c r="B14" s="585"/>
      <c r="C14" s="586"/>
      <c r="D14" s="86" t="s">
        <v>118</v>
      </c>
      <c r="E14" s="87" t="s">
        <v>119</v>
      </c>
      <c r="F14" s="88" t="s">
        <v>74</v>
      </c>
    </row>
    <row r="15" spans="2:6" ht="49.5" customHeight="1" x14ac:dyDescent="0.2">
      <c r="B15" s="578" t="s">
        <v>146</v>
      </c>
      <c r="C15" s="578"/>
      <c r="D15" s="578"/>
      <c r="E15" s="578"/>
      <c r="F15" s="578"/>
    </row>
    <row r="16" spans="2:6" ht="27" customHeight="1" x14ac:dyDescent="0.25">
      <c r="B16" s="89"/>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3"/>
  <sheetViews>
    <sheetView zoomScale="85" zoomScaleNormal="85" workbookViewId="0">
      <selection activeCell="C17" sqref="C17"/>
    </sheetView>
  </sheetViews>
  <sheetFormatPr baseColWidth="10" defaultRowHeight="15" x14ac:dyDescent="0.25"/>
  <cols>
    <col min="2" max="2" width="37.85546875" bestFit="1" customWidth="1"/>
    <col min="3" max="3" width="48" bestFit="1" customWidth="1"/>
    <col min="4" max="4" width="140.28515625" bestFit="1" customWidth="1"/>
  </cols>
  <sheetData>
    <row r="2" spans="2:4" ht="15.75" thickBot="1" x14ac:dyDescent="0.3"/>
    <row r="3" spans="2:4" x14ac:dyDescent="0.25">
      <c r="B3" s="118" t="s">
        <v>201</v>
      </c>
      <c r="C3" s="118" t="s">
        <v>202</v>
      </c>
      <c r="D3" s="115" t="s">
        <v>203</v>
      </c>
    </row>
    <row r="4" spans="2:4" x14ac:dyDescent="0.25">
      <c r="B4" s="119"/>
      <c r="C4" s="119"/>
      <c r="D4" s="116"/>
    </row>
    <row r="5" spans="2:4" x14ac:dyDescent="0.25">
      <c r="B5" s="119" t="s">
        <v>131</v>
      </c>
      <c r="C5" s="119" t="s">
        <v>436</v>
      </c>
      <c r="D5" s="116" t="s">
        <v>56</v>
      </c>
    </row>
    <row r="6" spans="2:4" x14ac:dyDescent="0.25">
      <c r="B6" s="119" t="s">
        <v>130</v>
      </c>
      <c r="C6" s="119" t="s">
        <v>437</v>
      </c>
      <c r="D6" s="116" t="s">
        <v>145</v>
      </c>
    </row>
    <row r="7" spans="2:4" ht="30.75" thickBot="1" x14ac:dyDescent="0.3">
      <c r="B7" s="120" t="s">
        <v>132</v>
      </c>
      <c r="C7" s="208" t="s">
        <v>790</v>
      </c>
      <c r="D7" s="116" t="s">
        <v>91</v>
      </c>
    </row>
    <row r="8" spans="2:4" x14ac:dyDescent="0.25">
      <c r="C8" s="119" t="s">
        <v>438</v>
      </c>
      <c r="D8" s="116" t="s">
        <v>92</v>
      </c>
    </row>
    <row r="9" spans="2:4" x14ac:dyDescent="0.25">
      <c r="C9" s="119" t="s">
        <v>122</v>
      </c>
      <c r="D9" s="116" t="s">
        <v>93</v>
      </c>
    </row>
    <row r="10" spans="2:4" x14ac:dyDescent="0.25">
      <c r="C10" s="119" t="s">
        <v>123</v>
      </c>
      <c r="D10" s="116" t="s">
        <v>94</v>
      </c>
    </row>
    <row r="11" spans="2:4" x14ac:dyDescent="0.25">
      <c r="C11" s="119" t="s">
        <v>125</v>
      </c>
      <c r="D11" s="116"/>
    </row>
    <row r="12" spans="2:4" ht="15.75" thickBot="1" x14ac:dyDescent="0.3">
      <c r="C12" s="120" t="s">
        <v>126</v>
      </c>
      <c r="D12" s="116" t="s">
        <v>444</v>
      </c>
    </row>
    <row r="13" spans="2:4" x14ac:dyDescent="0.25">
      <c r="D13" s="116" t="s">
        <v>443</v>
      </c>
    </row>
    <row r="14" spans="2:4" x14ac:dyDescent="0.25">
      <c r="D14" s="116" t="s">
        <v>442</v>
      </c>
    </row>
    <row r="15" spans="2:4" x14ac:dyDescent="0.25">
      <c r="D15" s="116" t="s">
        <v>441</v>
      </c>
    </row>
    <row r="16" spans="2:4" x14ac:dyDescent="0.25">
      <c r="D16" s="116" t="s">
        <v>440</v>
      </c>
    </row>
    <row r="17" spans="2:21" ht="15.75" thickBot="1" x14ac:dyDescent="0.3">
      <c r="D17" s="117" t="s">
        <v>439</v>
      </c>
    </row>
    <row r="18" spans="2:21" ht="15.75" thickBot="1" x14ac:dyDescent="0.3"/>
    <row r="19" spans="2:21" x14ac:dyDescent="0.25">
      <c r="B19" s="115" t="s">
        <v>204</v>
      </c>
      <c r="C19" s="121" t="s">
        <v>205</v>
      </c>
      <c r="D19" s="115" t="s">
        <v>423</v>
      </c>
    </row>
    <row r="20" spans="2:21" x14ac:dyDescent="0.25">
      <c r="B20" s="116"/>
      <c r="C20" s="116"/>
      <c r="D20" s="116"/>
    </row>
    <row r="21" spans="2:21" x14ac:dyDescent="0.25">
      <c r="B21" s="116" t="s">
        <v>31</v>
      </c>
      <c r="C21" s="122" t="s">
        <v>40</v>
      </c>
      <c r="D21" s="116" t="s">
        <v>424</v>
      </c>
    </row>
    <row r="22" spans="2:21" ht="15.75" thickBot="1" x14ac:dyDescent="0.3">
      <c r="B22" s="116" t="s">
        <v>32</v>
      </c>
      <c r="C22" s="123" t="s">
        <v>41</v>
      </c>
      <c r="D22" s="117" t="s">
        <v>425</v>
      </c>
    </row>
    <row r="23" spans="2:21" x14ac:dyDescent="0.25">
      <c r="B23" s="116" t="s">
        <v>135</v>
      </c>
    </row>
    <row r="24" spans="2:21" ht="15.75" thickBot="1" x14ac:dyDescent="0.3">
      <c r="B24" s="117" t="s">
        <v>134</v>
      </c>
    </row>
    <row r="25" spans="2:21" ht="15.75" thickBot="1" x14ac:dyDescent="0.3"/>
    <row r="26" spans="2:21" ht="15.75" x14ac:dyDescent="0.25">
      <c r="B26" s="124" t="s">
        <v>207</v>
      </c>
      <c r="R26" t="s">
        <v>31</v>
      </c>
      <c r="U26" t="s">
        <v>131</v>
      </c>
    </row>
    <row r="27" spans="2:21" ht="15.75" x14ac:dyDescent="0.25">
      <c r="B27" s="125"/>
      <c r="R27" t="s">
        <v>32</v>
      </c>
      <c r="U27" t="s">
        <v>130</v>
      </c>
    </row>
    <row r="28" spans="2:21" ht="15.75" x14ac:dyDescent="0.25">
      <c r="B28" s="125" t="s">
        <v>208</v>
      </c>
      <c r="R28" t="s">
        <v>135</v>
      </c>
      <c r="U28" t="s">
        <v>132</v>
      </c>
    </row>
    <row r="29" spans="2:21" ht="15.75" x14ac:dyDescent="0.25">
      <c r="B29" s="125" t="s">
        <v>209</v>
      </c>
      <c r="R29" t="s">
        <v>134</v>
      </c>
    </row>
    <row r="30" spans="2:21" ht="15.75" x14ac:dyDescent="0.25">
      <c r="B30" s="125" t="s">
        <v>210</v>
      </c>
      <c r="D30" s="119" t="s">
        <v>436</v>
      </c>
    </row>
    <row r="31" spans="2:21" ht="15.75" x14ac:dyDescent="0.25">
      <c r="B31" s="125" t="s">
        <v>211</v>
      </c>
      <c r="D31" s="119" t="s">
        <v>437</v>
      </c>
    </row>
    <row r="32" spans="2:21" ht="15.75" x14ac:dyDescent="0.25">
      <c r="B32" s="125" t="s">
        <v>212</v>
      </c>
      <c r="D32" s="208" t="s">
        <v>790</v>
      </c>
      <c r="R32" t="s">
        <v>86</v>
      </c>
    </row>
    <row r="33" spans="2:18" ht="15.75" x14ac:dyDescent="0.25">
      <c r="B33" s="125" t="s">
        <v>213</v>
      </c>
      <c r="D33" s="119" t="s">
        <v>438</v>
      </c>
      <c r="R33" t="s">
        <v>40</v>
      </c>
    </row>
    <row r="34" spans="2:18" ht="15.75" x14ac:dyDescent="0.25">
      <c r="B34" s="125" t="s">
        <v>214</v>
      </c>
      <c r="D34" s="119" t="s">
        <v>122</v>
      </c>
      <c r="R34" t="s">
        <v>41</v>
      </c>
    </row>
    <row r="35" spans="2:18" ht="15.75" x14ac:dyDescent="0.25">
      <c r="B35" s="125" t="s">
        <v>215</v>
      </c>
      <c r="D35" s="119" t="s">
        <v>123</v>
      </c>
    </row>
    <row r="36" spans="2:18" ht="15.75" x14ac:dyDescent="0.25">
      <c r="B36" s="125" t="s">
        <v>216</v>
      </c>
      <c r="D36" s="119" t="s">
        <v>125</v>
      </c>
    </row>
    <row r="37" spans="2:18" ht="16.5" thickBot="1" x14ac:dyDescent="0.3">
      <c r="B37" s="125" t="s">
        <v>217</v>
      </c>
      <c r="D37" s="120" t="s">
        <v>126</v>
      </c>
      <c r="R37" t="s">
        <v>127</v>
      </c>
    </row>
    <row r="38" spans="2:18" ht="15.75" x14ac:dyDescent="0.25">
      <c r="B38" s="125" t="s">
        <v>218</v>
      </c>
      <c r="R38" t="s">
        <v>121</v>
      </c>
    </row>
    <row r="39" spans="2:18" ht="15.75" x14ac:dyDescent="0.25">
      <c r="B39" s="125" t="s">
        <v>219</v>
      </c>
      <c r="R39" t="s">
        <v>124</v>
      </c>
    </row>
    <row r="40" spans="2:18" ht="15.75" x14ac:dyDescent="0.25">
      <c r="B40" s="125" t="s">
        <v>220</v>
      </c>
      <c r="R40" t="s">
        <v>122</v>
      </c>
    </row>
    <row r="41" spans="2:18" ht="15.75" x14ac:dyDescent="0.25">
      <c r="B41" s="125" t="s">
        <v>221</v>
      </c>
      <c r="R41" t="s">
        <v>123</v>
      </c>
    </row>
    <row r="42" spans="2:18" ht="16.5" thickBot="1" x14ac:dyDescent="0.3">
      <c r="B42" s="126" t="s">
        <v>222</v>
      </c>
      <c r="R42" t="s">
        <v>125</v>
      </c>
    </row>
    <row r="43" spans="2:18" x14ac:dyDescent="0.25">
      <c r="R43" t="s">
        <v>126</v>
      </c>
    </row>
  </sheetData>
  <pageMargins left="0.7" right="0.7" top="0.75" bottom="0.75" header="0.3" footer="0.3"/>
  <pageSetup paperSize="142"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RowHeight="12.75" x14ac:dyDescent="0.2"/>
  <cols>
    <col min="1" max="1" width="32.85546875" style="3" customWidth="1"/>
    <col min="2" max="16384" width="11.42578125" style="3"/>
  </cols>
  <sheetData>
    <row r="3" spans="1:1" x14ac:dyDescent="0.2">
      <c r="A3" s="4" t="s">
        <v>14</v>
      </c>
    </row>
    <row r="4" spans="1:1" x14ac:dyDescent="0.2">
      <c r="A4" s="4" t="s">
        <v>15</v>
      </c>
    </row>
    <row r="5" spans="1:1" x14ac:dyDescent="0.2">
      <c r="A5" s="4" t="s">
        <v>16</v>
      </c>
    </row>
    <row r="6" spans="1:1" x14ac:dyDescent="0.2">
      <c r="A6" s="4" t="s">
        <v>10</v>
      </c>
    </row>
    <row r="7" spans="1:1" x14ac:dyDescent="0.2">
      <c r="A7" s="4" t="s">
        <v>9</v>
      </c>
    </row>
    <row r="8" spans="1:1" x14ac:dyDescent="0.2">
      <c r="A8" s="4" t="s">
        <v>19</v>
      </c>
    </row>
    <row r="9" spans="1:1" x14ac:dyDescent="0.2">
      <c r="A9" s="4" t="s">
        <v>20</v>
      </c>
    </row>
    <row r="10" spans="1:1" x14ac:dyDescent="0.2">
      <c r="A10" s="4" t="s">
        <v>22</v>
      </c>
    </row>
    <row r="11" spans="1:1" x14ac:dyDescent="0.2">
      <c r="A11" s="4" t="s">
        <v>23</v>
      </c>
    </row>
    <row r="12" spans="1:1" x14ac:dyDescent="0.2">
      <c r="A12" s="4" t="s">
        <v>25</v>
      </c>
    </row>
    <row r="13" spans="1:1" x14ac:dyDescent="0.2">
      <c r="A13" s="4" t="s">
        <v>26</v>
      </c>
    </row>
    <row r="14" spans="1:1" x14ac:dyDescent="0.2">
      <c r="A14" s="4" t="s">
        <v>27</v>
      </c>
    </row>
    <row r="16" spans="1:1" x14ac:dyDescent="0.2">
      <c r="A16" s="4" t="s">
        <v>30</v>
      </c>
    </row>
    <row r="17" spans="1:1" x14ac:dyDescent="0.2">
      <c r="A17" s="4" t="s">
        <v>31</v>
      </c>
    </row>
    <row r="18" spans="1:1" x14ac:dyDescent="0.2">
      <c r="A18" s="4" t="s">
        <v>32</v>
      </c>
    </row>
    <row r="20" spans="1:1" x14ac:dyDescent="0.2">
      <c r="A20" s="4" t="s">
        <v>40</v>
      </c>
    </row>
    <row r="21" spans="1:1" x14ac:dyDescent="0.2">
      <c r="A21" s="4" t="s">
        <v>41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02"/>
  <sheetViews>
    <sheetView showGridLines="0" workbookViewId="0"/>
  </sheetViews>
  <sheetFormatPr baseColWidth="10"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28" t="s">
        <v>223</v>
      </c>
      <c r="C1" s="128"/>
      <c r="D1" s="137"/>
      <c r="E1" s="137"/>
      <c r="F1" s="137"/>
    </row>
    <row r="2" spans="2:6" x14ac:dyDescent="0.25">
      <c r="B2" s="128" t="s">
        <v>224</v>
      </c>
      <c r="C2" s="128"/>
      <c r="D2" s="137"/>
      <c r="E2" s="137"/>
      <c r="F2" s="137"/>
    </row>
    <row r="3" spans="2:6" x14ac:dyDescent="0.25">
      <c r="B3" s="129"/>
      <c r="C3" s="129"/>
      <c r="D3" s="138"/>
      <c r="E3" s="138"/>
      <c r="F3" s="138"/>
    </row>
    <row r="4" spans="2:6" ht="45" x14ac:dyDescent="0.25">
      <c r="B4" s="129" t="s">
        <v>225</v>
      </c>
      <c r="C4" s="129"/>
      <c r="D4" s="138"/>
      <c r="E4" s="138"/>
      <c r="F4" s="138"/>
    </row>
    <row r="5" spans="2:6" x14ac:dyDescent="0.25">
      <c r="B5" s="129"/>
      <c r="C5" s="129"/>
      <c r="D5" s="138"/>
      <c r="E5" s="138"/>
      <c r="F5" s="138"/>
    </row>
    <row r="6" spans="2:6" ht="30" x14ac:dyDescent="0.25">
      <c r="B6" s="128" t="s">
        <v>226</v>
      </c>
      <c r="C6" s="128"/>
      <c r="D6" s="137"/>
      <c r="E6" s="137" t="s">
        <v>227</v>
      </c>
      <c r="F6" s="137" t="s">
        <v>228</v>
      </c>
    </row>
    <row r="7" spans="2:6" ht="15.75" thickBot="1" x14ac:dyDescent="0.3">
      <c r="B7" s="129"/>
      <c r="C7" s="129"/>
      <c r="D7" s="138"/>
      <c r="E7" s="138"/>
      <c r="F7" s="138"/>
    </row>
    <row r="8" spans="2:6" ht="60" x14ac:dyDescent="0.25">
      <c r="B8" s="130" t="s">
        <v>229</v>
      </c>
      <c r="C8" s="131"/>
      <c r="D8" s="139"/>
      <c r="E8" s="139">
        <v>300</v>
      </c>
      <c r="F8" s="140"/>
    </row>
    <row r="9" spans="2:6" ht="30" x14ac:dyDescent="0.25">
      <c r="B9" s="132"/>
      <c r="C9" s="129"/>
      <c r="D9" s="138"/>
      <c r="E9" s="141" t="s">
        <v>230</v>
      </c>
      <c r="F9" s="142" t="s">
        <v>350</v>
      </c>
    </row>
    <row r="10" spans="2:6" ht="30" x14ac:dyDescent="0.25">
      <c r="B10" s="132"/>
      <c r="C10" s="129"/>
      <c r="D10" s="138"/>
      <c r="E10" s="141" t="s">
        <v>231</v>
      </c>
      <c r="F10" s="142"/>
    </row>
    <row r="11" spans="2:6" ht="30" x14ac:dyDescent="0.25">
      <c r="B11" s="132"/>
      <c r="C11" s="129"/>
      <c r="D11" s="138"/>
      <c r="E11" s="141" t="s">
        <v>232</v>
      </c>
      <c r="F11" s="142"/>
    </row>
    <row r="12" spans="2:6" ht="30" x14ac:dyDescent="0.25">
      <c r="B12" s="132"/>
      <c r="C12" s="129"/>
      <c r="D12" s="138"/>
      <c r="E12" s="141" t="s">
        <v>233</v>
      </c>
      <c r="F12" s="142"/>
    </row>
    <row r="13" spans="2:6" ht="30" x14ac:dyDescent="0.25">
      <c r="B13" s="132"/>
      <c r="C13" s="129"/>
      <c r="D13" s="138"/>
      <c r="E13" s="141" t="s">
        <v>234</v>
      </c>
      <c r="F13" s="142"/>
    </row>
    <row r="14" spans="2:6" ht="30" x14ac:dyDescent="0.25">
      <c r="B14" s="132"/>
      <c r="C14" s="129"/>
      <c r="D14" s="138"/>
      <c r="E14" s="141" t="s">
        <v>235</v>
      </c>
      <c r="F14" s="142"/>
    </row>
    <row r="15" spans="2:6" ht="30" x14ac:dyDescent="0.25">
      <c r="B15" s="132"/>
      <c r="C15" s="129"/>
      <c r="D15" s="138"/>
      <c r="E15" s="141" t="s">
        <v>236</v>
      </c>
      <c r="F15" s="142"/>
    </row>
    <row r="16" spans="2:6" ht="30" x14ac:dyDescent="0.25">
      <c r="B16" s="132"/>
      <c r="C16" s="129"/>
      <c r="D16" s="138"/>
      <c r="E16" s="141" t="s">
        <v>237</v>
      </c>
      <c r="F16" s="142"/>
    </row>
    <row r="17" spans="2:6" ht="30" x14ac:dyDescent="0.25">
      <c r="B17" s="132"/>
      <c r="C17" s="129"/>
      <c r="D17" s="138"/>
      <c r="E17" s="141" t="s">
        <v>238</v>
      </c>
      <c r="F17" s="142"/>
    </row>
    <row r="18" spans="2:6" ht="30" x14ac:dyDescent="0.25">
      <c r="B18" s="132"/>
      <c r="C18" s="129"/>
      <c r="D18" s="138"/>
      <c r="E18" s="141" t="s">
        <v>239</v>
      </c>
      <c r="F18" s="142"/>
    </row>
    <row r="19" spans="2:6" ht="30" x14ac:dyDescent="0.25">
      <c r="B19" s="132"/>
      <c r="C19" s="129"/>
      <c r="D19" s="138"/>
      <c r="E19" s="141" t="s">
        <v>240</v>
      </c>
      <c r="F19" s="142"/>
    </row>
    <row r="20" spans="2:6" ht="30" x14ac:dyDescent="0.25">
      <c r="B20" s="132"/>
      <c r="C20" s="129"/>
      <c r="D20" s="138"/>
      <c r="E20" s="141" t="s">
        <v>241</v>
      </c>
      <c r="F20" s="142"/>
    </row>
    <row r="21" spans="2:6" ht="30" x14ac:dyDescent="0.25">
      <c r="B21" s="132"/>
      <c r="C21" s="129"/>
      <c r="D21" s="138"/>
      <c r="E21" s="141" t="s">
        <v>242</v>
      </c>
      <c r="F21" s="142"/>
    </row>
    <row r="22" spans="2:6" ht="30" x14ac:dyDescent="0.25">
      <c r="B22" s="132"/>
      <c r="C22" s="129"/>
      <c r="D22" s="138"/>
      <c r="E22" s="141" t="s">
        <v>243</v>
      </c>
      <c r="F22" s="142"/>
    </row>
    <row r="23" spans="2:6" ht="30" x14ac:dyDescent="0.25">
      <c r="B23" s="132"/>
      <c r="C23" s="129"/>
      <c r="D23" s="138"/>
      <c r="E23" s="141" t="s">
        <v>244</v>
      </c>
      <c r="F23" s="142"/>
    </row>
    <row r="24" spans="2:6" ht="30" x14ac:dyDescent="0.25">
      <c r="B24" s="132"/>
      <c r="C24" s="129"/>
      <c r="D24" s="138"/>
      <c r="E24" s="141" t="s">
        <v>245</v>
      </c>
      <c r="F24" s="142"/>
    </row>
    <row r="25" spans="2:6" ht="30" x14ac:dyDescent="0.25">
      <c r="B25" s="132"/>
      <c r="C25" s="129"/>
      <c r="D25" s="138"/>
      <c r="E25" s="141" t="s">
        <v>246</v>
      </c>
      <c r="F25" s="142"/>
    </row>
    <row r="26" spans="2:6" ht="30" x14ac:dyDescent="0.25">
      <c r="B26" s="132"/>
      <c r="C26" s="129"/>
      <c r="D26" s="138"/>
      <c r="E26" s="141" t="s">
        <v>247</v>
      </c>
      <c r="F26" s="142"/>
    </row>
    <row r="27" spans="2:6" ht="30" x14ac:dyDescent="0.25">
      <c r="B27" s="132"/>
      <c r="C27" s="129"/>
      <c r="D27" s="138"/>
      <c r="E27" s="141" t="s">
        <v>248</v>
      </c>
      <c r="F27" s="142"/>
    </row>
    <row r="28" spans="2:6" ht="30" x14ac:dyDescent="0.25">
      <c r="B28" s="132"/>
      <c r="C28" s="129"/>
      <c r="D28" s="138"/>
      <c r="E28" s="141" t="s">
        <v>249</v>
      </c>
      <c r="F28" s="142"/>
    </row>
    <row r="29" spans="2:6" ht="30" x14ac:dyDescent="0.25">
      <c r="B29" s="132"/>
      <c r="C29" s="129"/>
      <c r="D29" s="138"/>
      <c r="E29" s="141" t="s">
        <v>250</v>
      </c>
      <c r="F29" s="142"/>
    </row>
    <row r="30" spans="2:6" ht="30" x14ac:dyDescent="0.25">
      <c r="B30" s="132"/>
      <c r="C30" s="129"/>
      <c r="D30" s="138"/>
      <c r="E30" s="141" t="s">
        <v>251</v>
      </c>
      <c r="F30" s="142"/>
    </row>
    <row r="31" spans="2:6" ht="30" x14ac:dyDescent="0.25">
      <c r="B31" s="132"/>
      <c r="C31" s="129"/>
      <c r="D31" s="138"/>
      <c r="E31" s="141" t="s">
        <v>252</v>
      </c>
      <c r="F31" s="142"/>
    </row>
    <row r="32" spans="2:6" ht="30" x14ac:dyDescent="0.25">
      <c r="B32" s="132"/>
      <c r="C32" s="129"/>
      <c r="D32" s="138"/>
      <c r="E32" s="141" t="s">
        <v>253</v>
      </c>
      <c r="F32" s="142"/>
    </row>
    <row r="33" spans="2:6" ht="30" x14ac:dyDescent="0.25">
      <c r="B33" s="132"/>
      <c r="C33" s="129"/>
      <c r="D33" s="138"/>
      <c r="E33" s="141" t="s">
        <v>254</v>
      </c>
      <c r="F33" s="142"/>
    </row>
    <row r="34" spans="2:6" ht="30" x14ac:dyDescent="0.25">
      <c r="B34" s="132"/>
      <c r="C34" s="129"/>
      <c r="D34" s="138"/>
      <c r="E34" s="141" t="s">
        <v>255</v>
      </c>
      <c r="F34" s="142"/>
    </row>
    <row r="35" spans="2:6" ht="30" x14ac:dyDescent="0.25">
      <c r="B35" s="132"/>
      <c r="C35" s="129"/>
      <c r="D35" s="138"/>
      <c r="E35" s="141" t="s">
        <v>256</v>
      </c>
      <c r="F35" s="142"/>
    </row>
    <row r="36" spans="2:6" ht="30" x14ac:dyDescent="0.25">
      <c r="B36" s="132"/>
      <c r="C36" s="129"/>
      <c r="D36" s="138"/>
      <c r="E36" s="141" t="s">
        <v>257</v>
      </c>
      <c r="F36" s="142"/>
    </row>
    <row r="37" spans="2:6" ht="30" x14ac:dyDescent="0.25">
      <c r="B37" s="132"/>
      <c r="C37" s="129"/>
      <c r="D37" s="138"/>
      <c r="E37" s="141" t="s">
        <v>258</v>
      </c>
      <c r="F37" s="142"/>
    </row>
    <row r="38" spans="2:6" ht="30" x14ac:dyDescent="0.25">
      <c r="B38" s="132"/>
      <c r="C38" s="129"/>
      <c r="D38" s="138"/>
      <c r="E38" s="141" t="s">
        <v>259</v>
      </c>
      <c r="F38" s="142"/>
    </row>
    <row r="39" spans="2:6" ht="30" x14ac:dyDescent="0.25">
      <c r="B39" s="132"/>
      <c r="C39" s="129"/>
      <c r="D39" s="138"/>
      <c r="E39" s="141" t="s">
        <v>260</v>
      </c>
      <c r="F39" s="142"/>
    </row>
    <row r="40" spans="2:6" ht="30" x14ac:dyDescent="0.25">
      <c r="B40" s="132"/>
      <c r="C40" s="129"/>
      <c r="D40" s="138"/>
      <c r="E40" s="141" t="s">
        <v>261</v>
      </c>
      <c r="F40" s="142"/>
    </row>
    <row r="41" spans="2:6" ht="30" x14ac:dyDescent="0.25">
      <c r="B41" s="132"/>
      <c r="C41" s="129"/>
      <c r="D41" s="138"/>
      <c r="E41" s="141" t="s">
        <v>262</v>
      </c>
      <c r="F41" s="142"/>
    </row>
    <row r="42" spans="2:6" ht="30" x14ac:dyDescent="0.25">
      <c r="B42" s="132"/>
      <c r="C42" s="129"/>
      <c r="D42" s="138"/>
      <c r="E42" s="141" t="s">
        <v>263</v>
      </c>
      <c r="F42" s="142"/>
    </row>
    <row r="43" spans="2:6" ht="30" x14ac:dyDescent="0.25">
      <c r="B43" s="132"/>
      <c r="C43" s="129"/>
      <c r="D43" s="138"/>
      <c r="E43" s="141" t="s">
        <v>264</v>
      </c>
      <c r="F43" s="142"/>
    </row>
    <row r="44" spans="2:6" ht="30" x14ac:dyDescent="0.25">
      <c r="B44" s="132"/>
      <c r="C44" s="129"/>
      <c r="D44" s="138"/>
      <c r="E44" s="141" t="s">
        <v>265</v>
      </c>
      <c r="F44" s="142"/>
    </row>
    <row r="45" spans="2:6" ht="30" x14ac:dyDescent="0.25">
      <c r="B45" s="132"/>
      <c r="C45" s="129"/>
      <c r="D45" s="138"/>
      <c r="E45" s="141" t="s">
        <v>266</v>
      </c>
      <c r="F45" s="142"/>
    </row>
    <row r="46" spans="2:6" ht="30" x14ac:dyDescent="0.25">
      <c r="B46" s="132"/>
      <c r="C46" s="129"/>
      <c r="D46" s="138"/>
      <c r="E46" s="141" t="s">
        <v>267</v>
      </c>
      <c r="F46" s="142"/>
    </row>
    <row r="47" spans="2:6" ht="30" x14ac:dyDescent="0.25">
      <c r="B47" s="132"/>
      <c r="C47" s="129"/>
      <c r="D47" s="138"/>
      <c r="E47" s="141" t="s">
        <v>268</v>
      </c>
      <c r="F47" s="142"/>
    </row>
    <row r="48" spans="2:6" ht="30" x14ac:dyDescent="0.25">
      <c r="B48" s="132"/>
      <c r="C48" s="129"/>
      <c r="D48" s="138"/>
      <c r="E48" s="141" t="s">
        <v>269</v>
      </c>
      <c r="F48" s="142"/>
    </row>
    <row r="49" spans="2:6" ht="30" x14ac:dyDescent="0.25">
      <c r="B49" s="132"/>
      <c r="C49" s="129"/>
      <c r="D49" s="138"/>
      <c r="E49" s="141" t="s">
        <v>270</v>
      </c>
      <c r="F49" s="142"/>
    </row>
    <row r="50" spans="2:6" ht="30" x14ac:dyDescent="0.25">
      <c r="B50" s="132"/>
      <c r="C50" s="129"/>
      <c r="D50" s="138"/>
      <c r="E50" s="141" t="s">
        <v>271</v>
      </c>
      <c r="F50" s="142"/>
    </row>
    <row r="51" spans="2:6" ht="30" x14ac:dyDescent="0.25">
      <c r="B51" s="132"/>
      <c r="C51" s="129"/>
      <c r="D51" s="138"/>
      <c r="E51" s="141" t="s">
        <v>272</v>
      </c>
      <c r="F51" s="142"/>
    </row>
    <row r="52" spans="2:6" ht="30" x14ac:dyDescent="0.25">
      <c r="B52" s="132"/>
      <c r="C52" s="129"/>
      <c r="D52" s="138"/>
      <c r="E52" s="141" t="s">
        <v>273</v>
      </c>
      <c r="F52" s="142"/>
    </row>
    <row r="53" spans="2:6" ht="30" x14ac:dyDescent="0.25">
      <c r="B53" s="132"/>
      <c r="C53" s="129"/>
      <c r="D53" s="138"/>
      <c r="E53" s="141" t="s">
        <v>274</v>
      </c>
      <c r="F53" s="142"/>
    </row>
    <row r="54" spans="2:6" ht="30" x14ac:dyDescent="0.25">
      <c r="B54" s="132"/>
      <c r="C54" s="129"/>
      <c r="D54" s="138"/>
      <c r="E54" s="141" t="s">
        <v>275</v>
      </c>
      <c r="F54" s="142"/>
    </row>
    <row r="55" spans="2:6" ht="30" x14ac:dyDescent="0.25">
      <c r="B55" s="132"/>
      <c r="C55" s="129"/>
      <c r="D55" s="138"/>
      <c r="E55" s="141" t="s">
        <v>276</v>
      </c>
      <c r="F55" s="142"/>
    </row>
    <row r="56" spans="2:6" ht="30" x14ac:dyDescent="0.25">
      <c r="B56" s="132"/>
      <c r="C56" s="129"/>
      <c r="D56" s="138"/>
      <c r="E56" s="141" t="s">
        <v>277</v>
      </c>
      <c r="F56" s="142"/>
    </row>
    <row r="57" spans="2:6" ht="30" x14ac:dyDescent="0.25">
      <c r="B57" s="132"/>
      <c r="C57" s="129"/>
      <c r="D57" s="138"/>
      <c r="E57" s="141" t="s">
        <v>278</v>
      </c>
      <c r="F57" s="142"/>
    </row>
    <row r="58" spans="2:6" ht="30" x14ac:dyDescent="0.25">
      <c r="B58" s="132"/>
      <c r="C58" s="129"/>
      <c r="D58" s="138"/>
      <c r="E58" s="141" t="s">
        <v>279</v>
      </c>
      <c r="F58" s="142"/>
    </row>
    <row r="59" spans="2:6" ht="30" x14ac:dyDescent="0.25">
      <c r="B59" s="132"/>
      <c r="C59" s="129"/>
      <c r="D59" s="138"/>
      <c r="E59" s="141" t="s">
        <v>280</v>
      </c>
      <c r="F59" s="142"/>
    </row>
    <row r="60" spans="2:6" ht="30" x14ac:dyDescent="0.25">
      <c r="B60" s="132"/>
      <c r="C60" s="129"/>
      <c r="D60" s="138"/>
      <c r="E60" s="141" t="s">
        <v>281</v>
      </c>
      <c r="F60" s="142"/>
    </row>
    <row r="61" spans="2:6" ht="30" x14ac:dyDescent="0.25">
      <c r="B61" s="132"/>
      <c r="C61" s="129"/>
      <c r="D61" s="138"/>
      <c r="E61" s="141" t="s">
        <v>282</v>
      </c>
      <c r="F61" s="142"/>
    </row>
    <row r="62" spans="2:6" ht="30" x14ac:dyDescent="0.25">
      <c r="B62" s="132"/>
      <c r="C62" s="129"/>
      <c r="D62" s="138"/>
      <c r="E62" s="141" t="s">
        <v>283</v>
      </c>
      <c r="F62" s="142"/>
    </row>
    <row r="63" spans="2:6" ht="30" x14ac:dyDescent="0.25">
      <c r="B63" s="132"/>
      <c r="C63" s="129"/>
      <c r="D63" s="138"/>
      <c r="E63" s="141" t="s">
        <v>284</v>
      </c>
      <c r="F63" s="142"/>
    </row>
    <row r="64" spans="2:6" ht="30" x14ac:dyDescent="0.25">
      <c r="B64" s="132"/>
      <c r="C64" s="129"/>
      <c r="D64" s="138"/>
      <c r="E64" s="141" t="s">
        <v>285</v>
      </c>
      <c r="F64" s="142"/>
    </row>
    <row r="65" spans="2:6" ht="30" x14ac:dyDescent="0.25">
      <c r="B65" s="132"/>
      <c r="C65" s="129"/>
      <c r="D65" s="138"/>
      <c r="E65" s="141" t="s">
        <v>286</v>
      </c>
      <c r="F65" s="142"/>
    </row>
    <row r="66" spans="2:6" ht="30" x14ac:dyDescent="0.25">
      <c r="B66" s="132"/>
      <c r="C66" s="129"/>
      <c r="D66" s="138"/>
      <c r="E66" s="141" t="s">
        <v>287</v>
      </c>
      <c r="F66" s="142"/>
    </row>
    <row r="67" spans="2:6" ht="30" x14ac:dyDescent="0.25">
      <c r="B67" s="132"/>
      <c r="C67" s="129"/>
      <c r="D67" s="138"/>
      <c r="E67" s="141" t="s">
        <v>288</v>
      </c>
      <c r="F67" s="142"/>
    </row>
    <row r="68" spans="2:6" ht="30" x14ac:dyDescent="0.25">
      <c r="B68" s="132"/>
      <c r="C68" s="129"/>
      <c r="D68" s="138"/>
      <c r="E68" s="141" t="s">
        <v>289</v>
      </c>
      <c r="F68" s="142"/>
    </row>
    <row r="69" spans="2:6" ht="30" x14ac:dyDescent="0.25">
      <c r="B69" s="132"/>
      <c r="C69" s="129"/>
      <c r="D69" s="138"/>
      <c r="E69" s="141" t="s">
        <v>290</v>
      </c>
      <c r="F69" s="142"/>
    </row>
    <row r="70" spans="2:6" ht="30" x14ac:dyDescent="0.25">
      <c r="B70" s="132"/>
      <c r="C70" s="129"/>
      <c r="D70" s="138"/>
      <c r="E70" s="141" t="s">
        <v>291</v>
      </c>
      <c r="F70" s="142"/>
    </row>
    <row r="71" spans="2:6" ht="30" x14ac:dyDescent="0.25">
      <c r="B71" s="132"/>
      <c r="C71" s="129"/>
      <c r="D71" s="138"/>
      <c r="E71" s="141" t="s">
        <v>292</v>
      </c>
      <c r="F71" s="142"/>
    </row>
    <row r="72" spans="2:6" ht="30" x14ac:dyDescent="0.25">
      <c r="B72" s="132"/>
      <c r="C72" s="129"/>
      <c r="D72" s="138"/>
      <c r="E72" s="141" t="s">
        <v>293</v>
      </c>
      <c r="F72" s="142"/>
    </row>
    <row r="73" spans="2:6" ht="30" x14ac:dyDescent="0.25">
      <c r="B73" s="132"/>
      <c r="C73" s="129"/>
      <c r="D73" s="138"/>
      <c r="E73" s="141" t="s">
        <v>294</v>
      </c>
      <c r="F73" s="142"/>
    </row>
    <row r="74" spans="2:6" ht="30" x14ac:dyDescent="0.25">
      <c r="B74" s="132"/>
      <c r="C74" s="129"/>
      <c r="D74" s="138"/>
      <c r="E74" s="141" t="s">
        <v>295</v>
      </c>
      <c r="F74" s="142"/>
    </row>
    <row r="75" spans="2:6" ht="30" x14ac:dyDescent="0.25">
      <c r="B75" s="132"/>
      <c r="C75" s="129"/>
      <c r="D75" s="138"/>
      <c r="E75" s="141" t="s">
        <v>296</v>
      </c>
      <c r="F75" s="142"/>
    </row>
    <row r="76" spans="2:6" ht="30" x14ac:dyDescent="0.25">
      <c r="B76" s="132"/>
      <c r="C76" s="129"/>
      <c r="D76" s="138"/>
      <c r="E76" s="141" t="s">
        <v>297</v>
      </c>
      <c r="F76" s="142"/>
    </row>
    <row r="77" spans="2:6" ht="30" x14ac:dyDescent="0.25">
      <c r="B77" s="132"/>
      <c r="C77" s="129"/>
      <c r="D77" s="138"/>
      <c r="E77" s="141" t="s">
        <v>298</v>
      </c>
      <c r="F77" s="142"/>
    </row>
    <row r="78" spans="2:6" ht="30" x14ac:dyDescent="0.25">
      <c r="B78" s="132"/>
      <c r="C78" s="129"/>
      <c r="D78" s="138"/>
      <c r="E78" s="141" t="s">
        <v>299</v>
      </c>
      <c r="F78" s="142"/>
    </row>
    <row r="79" spans="2:6" ht="30" x14ac:dyDescent="0.25">
      <c r="B79" s="132"/>
      <c r="C79" s="129"/>
      <c r="D79" s="138"/>
      <c r="E79" s="141" t="s">
        <v>300</v>
      </c>
      <c r="F79" s="142"/>
    </row>
    <row r="80" spans="2:6" ht="30" x14ac:dyDescent="0.25">
      <c r="B80" s="132"/>
      <c r="C80" s="129"/>
      <c r="D80" s="138"/>
      <c r="E80" s="141" t="s">
        <v>301</v>
      </c>
      <c r="F80" s="142"/>
    </row>
    <row r="81" spans="2:6" ht="30" x14ac:dyDescent="0.25">
      <c r="B81" s="132"/>
      <c r="C81" s="129"/>
      <c r="D81" s="138"/>
      <c r="E81" s="141" t="s">
        <v>302</v>
      </c>
      <c r="F81" s="142"/>
    </row>
    <row r="82" spans="2:6" ht="30" x14ac:dyDescent="0.25">
      <c r="B82" s="132"/>
      <c r="C82" s="129"/>
      <c r="D82" s="138"/>
      <c r="E82" s="141" t="s">
        <v>303</v>
      </c>
      <c r="F82" s="142"/>
    </row>
    <row r="83" spans="2:6" ht="30" x14ac:dyDescent="0.25">
      <c r="B83" s="132"/>
      <c r="C83" s="129"/>
      <c r="D83" s="138"/>
      <c r="E83" s="141" t="s">
        <v>304</v>
      </c>
      <c r="F83" s="142"/>
    </row>
    <row r="84" spans="2:6" ht="30" x14ac:dyDescent="0.25">
      <c r="B84" s="132"/>
      <c r="C84" s="129"/>
      <c r="D84" s="138"/>
      <c r="E84" s="141" t="s">
        <v>305</v>
      </c>
      <c r="F84" s="142"/>
    </row>
    <row r="85" spans="2:6" ht="30" x14ac:dyDescent="0.25">
      <c r="B85" s="132"/>
      <c r="C85" s="129"/>
      <c r="D85" s="138"/>
      <c r="E85" s="141" t="s">
        <v>306</v>
      </c>
      <c r="F85" s="142"/>
    </row>
    <row r="86" spans="2:6" ht="30" x14ac:dyDescent="0.25">
      <c r="B86" s="132"/>
      <c r="C86" s="129"/>
      <c r="D86" s="138"/>
      <c r="E86" s="141" t="s">
        <v>307</v>
      </c>
      <c r="F86" s="142"/>
    </row>
    <row r="87" spans="2:6" ht="30" x14ac:dyDescent="0.25">
      <c r="B87" s="132"/>
      <c r="C87" s="129"/>
      <c r="D87" s="138"/>
      <c r="E87" s="141" t="s">
        <v>308</v>
      </c>
      <c r="F87" s="142"/>
    </row>
    <row r="88" spans="2:6" ht="30" x14ac:dyDescent="0.25">
      <c r="B88" s="132"/>
      <c r="C88" s="129"/>
      <c r="D88" s="138"/>
      <c r="E88" s="141" t="s">
        <v>309</v>
      </c>
      <c r="F88" s="142"/>
    </row>
    <row r="89" spans="2:6" ht="30" x14ac:dyDescent="0.25">
      <c r="B89" s="132"/>
      <c r="C89" s="129"/>
      <c r="D89" s="138"/>
      <c r="E89" s="141" t="s">
        <v>310</v>
      </c>
      <c r="F89" s="142"/>
    </row>
    <row r="90" spans="2:6" ht="30" x14ac:dyDescent="0.25">
      <c r="B90" s="132"/>
      <c r="C90" s="129"/>
      <c r="D90" s="138"/>
      <c r="E90" s="141" t="s">
        <v>311</v>
      </c>
      <c r="F90" s="142"/>
    </row>
    <row r="91" spans="2:6" ht="30" x14ac:dyDescent="0.25">
      <c r="B91" s="132"/>
      <c r="C91" s="129"/>
      <c r="D91" s="138"/>
      <c r="E91" s="141" t="s">
        <v>312</v>
      </c>
      <c r="F91" s="142"/>
    </row>
    <row r="92" spans="2:6" ht="30" x14ac:dyDescent="0.25">
      <c r="B92" s="132"/>
      <c r="C92" s="129"/>
      <c r="D92" s="138"/>
      <c r="E92" s="141" t="s">
        <v>313</v>
      </c>
      <c r="F92" s="142"/>
    </row>
    <row r="93" spans="2:6" ht="30" x14ac:dyDescent="0.25">
      <c r="B93" s="132"/>
      <c r="C93" s="129"/>
      <c r="D93" s="138"/>
      <c r="E93" s="141" t="s">
        <v>314</v>
      </c>
      <c r="F93" s="142"/>
    </row>
    <row r="94" spans="2:6" ht="30" x14ac:dyDescent="0.25">
      <c r="B94" s="132"/>
      <c r="C94" s="129"/>
      <c r="D94" s="138"/>
      <c r="E94" s="141" t="s">
        <v>315</v>
      </c>
      <c r="F94" s="142"/>
    </row>
    <row r="95" spans="2:6" ht="30" x14ac:dyDescent="0.25">
      <c r="B95" s="132"/>
      <c r="C95" s="129"/>
      <c r="D95" s="138"/>
      <c r="E95" s="141" t="s">
        <v>316</v>
      </c>
      <c r="F95" s="142"/>
    </row>
    <row r="96" spans="2:6" ht="30" x14ac:dyDescent="0.25">
      <c r="B96" s="132"/>
      <c r="C96" s="129"/>
      <c r="D96" s="138"/>
      <c r="E96" s="141" t="s">
        <v>317</v>
      </c>
      <c r="F96" s="142"/>
    </row>
    <row r="97" spans="2:6" ht="30" x14ac:dyDescent="0.25">
      <c r="B97" s="132"/>
      <c r="C97" s="129"/>
      <c r="D97" s="138"/>
      <c r="E97" s="141" t="s">
        <v>318</v>
      </c>
      <c r="F97" s="142"/>
    </row>
    <row r="98" spans="2:6" ht="30" x14ac:dyDescent="0.25">
      <c r="B98" s="132"/>
      <c r="C98" s="129"/>
      <c r="D98" s="138"/>
      <c r="E98" s="141" t="s">
        <v>319</v>
      </c>
      <c r="F98" s="142"/>
    </row>
    <row r="99" spans="2:6" ht="30" x14ac:dyDescent="0.25">
      <c r="B99" s="132"/>
      <c r="C99" s="129"/>
      <c r="D99" s="138"/>
      <c r="E99" s="141" t="s">
        <v>320</v>
      </c>
      <c r="F99" s="142"/>
    </row>
    <row r="100" spans="2:6" ht="30" x14ac:dyDescent="0.25">
      <c r="B100" s="132"/>
      <c r="C100" s="129"/>
      <c r="D100" s="138"/>
      <c r="E100" s="141" t="s">
        <v>321</v>
      </c>
      <c r="F100" s="142"/>
    </row>
    <row r="101" spans="2:6" ht="30" x14ac:dyDescent="0.25">
      <c r="B101" s="132"/>
      <c r="C101" s="129"/>
      <c r="D101" s="138"/>
      <c r="E101" s="141" t="s">
        <v>322</v>
      </c>
      <c r="F101" s="142"/>
    </row>
    <row r="102" spans="2:6" ht="30" x14ac:dyDescent="0.25">
      <c r="B102" s="132"/>
      <c r="C102" s="129"/>
      <c r="D102" s="138"/>
      <c r="E102" s="141" t="s">
        <v>323</v>
      </c>
      <c r="F102" s="142"/>
    </row>
    <row r="103" spans="2:6" ht="30" x14ac:dyDescent="0.25">
      <c r="B103" s="132"/>
      <c r="C103" s="129"/>
      <c r="D103" s="138"/>
      <c r="E103" s="141" t="s">
        <v>324</v>
      </c>
      <c r="F103" s="142"/>
    </row>
    <row r="104" spans="2:6" ht="30" x14ac:dyDescent="0.25">
      <c r="B104" s="132"/>
      <c r="C104" s="129"/>
      <c r="D104" s="138"/>
      <c r="E104" s="141" t="s">
        <v>325</v>
      </c>
      <c r="F104" s="142"/>
    </row>
    <row r="105" spans="2:6" ht="30" x14ac:dyDescent="0.25">
      <c r="B105" s="132"/>
      <c r="C105" s="129"/>
      <c r="D105" s="138"/>
      <c r="E105" s="141" t="s">
        <v>326</v>
      </c>
      <c r="F105" s="142"/>
    </row>
    <row r="106" spans="2:6" ht="30" x14ac:dyDescent="0.25">
      <c r="B106" s="132"/>
      <c r="C106" s="129"/>
      <c r="D106" s="138"/>
      <c r="E106" s="141" t="s">
        <v>327</v>
      </c>
      <c r="F106" s="142"/>
    </row>
    <row r="107" spans="2:6" ht="30" x14ac:dyDescent="0.25">
      <c r="B107" s="132"/>
      <c r="C107" s="129"/>
      <c r="D107" s="138"/>
      <c r="E107" s="141" t="s">
        <v>328</v>
      </c>
      <c r="F107" s="142"/>
    </row>
    <row r="108" spans="2:6" ht="30" x14ac:dyDescent="0.25">
      <c r="B108" s="132"/>
      <c r="C108" s="129"/>
      <c r="D108" s="138"/>
      <c r="E108" s="141" t="s">
        <v>329</v>
      </c>
      <c r="F108" s="142"/>
    </row>
    <row r="109" spans="2:6" ht="30" x14ac:dyDescent="0.25">
      <c r="B109" s="132"/>
      <c r="C109" s="129"/>
      <c r="D109" s="138"/>
      <c r="E109" s="141" t="s">
        <v>330</v>
      </c>
      <c r="F109" s="142"/>
    </row>
    <row r="110" spans="2:6" ht="30" x14ac:dyDescent="0.25">
      <c r="B110" s="132"/>
      <c r="C110" s="129"/>
      <c r="D110" s="138"/>
      <c r="E110" s="141" t="s">
        <v>331</v>
      </c>
      <c r="F110" s="142"/>
    </row>
    <row r="111" spans="2:6" ht="30" x14ac:dyDescent="0.25">
      <c r="B111" s="132"/>
      <c r="C111" s="129"/>
      <c r="D111" s="138"/>
      <c r="E111" s="141" t="s">
        <v>332</v>
      </c>
      <c r="F111" s="142"/>
    </row>
    <row r="112" spans="2:6" ht="30" x14ac:dyDescent="0.25">
      <c r="B112" s="132"/>
      <c r="C112" s="129"/>
      <c r="D112" s="138"/>
      <c r="E112" s="141" t="s">
        <v>333</v>
      </c>
      <c r="F112" s="142"/>
    </row>
    <row r="113" spans="2:6" ht="30" x14ac:dyDescent="0.25">
      <c r="B113" s="132"/>
      <c r="C113" s="129"/>
      <c r="D113" s="138"/>
      <c r="E113" s="141" t="s">
        <v>334</v>
      </c>
      <c r="F113" s="142"/>
    </row>
    <row r="114" spans="2:6" ht="30" x14ac:dyDescent="0.25">
      <c r="B114" s="132"/>
      <c r="C114" s="129"/>
      <c r="D114" s="138"/>
      <c r="E114" s="141" t="s">
        <v>335</v>
      </c>
      <c r="F114" s="142"/>
    </row>
    <row r="115" spans="2:6" ht="30" x14ac:dyDescent="0.25">
      <c r="B115" s="132"/>
      <c r="C115" s="129"/>
      <c r="D115" s="138"/>
      <c r="E115" s="141" t="s">
        <v>336</v>
      </c>
      <c r="F115" s="142"/>
    </row>
    <row r="116" spans="2:6" ht="30" x14ac:dyDescent="0.25">
      <c r="B116" s="132"/>
      <c r="C116" s="129"/>
      <c r="D116" s="138"/>
      <c r="E116" s="141" t="s">
        <v>337</v>
      </c>
      <c r="F116" s="142"/>
    </row>
    <row r="117" spans="2:6" ht="30" x14ac:dyDescent="0.25">
      <c r="B117" s="132"/>
      <c r="C117" s="129"/>
      <c r="D117" s="138"/>
      <c r="E117" s="141" t="s">
        <v>338</v>
      </c>
      <c r="F117" s="142"/>
    </row>
    <row r="118" spans="2:6" ht="30" x14ac:dyDescent="0.25">
      <c r="B118" s="132"/>
      <c r="C118" s="129"/>
      <c r="D118" s="138"/>
      <c r="E118" s="141" t="s">
        <v>339</v>
      </c>
      <c r="F118" s="142"/>
    </row>
    <row r="119" spans="2:6" ht="30" x14ac:dyDescent="0.25">
      <c r="B119" s="132"/>
      <c r="C119" s="129"/>
      <c r="D119" s="138"/>
      <c r="E119" s="141" t="s">
        <v>340</v>
      </c>
      <c r="F119" s="142"/>
    </row>
    <row r="120" spans="2:6" ht="30" x14ac:dyDescent="0.25">
      <c r="B120" s="132"/>
      <c r="C120" s="129"/>
      <c r="D120" s="138"/>
      <c r="E120" s="141" t="s">
        <v>341</v>
      </c>
      <c r="F120" s="142"/>
    </row>
    <row r="121" spans="2:6" ht="30" x14ac:dyDescent="0.25">
      <c r="B121" s="132"/>
      <c r="C121" s="129"/>
      <c r="D121" s="138"/>
      <c r="E121" s="141" t="s">
        <v>342</v>
      </c>
      <c r="F121" s="142"/>
    </row>
    <row r="122" spans="2:6" ht="30" x14ac:dyDescent="0.25">
      <c r="B122" s="132"/>
      <c r="C122" s="129"/>
      <c r="D122" s="138"/>
      <c r="E122" s="141" t="s">
        <v>343</v>
      </c>
      <c r="F122" s="142"/>
    </row>
    <row r="123" spans="2:6" ht="30" x14ac:dyDescent="0.25">
      <c r="B123" s="132"/>
      <c r="C123" s="129"/>
      <c r="D123" s="138"/>
      <c r="E123" s="141" t="s">
        <v>344</v>
      </c>
      <c r="F123" s="142"/>
    </row>
    <row r="124" spans="2:6" ht="30" x14ac:dyDescent="0.25">
      <c r="B124" s="132"/>
      <c r="C124" s="129"/>
      <c r="D124" s="138"/>
      <c r="E124" s="141" t="s">
        <v>345</v>
      </c>
      <c r="F124" s="142"/>
    </row>
    <row r="125" spans="2:6" ht="30" x14ac:dyDescent="0.25">
      <c r="B125" s="132"/>
      <c r="C125" s="129"/>
      <c r="D125" s="138"/>
      <c r="E125" s="141" t="s">
        <v>346</v>
      </c>
      <c r="F125" s="142"/>
    </row>
    <row r="126" spans="2:6" ht="30" x14ac:dyDescent="0.25">
      <c r="B126" s="132"/>
      <c r="C126" s="129"/>
      <c r="D126" s="138"/>
      <c r="E126" s="141" t="s">
        <v>347</v>
      </c>
      <c r="F126" s="142"/>
    </row>
    <row r="127" spans="2:6" ht="30" x14ac:dyDescent="0.25">
      <c r="B127" s="132"/>
      <c r="C127" s="129"/>
      <c r="D127" s="138"/>
      <c r="E127" s="141" t="s">
        <v>348</v>
      </c>
      <c r="F127" s="142"/>
    </row>
    <row r="128" spans="2:6" ht="30.75" thickBot="1" x14ac:dyDescent="0.3">
      <c r="B128" s="133"/>
      <c r="C128" s="134"/>
      <c r="D128" s="143"/>
      <c r="E128" s="144" t="s">
        <v>349</v>
      </c>
      <c r="F128" s="145"/>
    </row>
    <row r="129" spans="2:6" ht="15.75" thickBot="1" x14ac:dyDescent="0.3">
      <c r="B129" s="129"/>
      <c r="C129" s="129"/>
      <c r="D129" s="138"/>
      <c r="E129" s="138"/>
      <c r="F129" s="138"/>
    </row>
    <row r="130" spans="2:6" ht="60" x14ac:dyDescent="0.25">
      <c r="B130" s="130" t="s">
        <v>351</v>
      </c>
      <c r="C130" s="131"/>
      <c r="D130" s="139"/>
      <c r="E130" s="139">
        <v>33</v>
      </c>
      <c r="F130" s="140"/>
    </row>
    <row r="131" spans="2:6" x14ac:dyDescent="0.25">
      <c r="B131" s="132"/>
      <c r="C131" s="129"/>
      <c r="D131" s="138"/>
      <c r="E131" s="141" t="s">
        <v>352</v>
      </c>
      <c r="F131" s="142" t="s">
        <v>350</v>
      </c>
    </row>
    <row r="132" spans="2:6" x14ac:dyDescent="0.25">
      <c r="B132" s="132"/>
      <c r="C132" s="129"/>
      <c r="D132" s="138"/>
      <c r="E132" s="141" t="s">
        <v>353</v>
      </c>
      <c r="F132" s="142"/>
    </row>
    <row r="133" spans="2:6" x14ac:dyDescent="0.25">
      <c r="B133" s="132"/>
      <c r="C133" s="129"/>
      <c r="D133" s="138"/>
      <c r="E133" s="141" t="s">
        <v>354</v>
      </c>
      <c r="F133" s="142"/>
    </row>
    <row r="134" spans="2:6" x14ac:dyDescent="0.25">
      <c r="B134" s="132"/>
      <c r="C134" s="129"/>
      <c r="D134" s="138"/>
      <c r="E134" s="141" t="s">
        <v>355</v>
      </c>
      <c r="F134" s="142"/>
    </row>
    <row r="135" spans="2:6" x14ac:dyDescent="0.25">
      <c r="B135" s="132"/>
      <c r="C135" s="129"/>
      <c r="D135" s="138"/>
      <c r="E135" s="141" t="s">
        <v>356</v>
      </c>
      <c r="F135" s="142"/>
    </row>
    <row r="136" spans="2:6" x14ac:dyDescent="0.25">
      <c r="B136" s="132"/>
      <c r="C136" s="129"/>
      <c r="D136" s="138"/>
      <c r="E136" s="141" t="s">
        <v>357</v>
      </c>
      <c r="F136" s="142"/>
    </row>
    <row r="137" spans="2:6" x14ac:dyDescent="0.25">
      <c r="B137" s="132"/>
      <c r="C137" s="129"/>
      <c r="D137" s="138"/>
      <c r="E137" s="141" t="s">
        <v>358</v>
      </c>
      <c r="F137" s="142"/>
    </row>
    <row r="138" spans="2:6" x14ac:dyDescent="0.25">
      <c r="B138" s="132"/>
      <c r="C138" s="129"/>
      <c r="D138" s="138"/>
      <c r="E138" s="141" t="s">
        <v>359</v>
      </c>
      <c r="F138" s="142"/>
    </row>
    <row r="139" spans="2:6" x14ac:dyDescent="0.25">
      <c r="B139" s="132"/>
      <c r="C139" s="129"/>
      <c r="D139" s="138"/>
      <c r="E139" s="141" t="s">
        <v>360</v>
      </c>
      <c r="F139" s="142"/>
    </row>
    <row r="140" spans="2:6" x14ac:dyDescent="0.25">
      <c r="B140" s="132"/>
      <c r="C140" s="129"/>
      <c r="D140" s="138"/>
      <c r="E140" s="141" t="s">
        <v>361</v>
      </c>
      <c r="F140" s="142"/>
    </row>
    <row r="141" spans="2:6" x14ac:dyDescent="0.25">
      <c r="B141" s="132"/>
      <c r="C141" s="129"/>
      <c r="D141" s="138"/>
      <c r="E141" s="141" t="s">
        <v>362</v>
      </c>
      <c r="F141" s="142"/>
    </row>
    <row r="142" spans="2:6" x14ac:dyDescent="0.25">
      <c r="B142" s="132"/>
      <c r="C142" s="129"/>
      <c r="D142" s="138"/>
      <c r="E142" s="141" t="s">
        <v>363</v>
      </c>
      <c r="F142" s="142"/>
    </row>
    <row r="143" spans="2:6" x14ac:dyDescent="0.25">
      <c r="B143" s="132"/>
      <c r="C143" s="129"/>
      <c r="D143" s="138"/>
      <c r="E143" s="141" t="s">
        <v>364</v>
      </c>
      <c r="F143" s="142"/>
    </row>
    <row r="144" spans="2:6" x14ac:dyDescent="0.25">
      <c r="B144" s="132"/>
      <c r="C144" s="129"/>
      <c r="D144" s="138"/>
      <c r="E144" s="141" t="s">
        <v>365</v>
      </c>
      <c r="F144" s="142"/>
    </row>
    <row r="145" spans="2:6" x14ac:dyDescent="0.25">
      <c r="B145" s="132"/>
      <c r="C145" s="129"/>
      <c r="D145" s="138"/>
      <c r="E145" s="141" t="s">
        <v>366</v>
      </c>
      <c r="F145" s="142"/>
    </row>
    <row r="146" spans="2:6" x14ac:dyDescent="0.25">
      <c r="B146" s="132"/>
      <c r="C146" s="129"/>
      <c r="D146" s="138"/>
      <c r="E146" s="141" t="s">
        <v>367</v>
      </c>
      <c r="F146" s="142"/>
    </row>
    <row r="147" spans="2:6" x14ac:dyDescent="0.25">
      <c r="B147" s="132"/>
      <c r="C147" s="129"/>
      <c r="D147" s="138"/>
      <c r="E147" s="141" t="s">
        <v>368</v>
      </c>
      <c r="F147" s="142"/>
    </row>
    <row r="148" spans="2:6" x14ac:dyDescent="0.25">
      <c r="B148" s="132"/>
      <c r="C148" s="129"/>
      <c r="D148" s="138"/>
      <c r="E148" s="141" t="s">
        <v>369</v>
      </c>
      <c r="F148" s="142"/>
    </row>
    <row r="149" spans="2:6" x14ac:dyDescent="0.25">
      <c r="B149" s="132"/>
      <c r="C149" s="129"/>
      <c r="D149" s="138"/>
      <c r="E149" s="141" t="s">
        <v>370</v>
      </c>
      <c r="F149" s="142"/>
    </row>
    <row r="150" spans="2:6" x14ac:dyDescent="0.25">
      <c r="B150" s="132"/>
      <c r="C150" s="129"/>
      <c r="D150" s="138"/>
      <c r="E150" s="141" t="s">
        <v>371</v>
      </c>
      <c r="F150" s="142"/>
    </row>
    <row r="151" spans="2:6" x14ac:dyDescent="0.25">
      <c r="B151" s="132"/>
      <c r="C151" s="129"/>
      <c r="D151" s="138"/>
      <c r="E151" s="141" t="s">
        <v>372</v>
      </c>
      <c r="F151" s="142"/>
    </row>
    <row r="152" spans="2:6" x14ac:dyDescent="0.25">
      <c r="B152" s="132"/>
      <c r="C152" s="129"/>
      <c r="D152" s="138"/>
      <c r="E152" s="141" t="s">
        <v>373</v>
      </c>
      <c r="F152" s="142"/>
    </row>
    <row r="153" spans="2:6" ht="30" x14ac:dyDescent="0.25">
      <c r="B153" s="132"/>
      <c r="C153" s="129"/>
      <c r="D153" s="138"/>
      <c r="E153" s="141" t="s">
        <v>374</v>
      </c>
      <c r="F153" s="142"/>
    </row>
    <row r="154" spans="2:6" ht="30" x14ac:dyDescent="0.25">
      <c r="B154" s="132"/>
      <c r="C154" s="129"/>
      <c r="D154" s="138"/>
      <c r="E154" s="141" t="s">
        <v>375</v>
      </c>
      <c r="F154" s="142"/>
    </row>
    <row r="155" spans="2:6" ht="30" x14ac:dyDescent="0.25">
      <c r="B155" s="132"/>
      <c r="C155" s="129"/>
      <c r="D155" s="138"/>
      <c r="E155" s="141" t="s">
        <v>376</v>
      </c>
      <c r="F155" s="142"/>
    </row>
    <row r="156" spans="2:6" x14ac:dyDescent="0.25">
      <c r="B156" s="132"/>
      <c r="C156" s="129"/>
      <c r="D156" s="138"/>
      <c r="E156" s="141" t="s">
        <v>377</v>
      </c>
      <c r="F156" s="142"/>
    </row>
    <row r="157" spans="2:6" x14ac:dyDescent="0.25">
      <c r="B157" s="132"/>
      <c r="C157" s="129"/>
      <c r="D157" s="138"/>
      <c r="E157" s="141" t="s">
        <v>378</v>
      </c>
      <c r="F157" s="142"/>
    </row>
    <row r="158" spans="2:6" x14ac:dyDescent="0.25">
      <c r="B158" s="132"/>
      <c r="C158" s="129"/>
      <c r="D158" s="138"/>
      <c r="E158" s="141" t="s">
        <v>379</v>
      </c>
      <c r="F158" s="142"/>
    </row>
    <row r="159" spans="2:6" x14ac:dyDescent="0.25">
      <c r="B159" s="132"/>
      <c r="C159" s="129"/>
      <c r="D159" s="138"/>
      <c r="E159" s="141" t="s">
        <v>380</v>
      </c>
      <c r="F159" s="142"/>
    </row>
    <row r="160" spans="2:6" x14ac:dyDescent="0.25">
      <c r="B160" s="132"/>
      <c r="C160" s="129"/>
      <c r="D160" s="138"/>
      <c r="E160" s="141" t="s">
        <v>381</v>
      </c>
      <c r="F160" s="142"/>
    </row>
    <row r="161" spans="2:6" x14ac:dyDescent="0.25">
      <c r="B161" s="132"/>
      <c r="C161" s="129"/>
      <c r="D161" s="138"/>
      <c r="E161" s="141" t="s">
        <v>382</v>
      </c>
      <c r="F161" s="142"/>
    </row>
    <row r="162" spans="2:6" x14ac:dyDescent="0.25">
      <c r="B162" s="132"/>
      <c r="C162" s="129"/>
      <c r="D162" s="138"/>
      <c r="E162" s="141" t="s">
        <v>383</v>
      </c>
      <c r="F162" s="142"/>
    </row>
    <row r="163" spans="2:6" ht="15.75" thickBot="1" x14ac:dyDescent="0.3">
      <c r="B163" s="133"/>
      <c r="C163" s="134"/>
      <c r="D163" s="143"/>
      <c r="E163" s="144" t="s">
        <v>384</v>
      </c>
      <c r="F163" s="145"/>
    </row>
    <row r="164" spans="2:6" ht="15.75" thickBot="1" x14ac:dyDescent="0.3">
      <c r="B164" s="129"/>
      <c r="C164" s="129"/>
      <c r="D164" s="138"/>
      <c r="E164" s="138"/>
      <c r="F164" s="138"/>
    </row>
    <row r="165" spans="2:6" ht="60" x14ac:dyDescent="0.25">
      <c r="B165" s="130" t="s">
        <v>385</v>
      </c>
      <c r="C165" s="131"/>
      <c r="D165" s="139"/>
      <c r="E165" s="139">
        <v>69</v>
      </c>
      <c r="F165" s="140"/>
    </row>
    <row r="166" spans="2:6" ht="30" x14ac:dyDescent="0.25">
      <c r="B166" s="132"/>
      <c r="C166" s="129"/>
      <c r="D166" s="138"/>
      <c r="E166" s="141" t="s">
        <v>386</v>
      </c>
      <c r="F166" s="142" t="s">
        <v>350</v>
      </c>
    </row>
    <row r="167" spans="2:6" ht="30" x14ac:dyDescent="0.25">
      <c r="B167" s="132"/>
      <c r="C167" s="129"/>
      <c r="D167" s="138"/>
      <c r="E167" s="141" t="s">
        <v>387</v>
      </c>
      <c r="F167" s="142"/>
    </row>
    <row r="168" spans="2:6" ht="30" x14ac:dyDescent="0.25">
      <c r="B168" s="132"/>
      <c r="C168" s="129"/>
      <c r="D168" s="138"/>
      <c r="E168" s="141" t="s">
        <v>388</v>
      </c>
      <c r="F168" s="142"/>
    </row>
    <row r="169" spans="2:6" ht="30" x14ac:dyDescent="0.25">
      <c r="B169" s="132"/>
      <c r="C169" s="129"/>
      <c r="D169" s="138"/>
      <c r="E169" s="141" t="s">
        <v>374</v>
      </c>
      <c r="F169" s="142"/>
    </row>
    <row r="170" spans="2:6" ht="30" x14ac:dyDescent="0.25">
      <c r="B170" s="132"/>
      <c r="C170" s="129"/>
      <c r="D170" s="138"/>
      <c r="E170" s="141" t="s">
        <v>375</v>
      </c>
      <c r="F170" s="142"/>
    </row>
    <row r="171" spans="2:6" ht="30" x14ac:dyDescent="0.25">
      <c r="B171" s="132"/>
      <c r="C171" s="129"/>
      <c r="D171" s="138"/>
      <c r="E171" s="141" t="s">
        <v>376</v>
      </c>
      <c r="F171" s="142"/>
    </row>
    <row r="172" spans="2:6" x14ac:dyDescent="0.25">
      <c r="B172" s="132"/>
      <c r="C172" s="129"/>
      <c r="D172" s="138"/>
      <c r="E172" s="141" t="s">
        <v>377</v>
      </c>
      <c r="F172" s="142"/>
    </row>
    <row r="173" spans="2:6" x14ac:dyDescent="0.25">
      <c r="B173" s="132"/>
      <c r="C173" s="129"/>
      <c r="D173" s="138"/>
      <c r="E173" s="141" t="s">
        <v>378</v>
      </c>
      <c r="F173" s="142"/>
    </row>
    <row r="174" spans="2:6" x14ac:dyDescent="0.25">
      <c r="B174" s="132"/>
      <c r="C174" s="129"/>
      <c r="D174" s="138"/>
      <c r="E174" s="141" t="s">
        <v>379</v>
      </c>
      <c r="F174" s="142"/>
    </row>
    <row r="175" spans="2:6" x14ac:dyDescent="0.25">
      <c r="B175" s="132"/>
      <c r="C175" s="129"/>
      <c r="D175" s="138"/>
      <c r="E175" s="141" t="s">
        <v>380</v>
      </c>
      <c r="F175" s="142"/>
    </row>
    <row r="176" spans="2:6" x14ac:dyDescent="0.25">
      <c r="B176" s="132"/>
      <c r="C176" s="129"/>
      <c r="D176" s="138"/>
      <c r="E176" s="141" t="s">
        <v>381</v>
      </c>
      <c r="F176" s="142"/>
    </row>
    <row r="177" spans="2:6" x14ac:dyDescent="0.25">
      <c r="B177" s="132"/>
      <c r="C177" s="129"/>
      <c r="D177" s="138"/>
      <c r="E177" s="141" t="s">
        <v>382</v>
      </c>
      <c r="F177" s="142"/>
    </row>
    <row r="178" spans="2:6" x14ac:dyDescent="0.25">
      <c r="B178" s="132"/>
      <c r="C178" s="129"/>
      <c r="D178" s="138"/>
      <c r="E178" s="141" t="s">
        <v>383</v>
      </c>
      <c r="F178" s="142"/>
    </row>
    <row r="179" spans="2:6" x14ac:dyDescent="0.25">
      <c r="B179" s="132"/>
      <c r="C179" s="129"/>
      <c r="D179" s="138"/>
      <c r="E179" s="141" t="s">
        <v>384</v>
      </c>
      <c r="F179" s="142"/>
    </row>
    <row r="180" spans="2:6" ht="30.75" thickBot="1" x14ac:dyDescent="0.3">
      <c r="B180" s="133"/>
      <c r="C180" s="134"/>
      <c r="D180" s="143"/>
      <c r="E180" s="144" t="s">
        <v>389</v>
      </c>
      <c r="F180" s="145"/>
    </row>
    <row r="181" spans="2:6" ht="15.75" thickBot="1" x14ac:dyDescent="0.3">
      <c r="B181" s="129"/>
      <c r="C181" s="129"/>
      <c r="D181" s="138"/>
      <c r="E181" s="138"/>
      <c r="F181" s="138"/>
    </row>
    <row r="182" spans="2:6" ht="45" x14ac:dyDescent="0.25">
      <c r="B182" s="130" t="s">
        <v>390</v>
      </c>
      <c r="C182" s="131"/>
      <c r="D182" s="139"/>
      <c r="E182" s="139">
        <v>5</v>
      </c>
      <c r="F182" s="140"/>
    </row>
    <row r="183" spans="2:6" ht="30" x14ac:dyDescent="0.25">
      <c r="B183" s="132"/>
      <c r="C183" s="129"/>
      <c r="D183" s="138"/>
      <c r="E183" s="141" t="s">
        <v>391</v>
      </c>
      <c r="F183" s="142" t="s">
        <v>350</v>
      </c>
    </row>
    <row r="184" spans="2:6" ht="30" x14ac:dyDescent="0.25">
      <c r="B184" s="132"/>
      <c r="C184" s="129"/>
      <c r="D184" s="138"/>
      <c r="E184" s="141" t="s">
        <v>392</v>
      </c>
      <c r="F184" s="142"/>
    </row>
    <row r="185" spans="2:6" ht="30" x14ac:dyDescent="0.25">
      <c r="B185" s="132"/>
      <c r="C185" s="129"/>
      <c r="D185" s="138"/>
      <c r="E185" s="141" t="s">
        <v>393</v>
      </c>
      <c r="F185" s="142"/>
    </row>
    <row r="186" spans="2:6" ht="30" x14ac:dyDescent="0.25">
      <c r="B186" s="132"/>
      <c r="C186" s="129"/>
      <c r="D186" s="138"/>
      <c r="E186" s="141" t="s">
        <v>394</v>
      </c>
      <c r="F186" s="142"/>
    </row>
    <row r="187" spans="2:6" ht="30.75" thickBot="1" x14ac:dyDescent="0.3">
      <c r="B187" s="133"/>
      <c r="C187" s="134"/>
      <c r="D187" s="143"/>
      <c r="E187" s="144" t="s">
        <v>395</v>
      </c>
      <c r="F187" s="145" t="s">
        <v>350</v>
      </c>
    </row>
    <row r="188" spans="2:6" x14ac:dyDescent="0.25">
      <c r="B188" s="129"/>
      <c r="C188" s="129"/>
      <c r="D188" s="138"/>
      <c r="E188" s="138"/>
      <c r="F188" s="138"/>
    </row>
    <row r="189" spans="2:6" x14ac:dyDescent="0.25">
      <c r="B189" s="129"/>
      <c r="C189" s="129"/>
      <c r="D189" s="138"/>
      <c r="E189" s="138"/>
      <c r="F189" s="138"/>
    </row>
    <row r="190" spans="2:6" x14ac:dyDescent="0.25">
      <c r="B190" s="128" t="s">
        <v>396</v>
      </c>
      <c r="C190" s="128"/>
      <c r="D190" s="137"/>
      <c r="E190" s="137"/>
      <c r="F190" s="137"/>
    </row>
    <row r="191" spans="2:6" ht="15.75" thickBot="1" x14ac:dyDescent="0.3">
      <c r="B191" s="129"/>
      <c r="C191" s="129"/>
      <c r="D191" s="138"/>
      <c r="E191" s="138"/>
      <c r="F191" s="138"/>
    </row>
    <row r="192" spans="2:6" ht="30" x14ac:dyDescent="0.25">
      <c r="B192" s="130" t="s">
        <v>397</v>
      </c>
      <c r="C192" s="131"/>
      <c r="D192" s="139"/>
      <c r="E192" s="139">
        <v>1</v>
      </c>
      <c r="F192" s="140"/>
    </row>
    <row r="193" spans="2:6" ht="45.75" thickBot="1" x14ac:dyDescent="0.3">
      <c r="B193" s="133"/>
      <c r="C193" s="134"/>
      <c r="D193" s="143"/>
      <c r="E193" s="144" t="s">
        <v>398</v>
      </c>
      <c r="F193" s="145" t="s">
        <v>350</v>
      </c>
    </row>
    <row r="194" spans="2:6" ht="15.75" thickBot="1" x14ac:dyDescent="0.3">
      <c r="B194" s="129"/>
      <c r="C194" s="129"/>
      <c r="D194" s="138"/>
      <c r="E194" s="138"/>
      <c r="F194" s="138"/>
    </row>
    <row r="195" spans="2:6" ht="45" x14ac:dyDescent="0.25">
      <c r="B195" s="130" t="s">
        <v>399</v>
      </c>
      <c r="C195" s="131"/>
      <c r="D195" s="139"/>
      <c r="E195" s="139">
        <v>1</v>
      </c>
      <c r="F195" s="140"/>
    </row>
    <row r="196" spans="2:6" ht="45.75" thickBot="1" x14ac:dyDescent="0.3">
      <c r="B196" s="133"/>
      <c r="C196" s="134"/>
      <c r="D196" s="143"/>
      <c r="E196" s="144" t="s">
        <v>400</v>
      </c>
      <c r="F196" s="145" t="s">
        <v>350</v>
      </c>
    </row>
    <row r="197" spans="2:6" ht="15.75" thickBot="1" x14ac:dyDescent="0.3">
      <c r="B197" s="129"/>
      <c r="C197" s="129"/>
      <c r="D197" s="138"/>
      <c r="E197" s="138"/>
      <c r="F197" s="138"/>
    </row>
    <row r="198" spans="2:6" ht="60" x14ac:dyDescent="0.25">
      <c r="B198" s="130" t="s">
        <v>401</v>
      </c>
      <c r="C198" s="131"/>
      <c r="D198" s="139"/>
      <c r="E198" s="139">
        <v>1</v>
      </c>
      <c r="F198" s="140"/>
    </row>
    <row r="199" spans="2:6" ht="45.75" thickBot="1" x14ac:dyDescent="0.3">
      <c r="B199" s="133"/>
      <c r="C199" s="134"/>
      <c r="D199" s="143"/>
      <c r="E199" s="144" t="s">
        <v>400</v>
      </c>
      <c r="F199" s="145" t="s">
        <v>350</v>
      </c>
    </row>
    <row r="200" spans="2:6" ht="15.75" thickBot="1" x14ac:dyDescent="0.3">
      <c r="B200" s="129"/>
      <c r="C200" s="129"/>
      <c r="D200" s="138"/>
      <c r="E200" s="138"/>
      <c r="F200" s="138"/>
    </row>
    <row r="201" spans="2:6" ht="45.75" thickBot="1" x14ac:dyDescent="0.3">
      <c r="B201" s="135" t="s">
        <v>402</v>
      </c>
      <c r="C201" s="136"/>
      <c r="D201" s="146"/>
      <c r="E201" s="146">
        <v>163</v>
      </c>
      <c r="F201" s="147" t="s">
        <v>350</v>
      </c>
    </row>
    <row r="202" spans="2:6" x14ac:dyDescent="0.25">
      <c r="B202" s="129"/>
      <c r="C202" s="129"/>
      <c r="D202" s="138"/>
      <c r="E202" s="138"/>
      <c r="F202" s="138"/>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vt:i4>
      </vt:variant>
    </vt:vector>
  </HeadingPairs>
  <TitlesOfParts>
    <vt:vector size="14" baseType="lpstr">
      <vt:lpstr>Intructivo</vt:lpstr>
      <vt:lpstr>Mapa final</vt:lpstr>
      <vt:lpstr>Monitoreo No. 1</vt:lpstr>
      <vt:lpstr>Monitoreo No. 2</vt:lpstr>
      <vt:lpstr>Monitoreo No . 3</vt:lpstr>
      <vt:lpstr>Matriz Calor Inherente</vt:lpstr>
      <vt:lpstr>Matriz Calor Residual</vt:lpstr>
      <vt:lpstr>Tabla probabilidad</vt:lpstr>
      <vt:lpstr>Tabla Impacto</vt:lpstr>
      <vt:lpstr>Tabla Valoración controles</vt:lpstr>
      <vt:lpstr>Opciones Tratamiento</vt:lpstr>
      <vt:lpstr>Hoja1</vt:lpstr>
      <vt:lpstr>Informe de compatibilidad</vt:lpstr>
      <vt:lpstr>'Mapa final'!Área_de_impresión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Nicolas Corredor</cp:lastModifiedBy>
  <cp:lastPrinted>2020-05-13T01:12:22Z</cp:lastPrinted>
  <dcterms:created xsi:type="dcterms:W3CDTF">2020-03-24T23:12:47Z</dcterms:created>
  <dcterms:modified xsi:type="dcterms:W3CDTF">2022-02-09T21:00:32Z</dcterms:modified>
</cp:coreProperties>
</file>